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enkoLP\Desktop\ЗПІ\"/>
    </mc:Choice>
  </mc:AlternateContent>
  <xr:revisionPtr revIDLastSave="0" documentId="13_ncr:1_{D8FEDBC9-D21E-49A5-821B-D52747C8FAC3}" xr6:coauthVersionLast="47" xr6:coauthVersionMax="47" xr10:uidLastSave="{00000000-0000-0000-0000-000000000000}"/>
  <bookViews>
    <workbookView xWindow="-120" yWindow="-120" windowWidth="29040" windowHeight="15840" xr2:uid="{5750AF82-419D-4199-8FE2-CBA29CE0D44A}"/>
  </bookViews>
  <sheets>
    <sheet name="на 01_01_2016 Річна" sheetId="1" r:id="rId1"/>
  </sheets>
  <definedNames>
    <definedName name="_xlnm._FilterDatabase" localSheetId="0" hidden="1">'на 01_01_2016 Річна'!$A$11:$L$990</definedName>
    <definedName name="_xlnm.Print_Titles" localSheetId="0">'на 01_01_2016 Річна'!$7:$11</definedName>
    <definedName name="_xlnm.Print_Area" localSheetId="0">'на 01_01_2016 Річна'!$B$1:$L$990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90" i="1" l="1"/>
  <c r="E989" i="1" s="1"/>
  <c r="I989" i="1"/>
  <c r="H989" i="1"/>
  <c r="G989" i="1"/>
  <c r="F989" i="1"/>
  <c r="I987" i="1"/>
  <c r="H987" i="1"/>
  <c r="G987" i="1"/>
  <c r="F987" i="1"/>
  <c r="E987" i="1"/>
  <c r="E971" i="1"/>
  <c r="E969" i="1"/>
  <c r="E968" i="1"/>
  <c r="E963" i="1"/>
  <c r="E958" i="1"/>
  <c r="E956" i="1"/>
  <c r="E955" i="1"/>
  <c r="E952" i="1"/>
  <c r="E951" i="1"/>
  <c r="E950" i="1"/>
  <c r="E949" i="1"/>
  <c r="E948" i="1"/>
  <c r="E945" i="1"/>
  <c r="E944" i="1"/>
  <c r="B943" i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I941" i="1"/>
  <c r="H941" i="1"/>
  <c r="G941" i="1"/>
  <c r="F941" i="1"/>
  <c r="I939" i="1"/>
  <c r="H939" i="1"/>
  <c r="G939" i="1"/>
  <c r="F939" i="1"/>
  <c r="B926" i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I924" i="1"/>
  <c r="H924" i="1"/>
  <c r="G924" i="1"/>
  <c r="F924" i="1"/>
  <c r="E924" i="1"/>
  <c r="I922" i="1"/>
  <c r="H922" i="1"/>
  <c r="G922" i="1"/>
  <c r="F922" i="1"/>
  <c r="E922" i="1"/>
  <c r="E919" i="1"/>
  <c r="E905" i="1" s="1"/>
  <c r="B907" i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I905" i="1"/>
  <c r="H905" i="1"/>
  <c r="G905" i="1"/>
  <c r="F905" i="1"/>
  <c r="I903" i="1"/>
  <c r="H903" i="1"/>
  <c r="G903" i="1"/>
  <c r="F903" i="1"/>
  <c r="E903" i="1"/>
  <c r="E900" i="1"/>
  <c r="E884" i="1"/>
  <c r="E869" i="1"/>
  <c r="B869" i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E868" i="1"/>
  <c r="I867" i="1"/>
  <c r="H867" i="1"/>
  <c r="G867" i="1"/>
  <c r="F867" i="1"/>
  <c r="I865" i="1"/>
  <c r="H865" i="1"/>
  <c r="G865" i="1"/>
  <c r="F865" i="1"/>
  <c r="E852" i="1"/>
  <c r="E850" i="1"/>
  <c r="E845" i="1" s="1"/>
  <c r="B847" i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I845" i="1"/>
  <c r="H845" i="1"/>
  <c r="G845" i="1"/>
  <c r="F845" i="1"/>
  <c r="I843" i="1"/>
  <c r="H843" i="1"/>
  <c r="G843" i="1"/>
  <c r="F843" i="1"/>
  <c r="B818" i="1"/>
  <c r="B819" i="1" s="1"/>
  <c r="B820" i="1" s="1"/>
  <c r="B821" i="1" s="1"/>
  <c r="I817" i="1"/>
  <c r="I814" i="1" s="1"/>
  <c r="I816" i="1"/>
  <c r="H816" i="1"/>
  <c r="G816" i="1"/>
  <c r="F816" i="1"/>
  <c r="E816" i="1"/>
  <c r="H814" i="1"/>
  <c r="G814" i="1"/>
  <c r="F814" i="1"/>
  <c r="E814" i="1"/>
  <c r="E804" i="1"/>
  <c r="E796" i="1"/>
  <c r="B771" i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I769" i="1"/>
  <c r="H769" i="1"/>
  <c r="G769" i="1"/>
  <c r="F769" i="1"/>
  <c r="I767" i="1"/>
  <c r="H767" i="1"/>
  <c r="G767" i="1"/>
  <c r="F767" i="1"/>
  <c r="E765" i="1"/>
  <c r="E763" i="1"/>
  <c r="E751" i="1" s="1"/>
  <c r="B753" i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I751" i="1"/>
  <c r="H751" i="1"/>
  <c r="G751" i="1"/>
  <c r="F751" i="1"/>
  <c r="I749" i="1"/>
  <c r="H749" i="1"/>
  <c r="G749" i="1"/>
  <c r="F749" i="1"/>
  <c r="E729" i="1"/>
  <c r="E723" i="1"/>
  <c r="B709" i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I707" i="1"/>
  <c r="H707" i="1"/>
  <c r="G707" i="1"/>
  <c r="F707" i="1"/>
  <c r="I705" i="1"/>
  <c r="H705" i="1"/>
  <c r="G705" i="1"/>
  <c r="F705" i="1"/>
  <c r="B681" i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I679" i="1"/>
  <c r="H679" i="1"/>
  <c r="G679" i="1"/>
  <c r="F679" i="1"/>
  <c r="E679" i="1"/>
  <c r="I677" i="1"/>
  <c r="H677" i="1"/>
  <c r="G677" i="1"/>
  <c r="F677" i="1"/>
  <c r="E677" i="1"/>
  <c r="E672" i="1"/>
  <c r="E668" i="1" s="1"/>
  <c r="B672" i="1"/>
  <c r="B673" i="1" s="1"/>
  <c r="B674" i="1" s="1"/>
  <c r="B675" i="1" s="1"/>
  <c r="I670" i="1"/>
  <c r="H670" i="1"/>
  <c r="G670" i="1"/>
  <c r="F670" i="1"/>
  <c r="E670" i="1"/>
  <c r="I668" i="1"/>
  <c r="H668" i="1"/>
  <c r="G668" i="1"/>
  <c r="F668" i="1"/>
  <c r="E649" i="1"/>
  <c r="E637" i="1"/>
  <c r="B628" i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I626" i="1"/>
  <c r="H626" i="1"/>
  <c r="G626" i="1"/>
  <c r="F626" i="1"/>
  <c r="I624" i="1"/>
  <c r="H624" i="1"/>
  <c r="G624" i="1"/>
  <c r="F624" i="1"/>
  <c r="E624" i="1"/>
  <c r="G618" i="1"/>
  <c r="F618" i="1"/>
  <c r="E618" i="1"/>
  <c r="F613" i="1"/>
  <c r="E613" i="1"/>
  <c r="F612" i="1"/>
  <c r="E612" i="1"/>
  <c r="F608" i="1"/>
  <c r="E608" i="1"/>
  <c r="G600" i="1"/>
  <c r="F600" i="1"/>
  <c r="E600" i="1"/>
  <c r="G588" i="1"/>
  <c r="F588" i="1"/>
  <c r="E588" i="1"/>
  <c r="F586" i="1"/>
  <c r="E586" i="1"/>
  <c r="F579" i="1"/>
  <c r="E579" i="1"/>
  <c r="G575" i="1"/>
  <c r="F575" i="1"/>
  <c r="E575" i="1"/>
  <c r="G574" i="1"/>
  <c r="F574" i="1"/>
  <c r="E574" i="1"/>
  <c r="B572" i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I570" i="1"/>
  <c r="H570" i="1"/>
  <c r="I568" i="1"/>
  <c r="H568" i="1"/>
  <c r="B529" i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28" i="1"/>
  <c r="I526" i="1"/>
  <c r="H526" i="1"/>
  <c r="G526" i="1"/>
  <c r="F526" i="1"/>
  <c r="E526" i="1"/>
  <c r="I524" i="1"/>
  <c r="H524" i="1"/>
  <c r="G524" i="1"/>
  <c r="F524" i="1"/>
  <c r="E524" i="1"/>
  <c r="E499" i="1"/>
  <c r="E492" i="1" s="1"/>
  <c r="B496" i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I494" i="1"/>
  <c r="H494" i="1"/>
  <c r="G494" i="1"/>
  <c r="F494" i="1"/>
  <c r="I492" i="1"/>
  <c r="H492" i="1"/>
  <c r="G492" i="1"/>
  <c r="F492" i="1"/>
  <c r="H472" i="1"/>
  <c r="H470" i="1"/>
  <c r="H468" i="1"/>
  <c r="H464" i="1" s="1"/>
  <c r="B466" i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I464" i="1"/>
  <c r="G464" i="1"/>
  <c r="F464" i="1"/>
  <c r="E464" i="1"/>
  <c r="I462" i="1"/>
  <c r="G462" i="1"/>
  <c r="F462" i="1"/>
  <c r="E462" i="1"/>
  <c r="E459" i="1"/>
  <c r="E458" i="1"/>
  <c r="E457" i="1"/>
  <c r="E455" i="1"/>
  <c r="E454" i="1"/>
  <c r="E453" i="1"/>
  <c r="E452" i="1"/>
  <c r="E451" i="1"/>
  <c r="E450" i="1"/>
  <c r="E449" i="1"/>
  <c r="E448" i="1"/>
  <c r="E447" i="1"/>
  <c r="E443" i="1"/>
  <c r="E441" i="1"/>
  <c r="B427" i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I425" i="1"/>
  <c r="H425" i="1"/>
  <c r="G425" i="1"/>
  <c r="F425" i="1"/>
  <c r="E424" i="1"/>
  <c r="I423" i="1"/>
  <c r="H423" i="1"/>
  <c r="G423" i="1"/>
  <c r="F423" i="1"/>
  <c r="B410" i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I408" i="1"/>
  <c r="H408" i="1"/>
  <c r="G408" i="1"/>
  <c r="F408" i="1"/>
  <c r="E408" i="1"/>
  <c r="I406" i="1"/>
  <c r="H406" i="1"/>
  <c r="G406" i="1"/>
  <c r="F406" i="1"/>
  <c r="E406" i="1"/>
  <c r="E377" i="1"/>
  <c r="E374" i="1"/>
  <c r="E368" i="1"/>
  <c r="E366" i="1"/>
  <c r="E342" i="1"/>
  <c r="E340" i="1"/>
  <c r="B338" i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I336" i="1"/>
  <c r="H336" i="1"/>
  <c r="G336" i="1"/>
  <c r="F336" i="1"/>
  <c r="I334" i="1"/>
  <c r="H334" i="1"/>
  <c r="G334" i="1"/>
  <c r="F334" i="1"/>
  <c r="E320" i="1"/>
  <c r="E319" i="1"/>
  <c r="E316" i="1"/>
  <c r="E299" i="1"/>
  <c r="E298" i="1"/>
  <c r="E297" i="1"/>
  <c r="E296" i="1"/>
  <c r="E295" i="1"/>
  <c r="E292" i="1"/>
  <c r="E290" i="1"/>
  <c r="E289" i="1"/>
  <c r="E288" i="1"/>
  <c r="E287" i="1"/>
  <c r="E283" i="1"/>
  <c r="E280" i="1"/>
  <c r="E277" i="1"/>
  <c r="E271" i="1"/>
  <c r="E268" i="1"/>
  <c r="E267" i="1"/>
  <c r="E265" i="1"/>
  <c r="B265" i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E264" i="1"/>
  <c r="I263" i="1"/>
  <c r="H263" i="1"/>
  <c r="G263" i="1"/>
  <c r="F263" i="1"/>
  <c r="I261" i="1"/>
  <c r="H261" i="1"/>
  <c r="G261" i="1"/>
  <c r="F261" i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I147" i="1"/>
  <c r="H147" i="1"/>
  <c r="G147" i="1"/>
  <c r="F147" i="1"/>
  <c r="E147" i="1"/>
  <c r="I145" i="1"/>
  <c r="H145" i="1"/>
  <c r="G145" i="1"/>
  <c r="F145" i="1"/>
  <c r="E145" i="1"/>
  <c r="E128" i="1"/>
  <c r="E115" i="1"/>
  <c r="E110" i="1"/>
  <c r="E109" i="1"/>
  <c r="E99" i="1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I101" i="1"/>
  <c r="H101" i="1"/>
  <c r="G101" i="1"/>
  <c r="F101" i="1"/>
  <c r="I99" i="1"/>
  <c r="H99" i="1"/>
  <c r="G99" i="1"/>
  <c r="F99" i="1"/>
  <c r="E97" i="1"/>
  <c r="E89" i="1"/>
  <c r="E82" i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I72" i="1"/>
  <c r="H72" i="1"/>
  <c r="G72" i="1"/>
  <c r="F72" i="1"/>
  <c r="I70" i="1"/>
  <c r="H70" i="1"/>
  <c r="G70" i="1"/>
  <c r="F70" i="1"/>
  <c r="E65" i="1"/>
  <c r="E56" i="1"/>
  <c r="E44" i="1"/>
  <c r="E41" i="1"/>
  <c r="E38" i="1"/>
  <c r="E36" i="1"/>
  <c r="E33" i="1"/>
  <c r="E30" i="1"/>
  <c r="E20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I18" i="1"/>
  <c r="H18" i="1"/>
  <c r="G18" i="1"/>
  <c r="F18" i="1"/>
  <c r="I16" i="1"/>
  <c r="H16" i="1"/>
  <c r="G16" i="1"/>
  <c r="F16" i="1"/>
  <c r="G13" i="1"/>
  <c r="F13" i="1"/>
  <c r="E13" i="1"/>
  <c r="E72" i="1" l="1"/>
  <c r="E18" i="1"/>
  <c r="F568" i="1"/>
  <c r="F12" i="1" s="1"/>
  <c r="B822" i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702" i="1"/>
  <c r="B703" i="1" s="1"/>
  <c r="E261" i="1"/>
  <c r="E749" i="1"/>
  <c r="I12" i="1"/>
  <c r="I14" i="1"/>
  <c r="E101" i="1"/>
  <c r="G570" i="1"/>
  <c r="G14" i="1" s="1"/>
  <c r="E941" i="1"/>
  <c r="E334" i="1"/>
  <c r="E626" i="1"/>
  <c r="H14" i="1"/>
  <c r="E568" i="1"/>
  <c r="E867" i="1"/>
  <c r="E707" i="1"/>
  <c r="E705" i="1"/>
  <c r="E16" i="1"/>
  <c r="E263" i="1"/>
  <c r="E769" i="1"/>
  <c r="E767" i="1"/>
  <c r="E70" i="1"/>
  <c r="E336" i="1"/>
  <c r="E423" i="1"/>
  <c r="E425" i="1"/>
  <c r="H462" i="1"/>
  <c r="H12" i="1" s="1"/>
  <c r="E494" i="1"/>
  <c r="F570" i="1"/>
  <c r="F14" i="1" s="1"/>
  <c r="G568" i="1"/>
  <c r="G12" i="1" s="1"/>
  <c r="E843" i="1"/>
  <c r="E865" i="1"/>
  <c r="E570" i="1"/>
  <c r="E939" i="1"/>
  <c r="E14" i="1" l="1"/>
  <c r="E12" i="1"/>
</calcChain>
</file>

<file path=xl/sharedStrings.xml><?xml version="1.0" encoding="utf-8"?>
<sst xmlns="http://schemas.openxmlformats.org/spreadsheetml/2006/main" count="3457" uniqueCount="1241">
  <si>
    <t>Інформація</t>
  </si>
  <si>
    <t>про використання коштів державного фонду регіонального розвитку</t>
  </si>
  <si>
    <t>за бюджетною програмою КПКВК 3511450</t>
  </si>
  <si>
    <t>(відповідно до постанови Кабінету Міністрів України від 18.03.2015 № 195)</t>
  </si>
  <si>
    <t>станом на 1 січня 2016 року</t>
  </si>
  <si>
    <t>тис. гривень</t>
  </si>
  <si>
    <t>№ п/п</t>
  </si>
  <si>
    <t>Найменування проекту та його місцезнаходження, вид робіт</t>
  </si>
  <si>
    <t>Рік початку і закін-чення будівни-цтва</t>
  </si>
  <si>
    <t>По об'єктах, роботи на яких повністю завершені</t>
  </si>
  <si>
    <t>За рахунок коштів державного фонду регіонального розвитку 
(постанова КМУ від 18.03.2015 № 195)</t>
  </si>
  <si>
    <t>Дата введення об'єкта в експлуа-тацію*</t>
  </si>
  <si>
    <t>передбачено</t>
  </si>
  <si>
    <t>відкрито асигнувань</t>
  </si>
  <si>
    <t>отримано коштів на реєстраційний рахунок розпо-рядника/
одержувача</t>
  </si>
  <si>
    <t>проведено касових видатків</t>
  </si>
  <si>
    <t>дата та номер Акта приймання виконаних будівельних робіт
(примірна форма КБ-2в)</t>
  </si>
  <si>
    <t>дата та номер Акта готовності об'єкта до експлуатації та Сертифікату відповідності закінченого будівництвом об'єкта проектній документації або Декларації про готовність об'єкта до експлуатації**</t>
  </si>
  <si>
    <t>всього</t>
  </si>
  <si>
    <t>з них погашення кредиторської заборгованості, що виникла у минулі роки</t>
  </si>
  <si>
    <t>РАЗОМ</t>
  </si>
  <si>
    <t>нерозподілений залишок</t>
  </si>
  <si>
    <r>
      <t xml:space="preserve">розпорядження КМУ від 17.07.15 №766 </t>
    </r>
    <r>
      <rPr>
        <b/>
        <sz val="12"/>
        <rFont val="Times New Roman"/>
        <family val="1"/>
        <charset val="204"/>
      </rPr>
      <t>(із змінами)</t>
    </r>
  </si>
  <si>
    <t>ВІННИЦЬКА</t>
  </si>
  <si>
    <t>ВСЬОГО</t>
  </si>
  <si>
    <r>
      <t xml:space="preserve">Відділення термінової та планово-консультативної допомоги (санавіація) в Центрі екстреної медичної допомоги та медицини катастроф по вул. Пирогова, 46, м.Вінниця — реконструкція з надбудовою другого поверху 
</t>
    </r>
    <r>
      <rPr>
        <i/>
        <sz val="13.5"/>
        <rFont val="Times New Roman"/>
        <family val="1"/>
        <charset val="204"/>
      </rPr>
      <t xml:space="preserve">(погашення кредиторської заборгованості)
</t>
    </r>
  </si>
  <si>
    <t>погашено кредиторську заборгованість, 
декларація № ВН 143152750481 від 02.10.2015</t>
  </si>
  <si>
    <r>
      <t xml:space="preserve">Частина приміщень по вул. Винниченка, 5, м. Вінниця — реконструкція під центр "Гармонія" 
</t>
    </r>
    <r>
      <rPr>
        <i/>
        <sz val="13.5"/>
        <rFont val="Times New Roman"/>
        <family val="1"/>
        <charset val="204"/>
      </rPr>
      <t xml:space="preserve">(у тому числі погашення кредиторської заборгованості - 902,463 тис.)
</t>
    </r>
  </si>
  <si>
    <t>2013-2015</t>
  </si>
  <si>
    <t>2015 рік</t>
  </si>
  <si>
    <t>б/н за 12.2015</t>
  </si>
  <si>
    <t>декларація № ВН 143153640021 від 30.12.2015</t>
  </si>
  <si>
    <r>
      <t xml:space="preserve">Перепланування незавершеного будівництва клубу на 240 місць під культурно-спортивний комплекс, с. Білопілля Козятинського району — реконструкція 
</t>
    </r>
    <r>
      <rPr>
        <i/>
        <sz val="13.5"/>
        <rFont val="Times New Roman"/>
        <family val="1"/>
        <charset val="204"/>
      </rPr>
      <t xml:space="preserve">(погашення кредиторської заборгованості)
</t>
    </r>
  </si>
  <si>
    <t>погашено кредиторську заборгованість</t>
  </si>
  <si>
    <r>
      <t xml:space="preserve">Мережі водогону від свердловини біля с. Білашки до водонапірної башти, м. Погребище — реконструкція 
</t>
    </r>
    <r>
      <rPr>
        <i/>
        <sz val="13.5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</si>
  <si>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Школа, с. Михайлівка Гайсинського району — будівництво 
</t>
    </r>
    <r>
      <rPr>
        <i/>
        <sz val="13.5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</si>
  <si>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Дошкільний навчальний заклад № 5 по вул. Черняховського, смт Крижопіль — реконструкція 
</t>
    </r>
    <r>
      <rPr>
        <i/>
        <sz val="13.5"/>
        <rFont val="Times New Roman"/>
        <family val="1"/>
        <charset val="204"/>
      </rPr>
      <t xml:space="preserve">(у тому числі погашення кредиторської заборгованості - 373,96 тис.)
</t>
    </r>
  </si>
  <si>
    <t>2011-2015</t>
  </si>
  <si>
    <t>декларація № ВН 143153510862 від 17.12.2015</t>
  </si>
  <si>
    <r>
      <t xml:space="preserve">Загальноосвітня школа I - III ступеня, с. Гопчиця Погребищенського району — будівництво 
</t>
    </r>
    <r>
      <rPr>
        <i/>
        <sz val="13.5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</si>
  <si>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Дошкільний навчальний заклад "Пролісок" по вул. Гагаріна, 10, смт Сутиски Тиврівського району — реконструкція 
</t>
    </r>
    <r>
      <rPr>
        <i/>
        <sz val="13.5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</si>
  <si>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Загальноосвітня школа I - III ступеня № 1, смт Чечельник — реконструкція 
</t>
    </r>
    <r>
      <rPr>
        <i/>
        <sz val="13.5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</si>
  <si>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Дошкільний навчальний заклад, с. Широка Гребля Хмільницького району —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</si>
  <si>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Школа, с. Зведенівка Шаргородського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 188,714 тис. гривень)
</t>
    </r>
  </si>
  <si>
    <t>2007-2015</t>
  </si>
  <si>
    <t>2016 рік</t>
  </si>
  <si>
    <t xml:space="preserve">Приміщення дошкільного навчального закладу по вул. Порика, 5-а, м. Вінниця — реконструкція
</t>
  </si>
  <si>
    <t xml:space="preserve">Будівля загальноосвітньої школи I - III ступеня № 25 по вул. Келецькій, 89, м. Вінниця — реконструкція
</t>
  </si>
  <si>
    <t xml:space="preserve">Вставка між трамвайними лініями вул. Келецька - вул. Пирогова, м. Вінниця — будівництво
</t>
  </si>
  <si>
    <t>декларація № ВН 143153636747 від 29.12.2015</t>
  </si>
  <si>
    <t xml:space="preserve">Просп. Космонавтів (від просторової площі з літаком до вул. В. Порика), м. Вінниця (перша черга) — реконструкція
</t>
  </si>
  <si>
    <t>декларація № ВН 143153640012 від 30.12.2015</t>
  </si>
  <si>
    <t xml:space="preserve">Встановлення металевого ангару для розміщення спортивного залу на території загальноосвітньої школи № 4 "Ліцей" по вул. Київській, 38/2, м. Могилів-Подільський — реконструкція
</t>
  </si>
  <si>
    <t xml:space="preserve">Універсальний спортивний майданчик із синтетичним покриттям по вул. Комарова, 2, м. Бар — реконструкція
</t>
  </si>
  <si>
    <t>№2 від 27.10.2015</t>
  </si>
  <si>
    <t>декларація № ВН 142153230905 від 19.11.2015</t>
  </si>
  <si>
    <t xml:space="preserve">Будівля початкової школи, с. Цвіжин Вінницького району — реконструкція під культурно-просвітницький центр
</t>
  </si>
  <si>
    <t>декларація оформляється</t>
  </si>
  <si>
    <t xml:space="preserve">Спортзал до школи, с. Павлівка Калинівського району — будівництво
</t>
  </si>
  <si>
    <t>2012-2015</t>
  </si>
  <si>
    <t xml:space="preserve">Система водопостачання із Суворовського водозабору, м. Тульчин — будівництво
</t>
  </si>
  <si>
    <t xml:space="preserve">Артезіанська свердловина на території с. Флорине Бершадського району — будівництво
</t>
  </si>
  <si>
    <t>декларація № ВН 143153651378 від 31.12.2015</t>
  </si>
  <si>
    <t xml:space="preserve">Дошкільний навчальний заклад № 2 "Пролісок" по вул. Польовій, 6, м. Іллінці — реконструкція
</t>
  </si>
  <si>
    <t xml:space="preserve">Росошанська загальноосвітня школа I - III ступеня, Липовецький район — реконструкція
</t>
  </si>
  <si>
    <t xml:space="preserve">Дитячий садок, с. Марксове Немирівського району — реконструкція
</t>
  </si>
  <si>
    <t xml:space="preserve">Діюча котельня дошкільного навчального закладу, с. Мухівці Немирівського району — реконструкція з установкою котлів на твердому паливі
</t>
  </si>
  <si>
    <t>декларація № ВН 143153651629 від 31.12.2015</t>
  </si>
  <si>
    <t xml:space="preserve">Будівля шкільної їдальні загальноосвітньої школи № 1 I - III ступеня по вул. Леніна, 198, смт Чернівці — реконструкція
</t>
  </si>
  <si>
    <t>2014-2015</t>
  </si>
  <si>
    <t>декларація № ВН 143160060346 від 06.01.2016</t>
  </si>
  <si>
    <t xml:space="preserve">Дитячий садок, с. Дорошівка Ямпільського району — будівництво
</t>
  </si>
  <si>
    <t>1995-2015</t>
  </si>
  <si>
    <t xml:space="preserve">Будівля дитячої музичної школи по вул. Комінтерна, 9/1, м. Ямпіль — реконструкція
</t>
  </si>
  <si>
    <t xml:space="preserve">Збереження народних традицій — гідні умови життєдіяльності культурних закладів (будинок культури, с. Володіївці Чернівецького району — ремонт)
</t>
  </si>
  <si>
    <t>реалізовано проект</t>
  </si>
  <si>
    <t xml:space="preserve">Питна вода для села (мережа водопостачання, с. Соболівка Липовецького району — капітальний ремонт)
</t>
  </si>
  <si>
    <t xml:space="preserve">Вирішення проблеми з водопостачанням як спосіб підвищення громадської активності жителів міста (система водопостачання, м. Липовець — будівництво)
</t>
  </si>
  <si>
    <t>№3 від 25.12.2015</t>
  </si>
  <si>
    <t xml:space="preserve">Теплий садочок з теплом до дитячих сердець (будівля дитячого навчального закладу "Малятко", с. Білопілля Козятинського району — капітальний ремонт)
</t>
  </si>
  <si>
    <t xml:space="preserve">Чиста вода — джерело життя (мережі водопостачання, смт Браїлів — реконструкція)
</t>
  </si>
  <si>
    <t xml:space="preserve">Вода — це життя (мережі водопостачання, с. Стодульці Жмеринського району — будівництво)
</t>
  </si>
  <si>
    <t>декларація № ВН 143153371673 від 03.12.2015</t>
  </si>
  <si>
    <t xml:space="preserve">Школа — це шлях в майбуття (енергозбереження в школі, с. Городківка Крижопільського району)
</t>
  </si>
  <si>
    <t xml:space="preserve">Каналізаційна насосна станція № 1 по вул. Свердлова, м. Вінниця — реконструкція
</t>
  </si>
  <si>
    <t xml:space="preserve">Школа, с. Сосонка Вінницького району — реконструкція
</t>
  </si>
  <si>
    <t xml:space="preserve">Школа, смт Стрижавка Вінницького району — будівництво
</t>
  </si>
  <si>
    <t>1992-2015</t>
  </si>
  <si>
    <t xml:space="preserve">Мережі водопостачання, с. Лука-Мелешківська Вінницького району — будівництво
</t>
  </si>
  <si>
    <t>декларація № ВН 143153651668 від 31.12.2015</t>
  </si>
  <si>
    <t xml:space="preserve">Шкільний автобус як запорука організації регулярного безоплатного перевезення учнів до місць навчання і додому у Літинському районі (придбання п’яти автобусів)
</t>
  </si>
  <si>
    <t xml:space="preserve">Радіологічне відділення обласного клінічного онкологічного диспансеру, м. Вінниця — реконструкція
</t>
  </si>
  <si>
    <t xml:space="preserve">Водогін по вул. Будкевича, м. Бершадь — реконструкція
</t>
  </si>
  <si>
    <t xml:space="preserve">Приміщення відділення легеневого туберкульозу для дорослих № 2 обласного спеціалізованого територіального медичного об’єднання “Фтизіатрія”, м. Вінниця — реконструкція
</t>
  </si>
  <si>
    <t xml:space="preserve">Створення комунального кооперативного навчально-практичного дорадчого центру територіального об’єднання Северинівської та Чернятинської сільських рад Жмеринського району
</t>
  </si>
  <si>
    <t>2015-2016</t>
  </si>
  <si>
    <t xml:space="preserve">Груповий водогін с. Вербовець - смт Муровані Курилівці — будівництво (другий пусковий комплекс)
</t>
  </si>
  <si>
    <t xml:space="preserve">Дошкільний навчальний заклад, с. Цибулівка Тростянецького району — реконструкція
</t>
  </si>
  <si>
    <t xml:space="preserve">Приміщення загальноосвітньої школи I-III ступеня № 1 по вул. Леніна, 12, с. Уланів Хмільницького району — реконструкція
</t>
  </si>
  <si>
    <t xml:space="preserve">Корпус № 1 комунальної установи “Погребищенська загальноосвітня школа № 1 I-III ступеня по вул. Хмельницького, 102, м. Погребище” — реконструкція (перша черга)
</t>
  </si>
  <si>
    <t xml:space="preserve">Загальноосвітня школа I-III ступеня № 1, смт Чечельник — реконструкція
</t>
  </si>
  <si>
    <t>2005-2015</t>
  </si>
  <si>
    <t xml:space="preserve">Обласна лікарня імені Пирогова, м. Вінниця — будівництво хірургічного корпусу (перша черга)
</t>
  </si>
  <si>
    <t>ВОЛИНСЬКА</t>
  </si>
  <si>
    <r>
      <t xml:space="preserve">Володимир-Волинська спеціалізована школа-інтернат I - III ступеня "Центр освіти та соціально-педагогічної підтримки", м. Володимир-Волинський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</si>
  <si>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Адміністративне приміщення по вул. Драгоманова, 22, м. Ковель (центр надання адміністративних послуг) — реконструкція
</t>
  </si>
  <si>
    <t>б/н від 23.12.2015</t>
  </si>
  <si>
    <t xml:space="preserve">Теплопостачання Південно-Східного району, м. Нововолинськ — реконструкція
</t>
  </si>
  <si>
    <t>б/н від 28.12.2015</t>
  </si>
  <si>
    <t xml:space="preserve">Приміщення дитячого садочка (друга група), с. Березовичі Володимир-Волинського району — реконструкція
</t>
  </si>
  <si>
    <t>2016 рік 
(січень)</t>
  </si>
  <si>
    <t>б/н від 18.12.2015</t>
  </si>
  <si>
    <t xml:space="preserve">Котельня школи, с. Березовичі Володимир- Волинського району — реконструкція
</t>
  </si>
  <si>
    <t xml:space="preserve">Частина будинку культури, с. Заріччя Володимир-Волинського району — реконструкція під дошкільний заклад
</t>
  </si>
  <si>
    <t xml:space="preserve">Школа I - III ступеня, смт Мар'янівка Горохівського району — реконструкція з добудовою спортивного залу
</t>
  </si>
  <si>
    <t>б/н від 25.12.2015</t>
  </si>
  <si>
    <t xml:space="preserve">Дошкільний навчальний заклад на 40 місць, с. Холонів Горохівського району — нове будівництво
</t>
  </si>
  <si>
    <t xml:space="preserve">Частина приміщень школи I - III ступеня, с. Поромів Іваничівського району — реконструкція під дошкільний навчальний заклад на 20 місць
</t>
  </si>
  <si>
    <t xml:space="preserve">Двоповерхове приміщення дитячих ясел-садка на чотири групи по вул. Незалежності, 47, м. Ківерці — будівництво
</t>
  </si>
  <si>
    <t xml:space="preserve">Полігон твердих побутових відходів, м. Ківерці — будівництво
</t>
  </si>
  <si>
    <t xml:space="preserve">Адміністративна будівлі по вул. 40-річчя Перемоги, с. Мощена Ковельського району — реконструкція під дитячий садок
</t>
  </si>
  <si>
    <t>б/н від 24.12.2015</t>
  </si>
  <si>
    <t xml:space="preserve">Покрівля дитячого навчального закладу "Калинонька" по вул. Жовтневій, 22, смт Люблинець Ковельського району — реконструкція
</t>
  </si>
  <si>
    <t>б/н від 22.12.2015</t>
  </si>
  <si>
    <t xml:space="preserve">Локачинська центральна районна лікарня — реконструкція
</t>
  </si>
  <si>
    <t xml:space="preserve">Спортивний зал по вул. Сокола, 66, с. Старий Чорторийськ Маневицького району — будівництво
</t>
  </si>
  <si>
    <t>роботи виконано 
(план на 2015 р.)</t>
  </si>
  <si>
    <t xml:space="preserve">Дах стаціонарного відділення Заболоттівської районної лікарні N 2 по вул. Стадіонній, 38, смт Заболоття Ратнівського району — реконструкція
</t>
  </si>
  <si>
    <t>б/н від 21.12.2015</t>
  </si>
  <si>
    <t xml:space="preserve">Впровадження комплексу заходів з розвитку місцевої інфраструктури Поліського краю
</t>
  </si>
  <si>
    <t>б/н від 29.12.2015</t>
  </si>
  <si>
    <t xml:space="preserve">Двоповерхове приміщення дитячих ясел-садка по вул. Набережній, смт Ратне — будівництво
</t>
  </si>
  <si>
    <t xml:space="preserve">Рожищенська районна дитячо-юнацька спортивна школа по вул. Гагаріна, 40, м. Рожище — реконструкція з улаштуванням паливної
</t>
  </si>
  <si>
    <t xml:space="preserve">Дошкільний навчальний заклад, с. Смолярі Старовижівського району — реконструкція
</t>
  </si>
  <si>
    <t xml:space="preserve">Дошкільний навчальний заклад № 2 по вул. Луцькій, 25, смт Турійськ — реконструкція
</t>
  </si>
  <si>
    <t xml:space="preserve">Покращення якості води громади м. Устилуга шляхом завершенням робіт з реконструкції водогону IV черги міста
</t>
  </si>
  <si>
    <t xml:space="preserve">Мережі водовідведення в мікрорайоні Вересневе, м. Луцьк (перша черга) — будівництво
</t>
  </si>
  <si>
    <t xml:space="preserve">декларація № ВЛ 143160041421 від 04.01.2016 </t>
  </si>
  <si>
    <t xml:space="preserve">Мережі водовідведення на Львівському масиві, м. Луцьк — будівництво
</t>
  </si>
  <si>
    <t xml:space="preserve">декларація № ВЛ 143160041450 від 04.01.2016 </t>
  </si>
  <si>
    <t xml:space="preserve">Школа I - III ступеня по вул. Шкільній, с. Житнівка Камінь-Каширського району — будівництво
</t>
  </si>
  <si>
    <t>б/н від 10.12.2015</t>
  </si>
  <si>
    <t xml:space="preserve">декларація № ВЛ 14315341261 від 15.12.2015 </t>
  </si>
  <si>
    <t>ДНІПРОПЕТРОВСЬКА</t>
  </si>
  <si>
    <r>
      <t xml:space="preserve">Пішохідні переходи закритого типу на різних рівнях із проїзною частиною по просп. Газети "Правда", м. Дніпропетровськ — будівництво (перша черга)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</si>
  <si>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Трамвайні колії та благоустрій на просп. Південному, м. Кривий Ріг —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</si>
  <si>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Частина будівлі по просп. Леніна, 36, м. Дніпродзержинськ — реконструкція під Заводський районний територіальний центр соціального обслуговування пенсіонерів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</si>
  <si>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Троїцький собор, м. Новомосковськ — реставрація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</si>
  <si>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Трубопровід водопостачання сіл Південне та Залізничників у м. Павлограді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</si>
  <si>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Водопровід Кривий Ріг - Валове (дільниця Кіровка - Гейківка) ПК28+20 - підключення с. Ранній Ранок Криворізького району —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</si>
  <si>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Придбання шкільних автобусів
</t>
  </si>
  <si>
    <t>договір №47 від 03.11.15</t>
  </si>
  <si>
    <t xml:space="preserve">Реконструкція магістрального водопроводу на Голубівські очисні споруди від водозабору до станції очистки, смт Гвардійське Новомосковського району
</t>
  </si>
  <si>
    <t>2015</t>
  </si>
  <si>
    <t xml:space="preserve">Водоочисні споруди, с. Голубівка Новомосковського району — реконструкція
</t>
  </si>
  <si>
    <t xml:space="preserve">Підвідний водовід Солоне - Сергіївка - Широке Солонянського району — будівництво
</t>
  </si>
  <si>
    <t xml:space="preserve">Підвідний водовід до с. Чкалове Нікопольського району — будівництво
</t>
  </si>
  <si>
    <t xml:space="preserve">Система водопостачання с-ща Романкове та 55-го блочка в м. Дніпродзержинську (перша черга) — реконструкція
</t>
  </si>
  <si>
    <t xml:space="preserve">Будівля відділення медико-соціальної реабілітації інвалідів, стаціонарного відділення тимчасового перебування, нічного перебування територіального центру соціального обслуговування пенсіонерів та одиноких непрацездатних громадян, м. Павлоград — реконструкція
</t>
  </si>
  <si>
    <t xml:space="preserve">Водопостачання, с. Петрове, смт Софіївка до межі Запорізької сільської ради Софіївського району — будівництво
</t>
  </si>
  <si>
    <t xml:space="preserve">Могилівський пансіонат геріатрії, с. Могилів Царичанського району — реконструкція, посилення фундаментів
</t>
  </si>
  <si>
    <t xml:space="preserve">Будівля басейну середньої загальноосвітньої школи № 44 по вул. Інтернаціоналістів, 7а, м. Дніпродзержинськ — реконструкція (коригування)
</t>
  </si>
  <si>
    <t xml:space="preserve">Модернізація (реконструкція) мережі зовнішнього освітлення із застосуванням енергозберігаючих технологій — впровадження “світлової” візитної картки міста - демонстраційного зразка ділянки мережі вуличного освітлення автомагістралі міжнародного значення м. Павлоград
</t>
  </si>
  <si>
    <t xml:space="preserve">Створення культурно-просвітницького центру — запорука формування активної громадської позиції, патріотизму та відданості ідеї розбудови територіальної громади Богуславської сільської ради Павлоградського району
</t>
  </si>
  <si>
    <t xml:space="preserve">Створення сприятливих умов для надання первинної медико-санітарної допомоги лікарями загальної практики сімейної медицини мешканцям с. Хутірське Петриківського району
</t>
  </si>
  <si>
    <t xml:space="preserve">Енергозберігаючі заходи в дошкільному навчальному закладі “Барвінок” для комфорту і затишку вихованців Олександрівська сільська рада Покровського району
</t>
  </si>
  <si>
    <t xml:space="preserve">Створення інноваційних умов для всебічного розвитку дітей на базі Широківської районної школи мистецтв
</t>
  </si>
  <si>
    <t xml:space="preserve">На шляху до європейських стандартів медичних послуг. Запровадження пілотного проекту з телемедицини на базі міських та районних лікарень області в умовах реформування системи охорони здоров’я Дніпропетровської обласної ради
</t>
  </si>
  <si>
    <t xml:space="preserve">Впровадження інноваційних енерго- та ресурсозберігаючих технологій для забезпечення сталого розвитку та інституційної сталості закладів соціально-культурної сфери у паливних брикетах Межівської районної ради
</t>
  </si>
  <si>
    <t xml:space="preserve">Виховання у дошкільників основ національної самосвідомості та їх фізичного розвитку шляхом створення зовнішнього розвивального середовища у стилі козацтва з елементами петриківського розпису Петриківської селищної ради Петриківського району
</t>
  </si>
  <si>
    <t xml:space="preserve">Школа по вул. Центральній, 61, с. Почино-Софіївка Магдалинівського району — реконструкція приміщень під навчально-виховний комплекс
</t>
  </si>
  <si>
    <t xml:space="preserve">Дошкільний заклад, с. Василівка Солонянського району — реконструкція
</t>
  </si>
  <si>
    <t xml:space="preserve">Водогін Марганець — Томаківка — реконструкція (третя черга)
</t>
  </si>
  <si>
    <t xml:space="preserve">Система водопостачання південної частини смт Царичанка — реконструкція
</t>
  </si>
  <si>
    <t xml:space="preserve">Дошкільний заклад “Оксанка” по вул. Солнцева, 86, с. Вербки Павлоградського району — реконструкція
</t>
  </si>
  <si>
    <t xml:space="preserve">Інноваційні механізми забезпечення профілактики захворювань шлунково-кишкового тракту у дітей дошкільного та шкільного віку у комунальних закладах освіти Новомосковської міської ради
</t>
  </si>
  <si>
    <t xml:space="preserve">Створення регіонального осередку естетичного виховання дітей та молоді Верхньодніпровської районної дитячої філармонії “Подорож до країни Музика” Верхньодніпровської районної ради
</t>
  </si>
  <si>
    <t xml:space="preserve">Використовування технологій енерго- ресурсозбереження в Казначеївському дитячому навчальному закладі “Сонечко” Казначеївської сільської ради Магдалинівського району
</t>
  </si>
  <si>
    <t xml:space="preserve">“Чисто не там де прибирають, а там де не смітять”, Слов’янська сільська рада Межівського району
</t>
  </si>
  <si>
    <t xml:space="preserve">Пілотний проект інноваційної моделі культурно-спортивного комплексу “Вербківська перлина” Вербківської сільської ради Павлоградського району
</t>
  </si>
  <si>
    <t xml:space="preserve">Поліпшення надання якісних освітніх послуг шляхом впровадження новітніх інформаційно-комунікативних технологій та використання енергозберігаючих засобів Покровської районної ради
</t>
  </si>
  <si>
    <t xml:space="preserve">Відновлення вуличного освітлення населених пунктів Чапаєвської сільської ради Широківського району на основі використання енергії сонця
</t>
  </si>
  <si>
    <t xml:space="preserve">"Європейська модель українського села", Чумаківська сільська рада Дніпропетровського району
</t>
  </si>
  <si>
    <t xml:space="preserve">Затишний, модернізований сільський клуб - соціокультурний центр сільської громади Привовчанської сільської ради Павлоградського району
</t>
  </si>
  <si>
    <t xml:space="preserve">Втілення організаційно-технічних інновацій по модернізації сільського будинку культури як осередку творчої активності територіальної громади с. Богуслав Павлоградського району
</t>
  </si>
  <si>
    <t xml:space="preserve">Реалізація концепції людського розвитку через створення центру позитивних змін в Кисличуватській громаді Томаківського району з інтеграцією в фізкультурно-інтелектуальний простір. Спортивні плани у громаді - кисличуватці всі їм раді
</t>
  </si>
  <si>
    <t xml:space="preserve">“SmartCity”. Конкурентоспроможність та сталий розвиток через електронне урядування
</t>
  </si>
  <si>
    <t xml:space="preserve">Дитячі ясла-садок в смт Новопокровка Солонянського району — реконструкція покрівлі
</t>
  </si>
  <si>
    <t>ДОНЕЦЬКА</t>
  </si>
  <si>
    <r>
      <t xml:space="preserve">Дитячий оздоровчий комплекс “Смарагдове містечко”, м. Святогірськ — будівництво загальноосвітньої школи на 440 місць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- 686,751 тис.)
</t>
    </r>
  </si>
  <si>
    <t>2001-2015</t>
  </si>
  <si>
    <r>
      <t xml:space="preserve">Дитячий садок “Аліса” з встановленням блочної міні-котельні, смт Мангуш Першотравневого району (другий пусковий комплекс) — реконструкція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- 5,059 тис.)
</t>
    </r>
  </si>
  <si>
    <t xml:space="preserve">Будівля гуртожитку по вул. Гаршина, 78а, м. Артемівськ — реконструкція під житловий будинок
</t>
  </si>
  <si>
    <t xml:space="preserve">Нежитлові будівлі по вул. Південній, 2а, м. Артемівськ — реконструкція під гуртожиток та автономну котельню
</t>
  </si>
  <si>
    <t xml:space="preserve">Будівля Артемівської загальноосвітньої школи I-III ступеня № 5 з профільним навчанням Артемівської міської ради — реконструкція: утеплення фасадів, покрівлі, заміна вікон та дверей (термомодернізація)
</t>
  </si>
  <si>
    <t xml:space="preserve">Будівля Артемівської загальноосвітньої школи I-III ступеня № 18 з профільним навчанням Артемівської міської ради — реконструкція: утеплення фасадів, покрівлі, заміна вікон та дверей (термомодернізація)
</t>
  </si>
  <si>
    <t xml:space="preserve">Поліклініка по вул. Сибірцева, 15, м. Артемівськ — реконструкція старої та нової будівель з благоустроєм території та заміною інженерних комунікацій
</t>
  </si>
  <si>
    <t>№2 від 22.12.2015</t>
  </si>
  <si>
    <t xml:space="preserve">декларація № ДЦ 143153591274 від 25.12.2015 </t>
  </si>
  <si>
    <t xml:space="preserve">Магістральні мережі водопостачання по вулицях Оборони і Колпакової, м. Артемівськ — реконструкція
</t>
  </si>
  <si>
    <t xml:space="preserve">Універсальний блок Вугледарської загальноосвітньої школи I-III ступеня № 3 — реконструкція для розміщення груп дитячого садка і обладнання на території школи ігрових майданчиків для дітей дошкільного віку (без зовнішнього електропостачання)
</t>
  </si>
  <si>
    <t xml:space="preserve">Будівля загальноосвітньої школи I-III ступеня № 16, м. Краматорськ — капітальний ремонт, заміна вікон та дверей, утеплення фасадів та покрівлі
</t>
  </si>
  <si>
    <t xml:space="preserve">Філія загальноосвітньої школи № 6 по вул. Дитячій, 2, м. Краматорськ — реконструкція для відкриття 2-х дошкільних груп
</t>
  </si>
  <si>
    <t xml:space="preserve">Котельня “Лазурний” по вул. Беляєва, 86, м. Краматорськ — реконструкція з установкою котла КВ-ГМ-10
</t>
  </si>
  <si>
    <t xml:space="preserve">Котельня 179 квартал по вул. О. Вишні, м. Краматорськ. Ділянка від теплової камери 41 до теплової камери 42 - реконструкція теплових мереж з використанням труб в пінополіуретановій ізоляції
</t>
  </si>
  <si>
    <t>№1 від 07.12.2015</t>
  </si>
  <si>
    <t xml:space="preserve">Котельня 179 квартал по вул. О. Вишні, м. Краматорськ. Ділянка від теплової камери 42 до теплової камери 43 — реконструкція теплових мереж з використанням труб в пінополіуретановій ізоляції
</t>
  </si>
  <si>
    <t xml:space="preserve">Котельня 186 квартал по вул. Ювілейній, м. Краматорськ. Ділянка від теплової камери 55 до теплової камери 57 — реконструкція теплових мереж з використанням труб в пінополіуретановій ізоляції
</t>
  </si>
  <si>
    <t>№1 від 15.12.2015</t>
  </si>
  <si>
    <t xml:space="preserve">Котельня “1 Мая” по вул. 1 Мая, 4, м. Краматорськ. Ділянка від теплової камери 1 до теплової камери 22 — реконструкція теплових мереж з використанням труб в пінополіуретановій ізоляції
</t>
  </si>
  <si>
    <t xml:space="preserve">Котельня “1 Мая” по вул. 1 Мая, 4, м. Краматорськ. Ділянка від теплової камери 4 до теплової камери 5 — реконструкція теплових мереж з використанням труб в пінополіуретановій ізоляції
</t>
  </si>
  <si>
    <t>№1 від 25.12.2015</t>
  </si>
  <si>
    <t xml:space="preserve">Котельня 186 квартал по вул. Ювілейній, м. Краматорськ. Ділянка від теплової камери 57 до теплової камери 58 — реконструкція теплових мереж з використанням труб в пінополіуретановій ізоляції
</t>
  </si>
  <si>
    <t xml:space="preserve">Котельня 186 квартал по вул. Ювілейній, м. Краматорськ. Ділянка від теплової камери 15 до теплової камери 16 — реконструкція теплових мереж з використанням труб в пінополіуретановій ізоляції
</t>
  </si>
  <si>
    <t xml:space="preserve">Системи водопостачання по вул. Соціалістичній, м. Краматорськ — реконструкція з облаштуванням регуляторів тиску
</t>
  </si>
  <si>
    <t>№3/2 від 24.12.2015</t>
  </si>
  <si>
    <t xml:space="preserve">Системи водопостачання по вул. Шкадінова, м. Краматорськ — реконструкція з облаштуванням регуляторів тиску
</t>
  </si>
  <si>
    <t>№2/1 від 24.12.2015</t>
  </si>
  <si>
    <t xml:space="preserve">Системи водопостачання по 133 кварталу, м. Краматорськ — реконструкція з облаштуванням регуляторів тиску
</t>
  </si>
  <si>
    <t>№5/2 від 24.12.2015</t>
  </si>
  <si>
    <t xml:space="preserve">Насосна станція II-го підйому м. Краматорськ — реконструкція
</t>
  </si>
  <si>
    <t>№1 від 24.12.2015</t>
  </si>
  <si>
    <t xml:space="preserve">Насосна станція підкачки по вул. Героїв Союзу, м. Краматорськ — реконструкція
</t>
  </si>
  <si>
    <t xml:space="preserve">Насосна станція (каскад) підкачки по вул. Шкільній, 29а, м. Краматорськ — реконструкція
</t>
  </si>
  <si>
    <t xml:space="preserve">Тролейбусна мережа від вул. Паркової по вулицях Орджонікідзе, Горького, Р. Люксембург, Шкільній із зворотним кільцем на пл. Привокзальній, вулицях Залізничній і Народній, м. Краматорськ — будівництво
</t>
  </si>
  <si>
    <t>№1-14 від 28.12.2015</t>
  </si>
  <si>
    <t xml:space="preserve">декларація № ДЦ 143160140471 від 14.01.2016 </t>
  </si>
  <si>
    <t xml:space="preserve">Краматорська загальноосвітня школа № 35 по вул. Ювілейній, 46, м. Краматорськ — капітальний ремонт (санація)
</t>
  </si>
  <si>
    <t xml:space="preserve">Будівля загальноосвітньої школи № 4 по вул. Двірцева, 48а, м. Краматорськ — капітальний ремонт (санація)
</t>
  </si>
  <si>
    <t xml:space="preserve">Вугільна контейнерна котельня та підвідні зовнішні мережі для опалення та гарячого водопостачання дошкільного навчального закладу № 32 “Топольок” по вул. Леніна, 6, м. Гірник — будівництво
</t>
  </si>
  <si>
    <t xml:space="preserve">Вугільна контейнерна котельня та підвідні зовнішні мережі для опалення загальноосвітньої школи I-III ступеня № 6 по вул. Леніна, 19, м. Селидове — будівництво
</t>
  </si>
  <si>
    <t xml:space="preserve">Газифікація м. Святогірська (другий пусковий комплекс)
</t>
  </si>
  <si>
    <t xml:space="preserve">Водовід № 4 від вул. Коротченка до вул. Нахімова, м. Слов’янськ — реконструкція
</t>
  </si>
  <si>
    <t xml:space="preserve">Водовід по вул. Олімпійській, м. Слов’янськ — реконструкція
</t>
  </si>
  <si>
    <t xml:space="preserve">Водопровідні мережі по вул. Комунарів від вул. Леніна до вул. Юних Комунарів, від вул. Юних Комунарів до вулиць Профінтерну і 1-го Травня, м. Слов’янськ — реконструкція
</t>
  </si>
  <si>
    <t xml:space="preserve">Водовід № 6 по вулицях Губкіна і Д. Бедного, м. Слов’янськ — реконструкція
</t>
  </si>
  <si>
    <t xml:space="preserve">Водовід по вул. Аграрній, м. Слов’янськ — реконструкція
</t>
  </si>
  <si>
    <t xml:space="preserve">Напірний каналізаційний колектор від каналізаційної насосної станції № 5 до очисних споруд в районі балки Мазанов Яр, м. Слов’янськ — реконструкція
</t>
  </si>
  <si>
    <t xml:space="preserve">Напірний каналізаційний колектор від каналізаційної насосної станції № 6 до очисних споруд в районі вул. Новосодівської, м. Слов’янськ — реконструкція
</t>
  </si>
  <si>
    <t xml:space="preserve">Напірний каналізаційний колектор від каналізаційної насосної станції № 5 до очисних споруд в районі вулиць Димитрова, вул. Машчерметівської, м. Слов’янськ — реконструкція
</t>
  </si>
  <si>
    <t xml:space="preserve">Водопостачання с. Хлібодарівка Волноваського району (від вул. Леніна, пров. Центрального до вулиць Садової, Нової, Степної)
</t>
  </si>
  <si>
    <t>№849 від 23.12.2015</t>
  </si>
  <si>
    <t xml:space="preserve">Мережа вуличного освітлення м. Волновахи — капітальний ремонт
</t>
  </si>
  <si>
    <t>№1 від 18.12.2015</t>
  </si>
  <si>
    <t xml:space="preserve">Степанівська загальноосвітня школа I-III ступеня, с. Артема Костянтинівського району — реконструкція системи теплопостачання з улаштуванням модульної твердопаливної котельні в окремо розташованій будівлі
</t>
  </si>
  <si>
    <t xml:space="preserve">Загальноосвітня школа I-III ступеня, с. Золоті Пруди Олександрівського району — реконструкція системи опалення
</t>
  </si>
  <si>
    <t>№2 за 12.2015</t>
  </si>
  <si>
    <t xml:space="preserve">Загальноосвітня школа I-III ступеня, с. Степанівка Олександрівського району — реконструкція системи опалення
</t>
  </si>
  <si>
    <t>№1 за 12.2015</t>
  </si>
  <si>
    <t xml:space="preserve">Навчально-виховний комплекс “Загальноосвітня школа I-III ступеня - дитячий дошкільний заклад”, с. Новостепанівка Олександрівського району — реконструкція системи опалення
</t>
  </si>
  <si>
    <t>№3 за 12.2015</t>
  </si>
  <si>
    <t xml:space="preserve">Газопровід середнього тиску до житлових будинків 14-86 по вул. Приморській та житлових будинків 1-17 по вул. Набережній, газифікація смт Ялта Першотравневого району — будівництво
</t>
  </si>
  <si>
    <t>№2 від 24.12.2015</t>
  </si>
  <si>
    <t xml:space="preserve">Будівлі Артемівського психоневрологічного інтернату по вул. Зеленій, 7, с. Весела Долина Артемівського району — капітальний ремонт (термомодернізація) (проектно-вишукувальні роботи)
</t>
  </si>
  <si>
    <t>виготовлено документацію</t>
  </si>
  <si>
    <t xml:space="preserve">Будівля Красноармійського геріатричного пансіонату з психоневрологічним відділенням по вул. Правди, 1, м. Красноармійськ — капітальний ремонт (термомодернізація) (проектно-вишукувальні роботи)
</t>
  </si>
  <si>
    <t xml:space="preserve">Будівлі та споруди Слов’янського психоневрологічного інтернату по вул. Курчатова, 72, м. Слов’янськ - капітальний ремонт (термомодернізація) (проектно-вишукувальні роботи)
</t>
  </si>
  <si>
    <t xml:space="preserve">Будівлі комунальної лікувально-профілактичної установи “Міська психіатрична лікарня № 7 м. Маріуполя” по вул. Пашковського, 4, — капітальний ремонт (термомодернізація) (проектно-вишукувальні роботи)
</t>
  </si>
  <si>
    <t xml:space="preserve">Будівлі комунальної лікувально-профілактичної установи “Міський міжрайонний онкологічний диспансер м. Маріуполя” по просп. Леніна, 80, — капітальний ремонт (термомодернізація) (проектно-вишукувальні роботи)
</t>
  </si>
  <si>
    <t xml:space="preserve">Будівля комунальної лікувально-профілактичної установи “Станція переливання крові м. Маріуполя” по вул. 50 років СРСР, 48, — капітальний ремонт (термомодернізація) (проектно-вишукувальні роботи)
</t>
  </si>
  <si>
    <t xml:space="preserve">Будівлі комунальної лікувально-профілактичної установи “Міська інфекційна лікарня м. Костянтинівки” по вул. Калініна, 17, — капітальний ремонт (термомодернізація) (проектно-вишукувальні роботи)
</t>
  </si>
  <si>
    <t xml:space="preserve">Лікарняний комплекс комунального закладу охорони здоров’я “Перинатальний центр м. Маріуполя” по вул. Металургічній, 1, — капітальний ремонт (термомодернізація) (проектно-вишукувальні роботи)
</t>
  </si>
  <si>
    <t xml:space="preserve">Будівлі комунальної лікувально-профілактичної установи “Обласна психіатрична лікарня м. Слов’янська” по вул. Нарвській, 16, — капітальний ремонт (термомодернізація) (проектно-вишукувальні роботи)
</t>
  </si>
  <si>
    <t xml:space="preserve">П’ятиповерховий гуртожиток Донецького вищого училища олімпійського резерву імені С. Бубки по вул. Благовіщенській, 43, м. Артемівськ — реконструкція (проектно-вишукувальні роботи)
</t>
  </si>
  <si>
    <t xml:space="preserve">Будинок тимчасового помешкання по вул. Космонавтів, 15, м. Дружківка — термомодернізація, капітальний ремонт п’ятого поверху для розміщення внутрішньо переміщених осіб (проектно-вишукувальні роботи)
</t>
  </si>
  <si>
    <t xml:space="preserve">Гуртожиток по вул. Радченка, 36, м. Дружківка — капітальний ремонт (термомодернізація) під гуртожиток сімейного типу (проектно-вишукувальні роботи)
</t>
  </si>
  <si>
    <t>б/н від 24.11.2015</t>
  </si>
  <si>
    <t xml:space="preserve">Багатоповерховий будинок по вул. Дніпропетровській, 1, м. Красноармійськ — капітальний ремонт (термосанація) під гуртожиток для розселення внутрішньо переміщених осіб (проектно-вишукувальні роботи)
</t>
  </si>
  <si>
    <t>б/н від 03.12.2015</t>
  </si>
  <si>
    <t xml:space="preserve">Комунальна медична установа “Центр первинної медико-санітарної допомоги м. Красноармійська” по вул. 40 років Жовтня, 161, — капітальний ремонт (термомодернізація) (проектно-вишукувальні роботи)
</t>
  </si>
  <si>
    <t xml:space="preserve">Дорожнє покриття, м. Слов’янськ — капітальний ремонт (модернізація) (проектно-вишукувальні роботи)
</t>
  </si>
  <si>
    <t xml:space="preserve">Електромережі зовнішнього освітлення, м. Слов’янськ — капітальний ремонт (модернізація) (проектно-вишукувальні роботи)
</t>
  </si>
  <si>
    <t>б/н від 02.12.2015</t>
  </si>
  <si>
    <t xml:space="preserve">Комунальний гуртожиток по вул. Кільцевій, 2а, м. Слов’янськ — капітальний ремонт (модернізація) для розміщення внутрішньо переміщених осіб (проектно-вишукувальні роботи)
</t>
  </si>
  <si>
    <t>б/н від 14.12.2015</t>
  </si>
  <si>
    <t xml:space="preserve">Автомобільна дорога між Содовим заводом № 1 та № 2 з мостом, м. Слов’янськ — реконструкція (проектно-вишукувальні роботи)
</t>
  </si>
  <si>
    <t xml:space="preserve">Тролейбусний маршрут № 5, м. Слов’янськ — капітальний ремонт (відновлення) (проектно-вишукувальні роботи)
</t>
  </si>
  <si>
    <t>б/н від 15.01.2016</t>
  </si>
  <si>
    <t xml:space="preserve">Мережа аварійного водопостачання Волноваського району — будівництво (проектно-вишукувальні роботи)
</t>
  </si>
  <si>
    <t xml:space="preserve">Будівля лікарні для розселення внутрішньо переміщених осіб, смт Володимирівка Волноваського району — капітальний ремонт та підвищення енергоефективності (проектно-вишукувальні роботи)
</t>
  </si>
  <si>
    <t xml:space="preserve">Будівля Волноваської загальноосвітньої школи I-III ступеня № 3 по пров. Урицького, 8, м. Волноваха — капітальний ремонт (термомодернізація) та реконструкція котельні з впровадженням котлів тривалого горіння (проектно-вишукувальні роботи)
</t>
  </si>
  <si>
    <t xml:space="preserve">Напірний колектор та каналізаційна насосна станції першого та другого підйому в с. Кіровське Волноваського району — реконструкція (проектно-вишукувальні роботи)
</t>
  </si>
  <si>
    <t xml:space="preserve">Каналізаційна насосна станції, смт Ближнє Волноваського району — реконструкція (проектно-вишукувальні роботи)
</t>
  </si>
  <si>
    <t xml:space="preserve">Котельня, квартал Сєвєрний, м. Волноваха — реконструкція та модернізація із закриттям котельні №17 (проектно-вишукувальні роботи)
</t>
  </si>
  <si>
    <t xml:space="preserve">Будівля загальноосвітньої школи I-III ступеня № 1, м. Волноваха — капітальний ремонт (термомодернізація) (проектно-вишукувальні роботи)
</t>
  </si>
  <si>
    <t xml:space="preserve">Автодороги, м. Волноваха — реконструкція (проектно-вишукувальні роботи)
</t>
  </si>
  <si>
    <t xml:space="preserve">Водопровідні мережі населених пунктів Златоустівської сільської ради Волноваського району — капітальний ремонт та підвищення якості водопостачання (проектно-вишукувальні роботи)
</t>
  </si>
  <si>
    <t xml:space="preserve">Нежитлова будівля по вул. Будівників, 7а, м. Волноваха — реконструкція під гуртожиток (проектно-вишукувальні роботи)
</t>
  </si>
  <si>
    <t xml:space="preserve">Валер’янівська, Краснівська, Бугаська, Каменська, Гранітненська, Староігнатівська, Донська, Новотроїцька, Рівнопільська, Волноваська № 7, Миколаївська загальноосвітні школи Волноваського району — капітальний ремонт (термомодернізація) шляхом встановлення енергозберігаючих віконних конструкцій (проектно-вишукувальні роботи)
</t>
  </si>
  <si>
    <t xml:space="preserve">Володарська гімназія “Софія” з загальноосвітньою школою I ступеню № 2 по вул. Советській, 23, смт Володарське — капітальний ремонт (термомодернізація) (проектно-вишукувальні роботи)
</t>
  </si>
  <si>
    <t xml:space="preserve">Центральна районна лікарня по вул. Леніна, 1, смт Володарське — капітальний ремонт (термомодернізація) (проектно-вишукувальні роботи)
</t>
  </si>
  <si>
    <t xml:space="preserve">Будівля Мангушської амбулаторії комунального закладу “Першотравневий центр первинної медико-санітарної допомоги” по вул. Поштовій, 22, смт Мангуш — капітальний ремонт (термомодернізація) (проектно-вишукувальні роботи)
</t>
  </si>
  <si>
    <t xml:space="preserve">Будівля для медичних працівників - переселенців по вул. Поштовій, 22, смт Мангуш — капітальний ремонт (проектно-вишукувальні роботи)
</t>
  </si>
  <si>
    <t xml:space="preserve">Будівля Урзуфської амбулаторії загальної практики - сімейної медицини комунального закладу “Першотравневий центр первинної медико-санітарної допомоги" по вул. Леніна, 53б, с. Урзуф Першотравневого району — капітальний ремонт (термомодернізація) (проектно-вишукувальні роботи)
</t>
  </si>
  <si>
    <t xml:space="preserve">Будівлі Першотравневої центральної районної лікарні по вул. Поштовій, 22, смт Мангуш — капітальний ремонт (термомодернізація) (проектно-вишукувальні роботи)
</t>
  </si>
  <si>
    <t xml:space="preserve">Будівлі комунальної медичної установи “Дитяче територіальне медичне об’єднання” по вул. Вознесенського, 20, м. Краматорськ — капітальний ремонт (термомодернізація) (проектно-вишукувальні роботи)
</t>
  </si>
  <si>
    <t xml:space="preserve">Будівлі комунального закладу “Центр первинної медико-санітарної допомоги № 1 м. Краматорська” — капітальний ремонт (термомодернізація) (проектно-вишукувальні роботи)
</t>
  </si>
  <si>
    <t xml:space="preserve">Акушерсько-гінекологічний корпус комунальної медичної установи “Міська лікарня № 1” по вул. Орджонікідзе, 17, м. Краматорськ — капітальний ремонт (термомодернізація) (проектно-вишукувальні роботи)
</t>
  </si>
  <si>
    <t xml:space="preserve">Терапевтичний та урологічний корпуси комунальної медичної установи “Міська лікарня № 2”, м. Краматорськ — капітальний ремонт (термомодернізація) (проектно-вишукувальні роботи)
</t>
  </si>
  <si>
    <t xml:space="preserve">Будівля амбулаторії № 4 комунального закладу “Селидівський центр первинної медико-санітарної допомоги” по вул. Совєтській, 25, м. Гірник, м. Селидове — капітальний ремонт (термомодернізація) (проектно-вишукувальні роботи)
</t>
  </si>
  <si>
    <t xml:space="preserve">Будівля амбулаторії № 6 комунального закладу “Селидівський центр первинної медико-санітарної допомоги”, по вул. Чапаєва, 20, м. Українськ, м. Селидове — капітальний ремонт (термомодернізація) (проектно-вишукувальні роботи)
</t>
  </si>
  <si>
    <t xml:space="preserve">Будівля Мар’їнського дошкільного навчального закладу № 56 “Золотий ключик” по вул. Заводській, 14, м. Мар’їнка — капітальний ремонт (термомодернізація) (проектно-вишукувальні роботи)
</t>
  </si>
  <si>
    <t xml:space="preserve">Будівля комунального лікувально-профілактичного закладу “Мар’їнська міська поліклініка” по просп. Ворошилова, 22а, м. Мар’їнка — капітальний ремонт (термомодернізація) (проектно-вишукувальні роботи)
</t>
  </si>
  <si>
    <t>б/н від 15.12.2015</t>
  </si>
  <si>
    <t xml:space="preserve">Комплекс будівель комунальної лікувально-профілактичної установи “Мар’їнська центральна районна лікарня” по вул. Нахімова, 1, м. Красногорівка — капітальний ремонт (термомодернізація) (проектно-вишукувальні роботи)
</t>
  </si>
  <si>
    <t xml:space="preserve">Будівля дошкільного навчального закладу № 5 “Ластівка” по вул. Чапаєва, 2, с. Комишувате Першотравневого району — капітальний ремонт (термомодернізація) (проектно-вишукувальні роботи)
</t>
  </si>
  <si>
    <t xml:space="preserve">Будівлі Краматорського дошкільного навчального закладу № 8 по бульв. Краматорському, 22а, м. Краматорськ — капітальний ремонт (термомодернізація) (проектно-вишукувальні роботи)
</t>
  </si>
  <si>
    <t xml:space="preserve">Будівлі Краматорського дошкільного навчального закладу № 87 по вул. Білгородській, 99, м. Краматорськ — капітальний ремонт (термомодернізація) (проектно-вишукувальні роботи)
</t>
  </si>
  <si>
    <t xml:space="preserve">Будівлі Краматорського дошкільного навчального закладу № 34 по вул. Катеринича, 34а, м. Краматорськ — капітальний ремонт (термомодернізація) (проектно-вишукувальні роботи)
</t>
  </si>
  <si>
    <t xml:space="preserve">Будівлі Краматорського дошкільного навчального закладу № 51 по вул. Горького, 4, м. Краматорськ — капітальний ремонт (термомодернізація) (проектно-вишукувальні роботи)
</t>
  </si>
  <si>
    <t xml:space="preserve">Будівлі Краматорського дошкільного навчального закладу № 60 по вул. Шкадинова, 86а, м. Краматорськ — капітальний ремонт (термомодернізація) (проектно-вишукувальні роботи)
</t>
  </si>
  <si>
    <t xml:space="preserve">Будівлі Краматорської загальноосвітньої школи I-III ступеня № 8 по вул. Дворцова, 57а, м. Краматорськ — капітальний ремонт (термомодернізація) (проектно-вишукувальні роботи)
</t>
  </si>
  <si>
    <t xml:space="preserve">Будівлі Краматорської загальноосвітньої школи I-III ступеня № 2 по вул. О. Вишні, 15, м. Краматорськ — капітальний ремонт (термомодернізація) (проектно-вишукувальні роботи)
</t>
  </si>
  <si>
    <t xml:space="preserve">Будівлі Краматорської загальноосвітньої школи I-III ступеня № 18 по вул. О. Кошевого, 18, м. Краматорськ — капітальний ремонт (термомодернізація) (проектно-вишукувальні роботи)
</t>
  </si>
  <si>
    <t xml:space="preserve">Будівлі Краматорської загальноосвітньої школи I-III ступеня № 33 по вул. Білогородській, 95, м. Краматорськ — капітальний ремонт (термомодернізація) (проектно-вишукувальні роботи)
</t>
  </si>
  <si>
    <t xml:space="preserve">Будівлі Краматорської загальноосвітньої школи I-III ступеня № 25 по вул. Б. Хмельницького, 25, м. Краматорськ — капітальний ремонт (термомодернізація) (проектно-вишукувальні роботи)
</t>
  </si>
  <si>
    <t xml:space="preserve">Будівля Галицинівської загальноосвітньої школи I-III ступенів по вул. Середи, 1а, с. Галицинівка Мар’їнського району — капітальний ремонт (термомодернізація) (проектно-вишукувальні роботи)
</t>
  </si>
  <si>
    <t>б/н від 07.12.2015</t>
  </si>
  <si>
    <t xml:space="preserve">Будівля Павлівської загальноосвітньої школи I-III ступенів по вул. Леніна, 73, с. Павлівка Мар’їнського району — капітальний ремонт (термомодернізація) (проектно-вишукувальні роботи)
</t>
  </si>
  <si>
    <t xml:space="preserve">Степанівська загальноосвітня школа I-III ступеня по вул. Шкільній, 1, с-ще Артема Костянтинівського району — капітальний ремонт (термомодернізація) (проектно-вишукувальні роботи)
</t>
  </si>
  <si>
    <t xml:space="preserve">Олександро-Калинівська загальноосвітня школа I-III ступеня по вул. Крупської, 7, с. Олександро-Калинове Костянтинівського району — капітальний ремонт (термомодернізація) (проектно-вишукувальні роботи)
</t>
  </si>
  <si>
    <t xml:space="preserve">Будівля дошкільного навчального закладу № 31 “Білосніжка” по вул. Чапаєва, 65а, с. Ілліча Костянтинівського району — капітальний ремонт (термомодернізація) (проектно-вишукувальні роботи)
</t>
  </si>
  <si>
    <t xml:space="preserve">Будівля Добропільської загальноосвітньої школи I-III ступеня по вул. Шкільній, 30, с. Добропілля Добропільського району — капітальний ремонт (термомодернізація) (проектно-вишукувальні роботи)
</t>
  </si>
  <si>
    <t xml:space="preserve">Будівля Світлівської загальноосвітньої школи I-III ступеня по вул. Шкільній, 19а, с-ще Світле Добропільського району — капітальний ремонт (термомодернізація) (проектно-вишукувальні роботи)
</t>
  </si>
  <si>
    <t xml:space="preserve">Нежитлова будівля-гуртожиток по вул. Крупської, 4, м. Красний Лиман — реконструкція (проектно-вишукувальні роботи)
</t>
  </si>
  <si>
    <t xml:space="preserve">Корпуси комунального закладу охорони здоров’я “Олександрівська лікарня планового лікування” вул. Степанова, 8, смт Олександрівка — капітальний ремонт (термомодернізація) (проектно-вишукувальні роботи)
</t>
  </si>
  <si>
    <t xml:space="preserve">Зовнішнє освітлення (світлодіоди) просп. Ломоносова, вулиць Ємельянова, Леніна, Бєлоусова, Мірошніченко, м. Костянтинівка — реконструкція
</t>
  </si>
  <si>
    <t>ЖИТОМИРСЬКА</t>
  </si>
  <si>
    <r>
      <t xml:space="preserve">Коригування робочого проекту по об'єкту "Середня школа N 1 по вул. Інтернаціональній в м. Олевську" — будівництво (блок- секція 2-4-х класів на 120 учнівських місць)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120,863)
</t>
    </r>
  </si>
  <si>
    <t xml:space="preserve">Центральний стадіон, м. Житомир — реконструкція західної трибуни
</t>
  </si>
  <si>
    <t xml:space="preserve">Дошкільний навчальний заклад № 58 по вул. Крошенській, 12б, м. Житомир — реконструкція приміщень
</t>
  </si>
  <si>
    <t xml:space="preserve">Дошкільний навчальний заклад № 32 по вул. Якубовського, 10, м. Житомир — реконструкція приміщень
</t>
  </si>
  <si>
    <t xml:space="preserve">Придбання автобусів для перевезення учнів до загальноосвітніх закладів Андрушівського району
</t>
  </si>
  <si>
    <t xml:space="preserve">Котельня на твердому паливі Івницької загальноосвітньої школи I-II ступеня по вул. Вересковій, 1, с. Івниця Андрушівського району — будівництво
</t>
  </si>
  <si>
    <t>№3 від 28.12.2015</t>
  </si>
  <si>
    <t xml:space="preserve">Дитяча школа мистецтв по вул. Леніна, 11, м. Андрушівка — реконструкція
</t>
  </si>
  <si>
    <t>№16 від 24.12.2015</t>
  </si>
  <si>
    <t xml:space="preserve">Шкільний автобус як запорука організації регулярного безоплатного перевезення учнів до місць навчання і додому у Баранівському районі
</t>
  </si>
  <si>
    <t xml:space="preserve">Нежитлова будівля (пам’ятка історії) по вул. Європейській, 21, м. Бердичів — реставраційно-ремонтні роботи з відновлення функції театру
</t>
  </si>
  <si>
    <t xml:space="preserve">Нежитлова будівля спортивної школи по вул. Європейській, 35/1, м. Бердичів — реконструкція для розміщення Бердичівської дитячо-юнацької спортивної школи імені В.О. Лонського
</t>
  </si>
  <si>
    <t xml:space="preserve">Напірний колектор мікрорайону ВАТ “Цукрорафінадний завод”, м. Бердичів — будівництво
</t>
  </si>
  <si>
    <t xml:space="preserve">Каналізаційно-насосна станція мікрорайону ВАТ “Цукрорафінадний завод”, м. Бердичів — будівництво
</t>
  </si>
  <si>
    <t xml:space="preserve">Самопливний колектор мікрорайону ВАТ “Цукрорафінадний завод”, м. Бердичів — реконструкція
</t>
  </si>
  <si>
    <t xml:space="preserve">Шкільний автобус як запорука організації регулярного безоплатного перевезення учнів до місць навчання і додому у Бердичівському районі
</t>
  </si>
  <si>
    <t xml:space="preserve">Котельня з встановленням твердопаливного котла Центральної районної лікарні Бердичівського району, м. Бердичів — реконструкція
</t>
  </si>
  <si>
    <t>№1 від 10.11.2015</t>
  </si>
  <si>
    <t>декларація № ЖТ 143153380730 від 03.12.2015</t>
  </si>
  <si>
    <t xml:space="preserve">Мережа водопостачання, с. Великі Низгірці Бердичівського району — будівництво
</t>
  </si>
  <si>
    <t>№2 від 31.12.2015</t>
  </si>
  <si>
    <t>декларація № ЖТ 083153582405 від 25.12.2015</t>
  </si>
  <si>
    <t xml:space="preserve">Шкільний автобус як запорука організації регулярного безоплатного перевезення учнів до місць навчання і додому у Ємільчинському районі
</t>
  </si>
  <si>
    <t xml:space="preserve">Облаштування плавального басейну в молодіжно-спортивному комплексі “Юність”, смт Ємільчине
</t>
  </si>
  <si>
    <t xml:space="preserve">Дитячий садок “Журавлик”, с. Вереси Житомирського району — реконструкція
</t>
  </si>
  <si>
    <t>№3 від 16.12.2015</t>
  </si>
  <si>
    <t xml:space="preserve">Шкільний автобус як запорука організації регулярного безоплатного перевезення учнів до місць навчання і додому у Коростишівському районі
</t>
  </si>
  <si>
    <t xml:space="preserve">Мінікотельня для Коростишівської загальноосвітньої школи I-III ступеня № 1 по вул. Шевченка, 39, м. Коростишів — будівництво
</t>
  </si>
  <si>
    <t>№4 від 13.10.2015</t>
  </si>
  <si>
    <t>декларація № ЖТ 142153351474 від 01.12.2015</t>
  </si>
  <si>
    <t xml:space="preserve">Котельня по вул. К. Маркса, 61а, м. Коростень — технічне переоснащення
</t>
  </si>
  <si>
    <t>№1 від 28.12.2015</t>
  </si>
  <si>
    <t xml:space="preserve">Загальноосвітня школа № 3 I-III ступеня по вул. Суворова, 1, м. Малин — будівництво внутрішніх санвузлів
</t>
  </si>
  <si>
    <t xml:space="preserve">Шкільний автобус як запорука організації регулярного безоплатного перевезення учнів до місць навчання і додому у Народицькому районі
</t>
  </si>
  <si>
    <t xml:space="preserve">Шкільний автобус як запорука організації регулярного безоплатного перевезення учнів до місць навчання і додому у Новоград-Волинському районі
</t>
  </si>
  <si>
    <t xml:space="preserve">Шкільний автобус як запорука організації регулярного безоплатного перевезення учнів до місць навчання і додому у Любарському районі
</t>
  </si>
  <si>
    <t xml:space="preserve">Шкільний автобус як запорука організації регулярного безоплатного перевезення учнів до місць навчання і додому в Овруцькому районі
</t>
  </si>
  <si>
    <t xml:space="preserve">Дошкільний навчальний заклад “Дзвіночок” по вул. Леніна, 66, с. Кишин Олевського району — реконструкція інженерних мереж та внутрішнього оздоблення
</t>
  </si>
  <si>
    <t xml:space="preserve">№3 від 18.12.2015 </t>
  </si>
  <si>
    <t xml:space="preserve">Шкільний автобус як запорука організації регулярного безоплатного перевезення учнів до місць навчання і додому у Попільнянському районі
</t>
  </si>
  <si>
    <t xml:space="preserve">Жовтнева загальноосвітня школа I-III ступеня по вул. Першотравневій, 5, с. Жовтневе Попільнянського району — реконструкція котельні
</t>
  </si>
  <si>
    <t>№12 від 20.11.2015</t>
  </si>
  <si>
    <t xml:space="preserve">Романівська загальноосвітня школа I-III ступеня по вул. Рильського, 1, с. Романівка Попільнянського району — реконструкція котельні
</t>
  </si>
  <si>
    <t xml:space="preserve">Шкільний автобус як запорука організації регулярного безоплатного перевезення учнів до місць навчання і додому у Радомишльському районі
</t>
  </si>
  <si>
    <t xml:space="preserve">Шкільний автобус як запорука організації регулярного безоплатного перевезення учнів до місць навчання і додому у Черняхівському районі
</t>
  </si>
  <si>
    <t xml:space="preserve">Школа на 864 учні по вул. Калініна, 14, смт Черняхів (друга черга, другий пусковий комплекс, блок “Б”) — будівництво
</t>
  </si>
  <si>
    <t xml:space="preserve">Шкільний автобус як запорука організації регулярного безоплатного перевезення учнів до місць навчання і додому у Чуднівському районі
</t>
  </si>
  <si>
    <t xml:space="preserve">Полігон твердих побутових відходів, м. Новоград-Волинський (другий пусковий комплекс) — будівництво
</t>
  </si>
  <si>
    <t xml:space="preserve">Мережа водопостачання, с. Бенедівка Бердичівського району — будівництво
</t>
  </si>
  <si>
    <t xml:space="preserve">Мережа водопостачання, с. Радянське Бердичівського району — будівництво
</t>
  </si>
  <si>
    <t xml:space="preserve">Котельня Озадівської загальноосвітньої школи, с. Озадівка Бердичівського району — реконструкція з переведенням на альтернативні види палива
</t>
  </si>
  <si>
    <t>декларація № ЖТ 143153550745 від 23.12.2015</t>
  </si>
  <si>
    <t xml:space="preserve">Котельня Маркушівської загальноосвітньої школи I-III ступеня по вул. Леніна, 51, с. Маркуші Бердичівського району — реконструкція
</t>
  </si>
  <si>
    <t>№2 від 23.12.2015</t>
  </si>
  <si>
    <t>декларація № ЖТ 143153572393 від 23.12.2015</t>
  </si>
  <si>
    <t xml:space="preserve">Котельня Великоп’ятигірської загальноосвітньої школи I-II ступеня по вул. Леніна, 25, с. Велика П’ятигірка Бердичівського району — реконструкція
</t>
  </si>
  <si>
    <t>б/н від 16.12.2015</t>
  </si>
  <si>
    <t>декларація № ЖТ 143153550720 від 23.12.2015</t>
  </si>
  <si>
    <t xml:space="preserve">Котельня Райгородоцької загальноосвітньої школи, с. Райгородок Бердичівського району — реконструкція із переведенням на альтернативні види палива
</t>
  </si>
  <si>
    <t>декларація № ЖТ 143153572404 від 23.12.2015</t>
  </si>
  <si>
    <t xml:space="preserve">Котельня Скраглівської загальноосвітньої школи I-III ступеня по вул. Миру, 25, с. Скраглівка Бердичівського району — реконструкція
</t>
  </si>
  <si>
    <t>№2а від 23.12.2015</t>
  </si>
  <si>
    <t>декларація № ЖТ 143153572728 від 23.12.2015</t>
  </si>
  <si>
    <t xml:space="preserve">Будівлі Новоборівського центру розвитку дитини “Казка” по вул. Кірова, 2, смт Нова Борова Володарсько-Волинського району — проведення санації (реконструкції)
</t>
  </si>
  <si>
    <t>№2 від 28.12.2015</t>
  </si>
  <si>
    <t xml:space="preserve">Приміщення жіночої консультації по вул. Леніна, 6, с. Білка Коростенського району — реконструкція під дошкільний дитячий заклад
</t>
  </si>
  <si>
    <t>№2 від 18.12.2015</t>
  </si>
  <si>
    <t xml:space="preserve">Станція очистки води господарсько-питного водопостачання, с. Михайлівка Коростенського району — будівництво
</t>
  </si>
  <si>
    <t>№50/10 від 22.12.2015</t>
  </si>
  <si>
    <t xml:space="preserve">Котельня Мотовилівської загальноосвітньої школи I-III ступеня, с. Мотовилівка Любарського району — реконструкція
</t>
  </si>
  <si>
    <t>№1 від 09.11.2015</t>
  </si>
  <si>
    <t>декларація № ЖТ 142153442054 від 11.12.2015</t>
  </si>
  <si>
    <t xml:space="preserve">Котельня Великодеревичівської загальноосвітньої школи I-III ступеня, с. Великі Деревичі Любарського району — реконструкція
</t>
  </si>
  <si>
    <t>декларація № ЖТ 142153442117 від 11.12.2015</t>
  </si>
  <si>
    <t xml:space="preserve">Котельня Любарської центральної районної лікарні — реконструкція
</t>
  </si>
  <si>
    <t>№2 від 04.11.2015</t>
  </si>
  <si>
    <t xml:space="preserve">Котельня Ягнятинської загальноосвітньої школи I-III ступеня, с. Ягнятин Ружинського району — реконструкція
</t>
  </si>
  <si>
    <t>№2 від 17.12.2015</t>
  </si>
  <si>
    <t>декларація № ЖТ 142153620518 від 29.12.2015</t>
  </si>
  <si>
    <t xml:space="preserve">Котельня Топорівської загальноосвітньої школи I-III ступеня, с. Топори Ружинського району — реконструкція
</t>
  </si>
  <si>
    <t>декларація № ЖТ 142153620505 від 29.12.2015</t>
  </si>
  <si>
    <t xml:space="preserve">Котельня Бистрицької загальноосвітньої школи I-III ступеня, с. Бистрик Ружинського району — реконструкція
</t>
  </si>
  <si>
    <t>декларація № ЖТ 142153620495 від 29.12.2015</t>
  </si>
  <si>
    <t xml:space="preserve">Шкільний автобус як запорука організації регулярного безоплатного перевезення учнів до місць навчання і додому у Червоноармійському районі
</t>
  </si>
  <si>
    <t xml:space="preserve">Котельня Краснопільської загальноосвітньої школи I-III ступеня, с. Краснопіль Чуднівського району — реконструкція із встановленням твердопаливного котла
</t>
  </si>
  <si>
    <t>№1 від 27.10.2015</t>
  </si>
  <si>
    <t>декларація № ЖТ 142153621703 від 30.12.2015</t>
  </si>
  <si>
    <t xml:space="preserve">Котельня Великокоровинецької загальноосвітньої школи I-III ступеня, смт Великі Коровинці Чуднівського району — реконструкція із встановленням твердопаливного котла
</t>
  </si>
  <si>
    <t>декларація № ЖТ 142153621720 від 30.12.2015</t>
  </si>
  <si>
    <t xml:space="preserve">Шкільний автобус як запорука організації регулярного безоплатного перевезення учнів до місць навчання і додому у Житомирському районі
</t>
  </si>
  <si>
    <t xml:space="preserve">Шкільний автобус як запорука організації регулярного безоплатного перевезення учнів до місць навчання і додому у Ружинському районі
</t>
  </si>
  <si>
    <t xml:space="preserve">Система теплопостачання із встановленням теплогенератора модульного для опалення приміщень Копищенської загальноосвітньої школи I-III ступеня по вул. Партизанській, 31, с. Копище Олевського району — реконструкція
</t>
  </si>
  <si>
    <t xml:space="preserve">Система теплопостачання з встановленням теплогенератора модульного, працюючого на альтернативних видах палива, в Забрідській загальноосвітній школі I-III ступеня Черняхівського району — реконструкція
</t>
  </si>
  <si>
    <t>№1 від 17.11.2015</t>
  </si>
  <si>
    <t>декларація № ЖТ 14215344263 від 11.12.2015</t>
  </si>
  <si>
    <t xml:space="preserve">Шкільний автобус як запорука організації регулярного безоплатного перевезення учнів до місць навчання і додому у Володарсько-Волинському районі
</t>
  </si>
  <si>
    <t xml:space="preserve">Шкільний автобус як запорука організації регулярного безоплатного перевезення учнів до місць навчання і додому у Коростенському районі
</t>
  </si>
  <si>
    <t xml:space="preserve">Будівля дошкільного навчального закладу № 43 по вул. I-й Партизанській, 12а — капітальний ремонт (енергоефективна термосанація)
</t>
  </si>
  <si>
    <t xml:space="preserve">Будівля дошкільного навчального закладу № 6 по вул. Старочуднівській, 4 — капітальний ремонт (енергоефективна термосанація)
</t>
  </si>
  <si>
    <t xml:space="preserve">Котельня навчально-виховного комплексу “Загальноосвітня школа I—II ступенів — колегіум”, с. Стрижівка Коростишівського району — реконструкція
</t>
  </si>
  <si>
    <t>№1 від 29.12.2015</t>
  </si>
  <si>
    <t xml:space="preserve">Приміщення навчально-виховного комплексу “Загальноосвітня школа I—II ступенів — колегіум”, с. Стрижівка Коростишівського району — реконструкція (енергоефективна термосанація)
</t>
  </si>
  <si>
    <t xml:space="preserve">Котельня Народицького районного будинку культури по вул. 1 Травня, 18, смт Народичі — технічне переоснащення
</t>
  </si>
  <si>
    <t>№15 від 10.12.2015</t>
  </si>
  <si>
    <t xml:space="preserve">Котельня загальноосвітньої школи I—II ступенів по вул. Корольова, 1, с. Стовпинка — реконструкція
</t>
  </si>
  <si>
    <t xml:space="preserve">Котельня Кочерівської загальноосвітньої школи I—III ступенів, с. Кочерів Радомишльського району — технічне переоснащення
</t>
  </si>
  <si>
    <t>№211_3-1_ПД від 18.12.2015</t>
  </si>
  <si>
    <t xml:space="preserve">Котельня Чуднівської гімназії по вул. 50-річчя Жовтня, 1, м. Чуднів — реконструкція
</t>
  </si>
  <si>
    <t>№4 від 28.12.2015</t>
  </si>
  <si>
    <t>ЗАКАРПАТСЬКА</t>
  </si>
  <si>
    <r>
      <t xml:space="preserve">Спортивний комплекс по вул. Вайди, м. Тячів - будівництво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- 872,901 тис.)
</t>
    </r>
  </si>
  <si>
    <r>
      <t xml:space="preserve">Загальноосвітня школа I - III ступеня по вул. Шкільній, 20, с. Червоне Ужгородського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</si>
  <si>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Мережі та споруди водопостачання, с. Мужієво Берегівського району — будівництво
</t>
  </si>
  <si>
    <t xml:space="preserve">Напірний каналізаційний колектор та водопровід від каналізаційно-насосної станції по вул. Головній до каналізаційних очисних споруд, м. Свалява — реконструкція
</t>
  </si>
  <si>
    <t xml:space="preserve">Система теплопостачання загальноосвітньої школи I - III ступеня шляхом встановлення резервної модульної котельні потужністю 130 кВт, с. Голубине Свалявського району — реконструкція
</t>
  </si>
  <si>
    <t xml:space="preserve">Будівля дитячої школи мистецтв по вул. Борканюка, 4, м. Свалява — реконструкція
</t>
  </si>
  <si>
    <t xml:space="preserve">Дитячий садок на 80 місць по вул. І. Франка, 51, с. Боржавське Виноградівського району — будівництво
</t>
  </si>
  <si>
    <t xml:space="preserve">Вул. І. Крянге, с. Біла Церква Рахівського району — капітальний ремонт
</t>
  </si>
  <si>
    <t>№1 від 05.11.2015</t>
  </si>
  <si>
    <t xml:space="preserve">Міський парк культури та відпочинку, м. Хуст — реконструкція
</t>
  </si>
  <si>
    <t xml:space="preserve">Шкільна майстерня, гараж та складське приміщення по вул. Карпатської Січі, 48, м. Хуст — реконструкція під центр трудової та фізичної реабілітації
</t>
  </si>
  <si>
    <t xml:space="preserve">Автономна котельня Виноградівської районної лікарні по вул. Лікарняній, 13, м. Виноградів — будівництво
</t>
  </si>
  <si>
    <t xml:space="preserve">Вул. Борканюка, частина вулиці Фабричної (до переїзду), смт Воловець — капітальний ремонт
</t>
  </si>
  <si>
    <t xml:space="preserve">Підполозянська загальноосвітня школа I-II ступеня, с. Підполоззя Воловецького району — реконструкція системи теплопостачання шляхом встановлення резервного твердопаливного котла потужністю 150 кВт
</t>
  </si>
  <si>
    <t xml:space="preserve">Вул. Шевченка від будинку № 1 до будинку № 3, смт Воловець — капітальний ремонт
</t>
  </si>
  <si>
    <t xml:space="preserve">Дитячий навчальний заклад по вул. Верховинській, 173в, с. Верхні Ворота Воловецького району — капітальний ремонт із впровадженням заходів з енергозбереження
</t>
  </si>
  <si>
    <t>№1 від 22.11.2015</t>
  </si>
  <si>
    <t xml:space="preserve">Котельня для опалення дитячого навчального закладу по вул. Верховинській, 173в, с. Верхні Ворота Воловецького району — реконструкція з встановленням твердопаливних котлів
</t>
  </si>
  <si>
    <t>№6 від 22.12.2015</t>
  </si>
  <si>
    <t xml:space="preserve">Будинок культури і дозвілля по вул. Перемоги, 1, с. Нижні Ворота Воловецького району — реконструкція
</t>
  </si>
  <si>
    <t>б/н від 17.12.2015</t>
  </si>
  <si>
    <t xml:space="preserve">Будівля комунального закладу “Іршавський центр первинної медико-санітарної допомоги”, амбулаторія загальної практики сімейної медицини по вул. Заводській, 13, с. Ільниця Іршавського району — капітальний ремонт із заміною дерев’яних вікон та дверей на металопластикові
</t>
  </si>
  <si>
    <t xml:space="preserve">Дитячий навчальний заклад № 1 по вул. Шевченка, 2, с. Імстичево Іршавського району — капітальний ремонт
</t>
  </si>
  <si>
    <t>№102 за 12.2015</t>
  </si>
  <si>
    <t xml:space="preserve">Малораковецька загальноосвітня школа I-II ступеня по вул. Шевченка, 3, с. Малий Раковець Іршавського району — капітальний ремонт даху
</t>
  </si>
  <si>
    <t>№65 за 12.2015</t>
  </si>
  <si>
    <t xml:space="preserve">Пацканівська загальноосвітня школа I-II ступеня, с. Пацканьово Ужгородського району — реконструкція котельні з встановленням котла на біомасі
</t>
  </si>
  <si>
    <t>№5 від 10.12.2015</t>
  </si>
  <si>
    <t xml:space="preserve">Нежитлова будівля по вул. Головній, 91, с. Великі Геївці Ужгородського району — реконструкція під дитячий садок
</t>
  </si>
  <si>
    <t>№3 від 21.12.2015</t>
  </si>
  <si>
    <t xml:space="preserve">Захист від підтоплення сільськогосподарських земель водами р. Солотвинка, с. Руські Комарівці Ужгородського району
</t>
  </si>
  <si>
    <t xml:space="preserve">Програма “Схема планування території Ужгородського району” на 2013-2015 роки
</t>
  </si>
  <si>
    <t>№425-15 за 12.2015</t>
  </si>
  <si>
    <t xml:space="preserve">Початкова школа Сокирницької загальноосвітньої школи I-III ступеня по вул. Садовій, 20, с. Сокирниця Хустського району — капітальний ремонт
</t>
  </si>
  <si>
    <t xml:space="preserve">Приміщення сільської амбулаторії, с. Горінчово Хустського району — реконструкція під корпус № 2 дитячого навчального закладу
</t>
  </si>
  <si>
    <t xml:space="preserve">Липовецька загальноосвітня школа I-III ступеня по вул. Шевченка, 1, с. Липовець Хустського району — реконструкція системи котельні з влаштуванням твердопаливного котла
</t>
  </si>
  <si>
    <t>№3 від 10.12.2015</t>
  </si>
  <si>
    <t xml:space="preserve">Дільнична лікарня, с. Драгово Хустського району — будівництво (перший пусковий комплекс)
</t>
  </si>
  <si>
    <t xml:space="preserve">Теплові мережі Берегівської центральної районної лікарні, м. Берегове — капітальний ремонт (заміна трубопроводів теплових мереж)
</t>
  </si>
  <si>
    <t>№13 від 29.12.2015</t>
  </si>
  <si>
    <t xml:space="preserve">Дитячий садок по вул. Тисівській, 90, с. Дротинці Виноградівського району — реконструкція
</t>
  </si>
  <si>
    <t xml:space="preserve">Створення комфортних умов перебування дітей у дошкільних навчальних закладах — шлях майбутнього розвитку Арданівської громади (с. Арданово Іршавського району)
</t>
  </si>
  <si>
    <t>№5 за 12.2015</t>
  </si>
  <si>
    <t xml:space="preserve">Навчальний корпус Ужгородської загальноосвітньої спеціалізованої школи-інтернату з поглибленим вивченням окремих предметів по вул. Загорській, 28, м. Ужгород — реконструкція з розширенням
</t>
  </si>
  <si>
    <t xml:space="preserve">Будівля обласного центру нейрохірургії та неврології по вул. Перемоги, 24, м. Ужгород — реконструкція з розширенням
</t>
  </si>
  <si>
    <t>2017 рік</t>
  </si>
  <si>
    <t xml:space="preserve">Навчальний корпус № 1 по вул. Духновича, 17, м. Мукачеве — реконструкція з проведенням прибудови спортивного залу
</t>
  </si>
  <si>
    <t xml:space="preserve">Каналізаційна насосна станція-3 по вул. Келчеї, м. Берегове — реконструкція
</t>
  </si>
  <si>
    <t>№48/2 від 29.12.2015</t>
  </si>
  <si>
    <t xml:space="preserve">Частина вул. Карпатської Січі від № 17 до № 21 та частина майдану Незалежності від № 1 до № 21, м. Хуст — реконструкція
</t>
  </si>
  <si>
    <t xml:space="preserve">Кухонний та адміністративний блок дошкільного навчального закладу № 5 “Зернятко” по вул. Свободи, 8, м. Хуст — реконструкція з добудовою
</t>
  </si>
  <si>
    <t xml:space="preserve">Регулювання русла р. Хустець, м. Хуст (перша черга)
</t>
  </si>
  <si>
    <t xml:space="preserve">Дошкільний навчальний заклад з фельдшерсько-акушерським пунктом, с. Запереділля Міжгірського району — реконструкція
</t>
  </si>
  <si>
    <t xml:space="preserve">Дороги загального користування державного значення: Долина - Хуст з км 44 + 983 до км 96 + 225; Міжгір’я - Колочава - Буштино від км 0 + 00 до км 33 + 100; Синевир - Синевирська Поляна від км 0 + 00 до км 13 + 900 — поточний ремонт
</t>
  </si>
  <si>
    <t>—</t>
  </si>
  <si>
    <t xml:space="preserve">Водовідведення сіл Кінчеш, Коритняни, Часлівці Ужгородського району — будівництво (друга черга, перший пусковий комплекс)
</t>
  </si>
  <si>
    <t xml:space="preserve">Корпус № 2 обласного спеціалізованого дитячого пульмонологічного санаторію “Малятко”, с. Оноківці Ужгородського району — капітальний ремонт
</t>
  </si>
  <si>
    <t>№5 від 28.12.2015</t>
  </si>
  <si>
    <t xml:space="preserve">Дорога загального користування державного значення Берегове - Кам’янське км 0 + 000 - км 19 + 600 — поточний ремонт
</t>
  </si>
  <si>
    <t xml:space="preserve">Приміщення лікувального корпусу Нижньоворітського територіального центру соціального обслуговування по вул. Центральній, 93, с. Нижні Ворота Воловецького району — реконструкція
</t>
  </si>
  <si>
    <t xml:space="preserve">Дорога комунальної власності Міжгір’я - Дешево, смт Міжгір’я — капітальний ремонт
</t>
  </si>
  <si>
    <t xml:space="preserve">Під’їзна дорога до цвинтаря з вул. Г. Добри, смт Міжгір’я — капітальний ремонт
</t>
  </si>
  <si>
    <t xml:space="preserve">Вул. Ромжі, смт Міжгір’я — капітальний ремонт
</t>
  </si>
  <si>
    <t xml:space="preserve">Обласний дитячий туберкульозний санаторій “Човен”, с. Березники Свалявського району — капітальний ремонт (утеплення фасадів, покрівлі, заміна вікон та дверей)
</t>
  </si>
  <si>
    <t xml:space="preserve">Системи опалення корпусів А, А’ в обласному Будинку дитини, м. Свалява — капітальний ремонт
</t>
  </si>
  <si>
    <t xml:space="preserve">Будівля клубу Хустської районної поліклініки, м. Хуст — реконструкція під кабінети вузькопрофільних спеціалістів
</t>
  </si>
  <si>
    <t xml:space="preserve">Інноваційні енергоефективні заходи в Нижньоселищенській загальноосвітній школі I-III ступеня, с. Нижнє Селище Хустського району — реконструкція системи опалення із встановленням твердопаливних (піролізних) котлів, заміною вікон школи на енергозберігаючі
</t>
  </si>
  <si>
    <t>№2 від 29.12.2015</t>
  </si>
  <si>
    <t xml:space="preserve">Системи водопостачання та водовідведення, с. Рокосово Хустського району — реконструкція
</t>
  </si>
  <si>
    <t xml:space="preserve">Мережі вуличного освітлення вулиць Виноградної, Молодіжної, Макаренка, Довженка, Першотравневої та Чайковського від комплектної трансформаторної підстанції-373, с. Рокосово Хустського району — будівництво
</t>
  </si>
  <si>
    <t>№11 від 21.12.2015</t>
  </si>
  <si>
    <t xml:space="preserve">Дорожнє покриття по вул. Павлова, м. Хуст — капітальний ремонт
</t>
  </si>
  <si>
    <t xml:space="preserve">Дорожнє покриття по вул. Островського від № 1 до № 45, м. Хуст — капітальний ремонт
</t>
  </si>
  <si>
    <t xml:space="preserve">Дорожнє покриття по вулицях Червонодеревників і Міській (частково), м. Хуст  — капітальний ремонт
</t>
  </si>
  <si>
    <t xml:space="preserve">Водопостачання та водовідведення вул. І. Франка, м. Берегово — капітальний ремонт
</t>
  </si>
  <si>
    <t xml:space="preserve">Прибудинкова територія мікрорайону Мужайська, м. Берегово. Коригування — капітальний ремонт
</t>
  </si>
  <si>
    <t>№218 від 28.12.2015</t>
  </si>
  <si>
    <t xml:space="preserve">Мережа водопостачання вул. Крива, м. Берегово — капітальний ремонт
</t>
  </si>
  <si>
    <t>№1 від 26.12.2015</t>
  </si>
  <si>
    <t xml:space="preserve">Вул. Каштей, с. Батрадь Берегівського району. Коригування — капітальний ремонт
</t>
  </si>
  <si>
    <t xml:space="preserve">Вул. Б. Хмельницького, с. Мала Бийгань — капітальний ремонт
</t>
  </si>
  <si>
    <t xml:space="preserve">Вулиця комунальної власності в урочищі Гробище, с. Солочин Свалявського району — будівництво
</t>
  </si>
  <si>
    <t xml:space="preserve">Дорога по вул. Дисковецькій (друга черга), с. Поляна Свалявького району — капітальний ремонт
</t>
  </si>
  <si>
    <t xml:space="preserve">Дорога по вул. Леніна (від км 0 + 000 — км 0 + 810), с. Вільхівці Тячівського району — капітальний ремонт
</t>
  </si>
  <si>
    <t xml:space="preserve">Дорога по вул. Шевченка (від км 0 + 550 до км 1 + 800), с. Вільхівці — Лази Тячівського району — капітальний ремонт
</t>
  </si>
  <si>
    <t xml:space="preserve">Дорога по вул. Шевченка (від школи до кінця вулиці), с. Широкий Луг Тячівського району — капітальний ремонт
</t>
  </si>
  <si>
    <t xml:space="preserve">Ділянка дороги по вул. Миру (км 4 + 152 до км 4 + 656), с. Руська Мокра — капітальний ремонт
</t>
  </si>
  <si>
    <t xml:space="preserve">Дорожнє покриття вул. Пряма, м. Хуст — реконструкція
</t>
  </si>
  <si>
    <t>ЗАПОРІЗЬКА</t>
  </si>
  <si>
    <t xml:space="preserve">Реконструкція частини приміщень будівлі поліклінічного відділення з прибудовою комунальної установи "Запорізький обласний клінічний онкологічний диспансер" Запорізької обласної ради по вул. Культурній, 177-а, м. Запоріжжя
</t>
  </si>
  <si>
    <t xml:space="preserve">Корпус-вставка N 3 Мелітопольського онкологічного диспансеру по просп. Б. Хмельницького, 46, м. Мелітополь — будівництво
</t>
  </si>
  <si>
    <t xml:space="preserve">Водозабірна споруда в мікрорайоні "Ковальський" із підключенням мікрорайону "Ковальський" до загальної мережі водопостачання, м. Токмак (перша черга) — будівництво
</t>
  </si>
  <si>
    <t xml:space="preserve">Поліклініка на 250 відвідувань по вул. Партизанській/Радгоспній, смт Кушугум Запорізького району — будівництво
</t>
  </si>
  <si>
    <t xml:space="preserve">Водопостачання, с. Чапаєвка Пологівського району — реконструкція
</t>
  </si>
  <si>
    <t xml:space="preserve">Водопровідні мережі, с. Олександрівка Приазовського району — реконструкція
</t>
  </si>
  <si>
    <t xml:space="preserve">Будівля поліклініки Якимівської центральної лікарні по вул. Леніна, 30, смт Якимівка — реконструкція
</t>
  </si>
  <si>
    <t>2008-2015</t>
  </si>
  <si>
    <t xml:space="preserve">Харчоблок обласної клінічної лікарні по Оріхівському шосе, 10, м. Запоріжжя — реконструкція (перша черга)
</t>
  </si>
  <si>
    <t xml:space="preserve">Водовід питної води м. Вільнянськ — смт Новомиколаївка — реконструкція
</t>
  </si>
  <si>
    <t xml:space="preserve">Сільський будинок культури по вул. Першотравневій, 34а, с. Новософіївка Вільнянського району — реконструкція (улаштування системи опалення)
</t>
  </si>
  <si>
    <t xml:space="preserve">Покрівля учбового корпусу інвентарний номер 1030002 комунального закладу “Роздольська загальноосвітня школа I-III ступеня” Михайлівської районної ради, с. Роздол Михайлівського району — реконструкція з утепленням
</t>
  </si>
  <si>
    <t>№1 від 14.12.2015</t>
  </si>
  <si>
    <t xml:space="preserve">Будівництво (буріння) розвідувально-експлуатаційної свердловини для господарсько-питного водопостачання за адресою: комплекс гідротехнічних споруд № 1, с. Вербове Пологівського району
</t>
  </si>
  <si>
    <t>№15 від 30.12.2015</t>
  </si>
  <si>
    <t xml:space="preserve">декларація № ЗП 143153330152 від 09.12.2015
</t>
  </si>
  <si>
    <t xml:space="preserve">Водопровідні мережі, с. Долина Токмацького району — реконструкція
</t>
  </si>
  <si>
    <t>декларація № ЗП 083153120096 від 11.11.2015</t>
  </si>
  <si>
    <t>ІВАНО-ФРАНКІВСЬКА</t>
  </si>
  <si>
    <r>
      <t xml:space="preserve">Поліклініка на 850 відвідувань у зміну, перша черга, м. Коломия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</si>
  <si>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Обласний драматичний театр імені І. Франка, м. Івано-Франківськ —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</si>
  <si>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Сучасний перинатальний центр, м. Івано-Франківськ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</si>
  <si>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Загальноосвітня школа I-III ступеня, с. Княжолука Долинського району — будівництво
</t>
  </si>
  <si>
    <t>2010-2015</t>
  </si>
  <si>
    <t>№1-02-1-1 від 28.12.2015</t>
  </si>
  <si>
    <t xml:space="preserve">Центральна районна лікарня по вул. О. Грицей, м. Долина — реконструкція з розширенням терапевтичного відділення з влаштуванням кардіологічних палат
</t>
  </si>
  <si>
    <t xml:space="preserve">Загальноосвітня школа, с. Білоберізка Верховинського району — будівництво
</t>
  </si>
  <si>
    <t xml:space="preserve">Будинок культури, с. Голинь Калуського району (друга черга) — реконструкція частини приміщення під дитячий садок
</t>
  </si>
  <si>
    <t xml:space="preserve">Приміщення школи, с. Гавриляк Тлумацького району — реконструкція під дитячий садок
</t>
  </si>
  <si>
    <t xml:space="preserve">Яремчанська загальноосвітня школа № 2, м. Яремче — будівництво
</t>
  </si>
  <si>
    <t xml:space="preserve">Дитячий садок по вул. Живописній, с. Вовчинець (м. Івано-Франківськ) — будівництво
</t>
  </si>
  <si>
    <t>№6 від 17.12.2015</t>
  </si>
  <si>
    <t xml:space="preserve">Пологовий будинок, м. Надвірна — реконструкція (другий етап)
</t>
  </si>
  <si>
    <t>№55-2015-8-02-1-1 від  25.12.2015</t>
  </si>
  <si>
    <t xml:space="preserve">Нежитлова будівля (приміщення старої школи) по вул. Грушевського, 61а, с. Лісний Хлібичин Коломийського району — реконструкція під дитячий садок
</t>
  </si>
  <si>
    <t>№16-0-1-1 від 29.12.2015</t>
  </si>
  <si>
    <t xml:space="preserve">Будівля загальноосвітньої школи, с. Черче Рогатинського району — капітальний ремонт (заміна вікон та дверей, утеплення фасадів)
</t>
  </si>
  <si>
    <t xml:space="preserve">Дитячий садок на 40 місць, с. Верхній Ясенів, присілок Довга, Верховинського району — будівництво
</t>
  </si>
  <si>
    <t xml:space="preserve">Використання потенціалу сонячної енергії та впровадження інших енергозберігаючих технологій в дитячому відділенні Городенківської центральної районної лікарні — шлях до успішного лікування дітей
</t>
  </si>
  <si>
    <t xml:space="preserve">Дорога Р-21 Долина - Хуст, км 0 + 000 - км 44 + 983 — поточний ремонт
</t>
  </si>
  <si>
    <t>№12 від 22.12.2015</t>
  </si>
  <si>
    <t xml:space="preserve">Дорожнє покриття вул. Осмолодської, смт Брошнів-Осада Рожнятівського району — капітальний ремонт
</t>
  </si>
  <si>
    <t>№17 від 04.12.2015</t>
  </si>
  <si>
    <t xml:space="preserve">Дорога Н-09 Мукачеве - Львів, км 318 + 925 - км 341 + 700 — поточний ремонт
</t>
  </si>
  <si>
    <t>№21 від 25.12.2015</t>
  </si>
  <si>
    <t xml:space="preserve">Аварійно-відновлювальні роботи 36-метрового залізобетонного моста через р. Сівка по вул. Чорновола, м. Калуш
</t>
  </si>
  <si>
    <t>№2 від 09.11.2015</t>
  </si>
  <si>
    <t xml:space="preserve">Вул. Набережна імені Стефаника, м. Івано-Франківськ — капітальний ремонт
</t>
  </si>
  <si>
    <t>№12 від 16.10.2015</t>
  </si>
  <si>
    <t xml:space="preserve">Вул. Дудаєва, м. Івано-Франківськ — реконструкція
</t>
  </si>
  <si>
    <t xml:space="preserve">Дороги місцевого значення С090103 Старі Богородчани -Росільна, С090111 Глибівка - Саджава, С090110 (Старі Богородчани - Росільна) - Хмелівка — поточний ремонт
</t>
  </si>
  <si>
    <t>№2 від 12.11.2015</t>
  </si>
  <si>
    <t xml:space="preserve">Дорога Р-24 Татарів - Кам’янець-Подільський, км 120 + 909 - км 141 + 006, км 155 + 500 - км 157 + 300 — поточний ремонт
</t>
  </si>
  <si>
    <t>№6 від 28.12.2015</t>
  </si>
  <si>
    <t xml:space="preserve">Дорога С090501 Долина - Велика Тур’я, км 0 + 000 - км 19 + 300 — поточний ремонт
</t>
  </si>
  <si>
    <t>№2 від 17.11.2015</t>
  </si>
  <si>
    <t xml:space="preserve">Дорога Т-09-10 Бурштин - Калуш, км 9 + 200 - км 32 + 862 — поточний ремонт
</t>
  </si>
  <si>
    <t xml:space="preserve">Автомобільна дорога Т-09-01 Калуш - Осмолода, км 11 + 338 - км 54 + 861 — поточний ремонт
</t>
  </si>
  <si>
    <t xml:space="preserve">Автомобільна дорога Т-09-02 Креховичі - Дзвиняч км 0 + 000 - км 16 + 267, км 23 + 944 - км 30 + 184 — поточний ремонт
</t>
  </si>
  <si>
    <t>№2 від 25.12.2015</t>
  </si>
  <si>
    <t xml:space="preserve">Дорога С091107 Рожнятів - Липовиця, км 0 + 000 - км 31 + 900 — поточний ремонт
</t>
  </si>
  <si>
    <t>№6 від 25.12.2015</t>
  </si>
  <si>
    <t xml:space="preserve">Дорога C090901 Надвірна - Бистриця, км 0 + 000 - км 39 + 900 — поточний ремонт
</t>
  </si>
  <si>
    <t>№4 від 29.12.2015</t>
  </si>
  <si>
    <t xml:space="preserve">Дорога Яблунів - Делятин, км 0 + 000 - км 17 + 820 - 33 + 320 — поточний ремонт
</t>
  </si>
  <si>
    <t xml:space="preserve">Дорога О091401 Тлумач - Лісна Тарновиця, км 31 + 566 - км 47 + 016 — поточний ремонт
</t>
  </si>
  <si>
    <t>№3 від 29.12.2015</t>
  </si>
  <si>
    <t xml:space="preserve">Дорога C090906 Битків - Білозорина, км 0 + 000 - км 11 + 200 — поточний ремонт
</t>
  </si>
  <si>
    <t xml:space="preserve">Дорога C090903 Надвірна - Пасічна (вул. Грушевського, м. Надвірна) — поточний ремонт
</t>
  </si>
  <si>
    <t xml:space="preserve">Дорога Р-20 Снятин - Тязів, км 0 + 000 - км 15 + 430 — поточний ремонт
</t>
  </si>
  <si>
    <t xml:space="preserve">Дитячий садок загального типу на 50 місць, с. Черніїв Тисменицького району — будівництво
</t>
  </si>
  <si>
    <t>КИЇВСЬКА</t>
  </si>
  <si>
    <r>
      <t xml:space="preserve">Загальноосвітня школа I - III ступеня навчання, с. Микуличі Бородянського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</si>
  <si>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Дитячий навчальний заклад на 220 місць у мікрорайоні "Таращанський", м. Біла Церква — будівництво
</t>
  </si>
  <si>
    <t xml:space="preserve">Дитячий садок по вул. 1-го Травня, 3-а, с. Пії Миронівського району — реконструкція
</t>
  </si>
  <si>
    <t xml:space="preserve">Будівля будинку культури по вул. Леніна, 243, с. Владиславка Миронівського району — реконструкція
</t>
  </si>
  <si>
    <t xml:space="preserve">Каналізаційний колектор по вул. Народній, м. Кагарлик — реконструкція
</t>
  </si>
  <si>
    <t xml:space="preserve">Центральна районна поліклініка на 1000 відвідувань Броварської центральної районної лікарні, м. Бровари — завершення будівництва
</t>
  </si>
  <si>
    <t xml:space="preserve">Тепловий пункт ТП-9 з технічним переоснащенням під котельню по вул. Томилівській, 50-в, м. Біла Церква — реконструкція
</t>
  </si>
  <si>
    <t xml:space="preserve">Будівля дошкільного навчального закладу по вул. Святошинській, 48, м. Вишневе — реконструкція
</t>
  </si>
  <si>
    <t xml:space="preserve">Дитячий навчальний заклад “Ромашка” по вул. Зеленій, 18, м. Вишневе Києво-Святошинського району — реконструкція
</t>
  </si>
  <si>
    <t xml:space="preserve">Дитячий навчальний заклад по вул. Незалежності, 60, с. Карапиші Миронівського району — реконструкція
</t>
  </si>
  <si>
    <t xml:space="preserve">Будівля поліклініки по вул. Леніна, 40а, м. Ржищів — реконструкція
</t>
  </si>
  <si>
    <t xml:space="preserve">Загальноосвітня школа I-II ступеня по вул. Шевченка, 6, с. Ненадиха Тетіївського району — капітальний ремонт
</t>
  </si>
  <si>
    <t xml:space="preserve">Дорога по вул. Карла Маркса, м. Сквира — капітальний ремонт
</t>
  </si>
  <si>
    <t xml:space="preserve">Вул. Чорновола, м. Вишневе — капітальний ремонт
</t>
  </si>
  <si>
    <t xml:space="preserve">Гімназія “Інтелект”, м. Вишгород — реконструкція
</t>
  </si>
  <si>
    <t xml:space="preserve">Будівля Дулицького навчально-виховного об’єднання “Загальноосвітня школа I—III ступенів дошкільний навчальний заклад”, с. Дулицьке Сквирського району — капітальний ремонт
</t>
  </si>
  <si>
    <t xml:space="preserve">Будівля Горобіївського навчально-виховного комплексу “Загальноосвітня школа I—III ступенів — дитячий садок”, с. Горобіївка Сквирського району — капітальний ремонт
</t>
  </si>
  <si>
    <t xml:space="preserve">Дитяча школа мистецтв по вул. Богачевського, 70, м. Сквира — капітальний ремонт
</t>
  </si>
  <si>
    <t xml:space="preserve">Асфальтове покриття з улаштуванням основи по вул. Сагайдачного, с. Зазим’є Броварського району — капітальний ремонт
</t>
  </si>
  <si>
    <t xml:space="preserve">Дорожнє покриття проїзної частини вул. Вишневої, с. Велика Олександрівка Бориспільського району — капітальний ремонт
</t>
  </si>
  <si>
    <t xml:space="preserve">Будівля Володарської загальноосвітньої школи I—III ступенів № 2 імені В. П. Мельника, смт Володарка — капітальний ремонт
</t>
  </si>
  <si>
    <t xml:space="preserve">Будівля Володарської загальноосвітньої школи I—III ступенів № 1, смт Володарка — капітальний ремонт
</t>
  </si>
  <si>
    <t xml:space="preserve">Будівля Сквирської загальноосвітньої школи I—III ступенів № 3 по вул. Шевченка, 39, м. Сквира — капітальний ремонт
</t>
  </si>
  <si>
    <t xml:space="preserve">Будівля Кривошиїнського навчально-виховного об’єднання “Загальноосвітня школа I—III ступенів дошкільний навчальний заклад” Сквирської районної ради по вул. Шкільній, 1, с. Кривошиїнці Сквирського району — капітальний ремонт
</t>
  </si>
  <si>
    <t xml:space="preserve">Дорога по вул. Київській, с. Хотянівка Вишгородського району — капітальний ремонт
</t>
  </si>
  <si>
    <t xml:space="preserve">Друга частина дороги по вул. Підлісній, с. Ясногородка Макарівського району — капітальний ремонт
</t>
  </si>
  <si>
    <t>КІРОВОГРАДСЬКА</t>
  </si>
  <si>
    <t xml:space="preserve">Поліклінічне відділення Кіровоградської обласної лікарні по просп. Університетському, 2/5, м. Кіровоград — реконструкція
</t>
  </si>
  <si>
    <t>2016 рік 
(лютий)</t>
  </si>
  <si>
    <t xml:space="preserve">Головний корпус № 1 Кіровоградської обласної дитячої лікарні по вул. Преображенській, 79/35, м. Кіровоград — реконструкція
</t>
  </si>
  <si>
    <t xml:space="preserve">Лабораторний корпус № 3 Кіровоградської обласної дитячої лікарні по вул. Преображенській, 79/35, м. Кіровоград — реконструкція
</t>
  </si>
  <si>
    <t xml:space="preserve">Господарський корпус Кіровоградської обласної дитячої лікарні по вул. Покровській, 69, м. Кіровоград — реконструкція для розміщення пральні та дезінфекційних камер
</t>
  </si>
  <si>
    <r>
      <t xml:space="preserve">2016 рік 
</t>
    </r>
    <r>
      <rPr>
        <sz val="9"/>
        <rFont val="Times New Roman"/>
        <family val="1"/>
        <charset val="204"/>
      </rPr>
      <t>(березень)</t>
    </r>
  </si>
  <si>
    <t xml:space="preserve">Будівля - пам’ятка архітектури місцевого значення “Колишній пасаж” по вул. Карла Маркса, 60, м. Кіровоград (Кіровоградський обласний художній музей) — ремонтно-реставраційні роботи
</t>
  </si>
  <si>
    <t xml:space="preserve">Кіровоградський психоневрологічний інтернат з геріатричним відділенням по вул. Чернишевського, 36, м. Кіровоград — реконструкція котельної та зовнішніх інженерних мереж
</t>
  </si>
  <si>
    <t xml:space="preserve">Пішохідний перехід від залізничного вокзалу для мешканців південного мікрорайону та працівників обласної бальнеологічної лікарні по вул. Макаренка, м. Знам’янка — реконструкція
</t>
  </si>
  <si>
    <t xml:space="preserve">Котельня на твердому паливі для заміщення споживання газу до будівель, підпорядкованих відділу освіти, по вул. Калініна, 113, 115, м. Знам’янка — будівництво
</t>
  </si>
  <si>
    <t xml:space="preserve">Блочно-модульна котельня для теплопостачання будівлі навчально-виховного об’єднання “Олександрійська гімназія ім. Т.Г. Шевченка” загальноосвітнього навчального закладу I-II ступеня - школа мистецтв по вул. 20 років Жовтня, 19, м. Олександрія — будівництво із заміною обладнання для заміщення споживання природного газу
</t>
  </si>
  <si>
    <t xml:space="preserve">Блочно-модульна котельня для теплопостачання будівлі Олександрійського навчально-виховного комплексу по просп. Леніна, 130, м. Олександрія — будівництво із заміною обладнання для заміщення споживання природного газу
</t>
  </si>
  <si>
    <t xml:space="preserve">Першочергові інженерні заходи з ліквідації наслідків підтоплення території нижньої частини м. Світловодська. Перший етап. Відведення поверхневих вод
</t>
  </si>
  <si>
    <t xml:space="preserve">Фізкультурно-оздоровчий комплекс по вул. Північній, 34а, смт Вільшанка — реконструкція покрівлі
</t>
  </si>
  <si>
    <t xml:space="preserve">Спортивний зал загальноосвітньої школи I-III ступеня, с. Добре Вільшанського району — капітальний ремонт
</t>
  </si>
  <si>
    <t xml:space="preserve">Мережі водопостачання, смт Голованівськ — реконструкція (перша черга)
</t>
  </si>
  <si>
    <t xml:space="preserve">Корпус № 2 Побузької дитячої музичної школи по вул. Шкільній, 9, смт Побузьке Голованіського району — капітальний ремонт
</t>
  </si>
  <si>
    <t xml:space="preserve">Блочно-модульна котельня на твердопаливних котлах для теплозабезпечення Знам’янської центральної районної лікарні по вул. Гагаріна, 27, м. Знам’янка — будівництво
</t>
  </si>
  <si>
    <t xml:space="preserve">Оленокосогорівська загальноосвітня школа I-III ступеня, Кіровоградський район — реконструкція частини приміщень під розміщення дошкільного навчального закладу
</t>
  </si>
  <si>
    <t xml:space="preserve">Червоноярська загальноосвітня школа I-III ступеня, Кіровоградський район — реконструкція частини приміщень під розміщення дошкільного навчального закладу
</t>
  </si>
  <si>
    <t xml:space="preserve">Дитячий навчальний заклад “Колосок” по вул. Миру, 57, с. Бережинка Кіровоградського району — капітальний ремонт покрівлі
</t>
  </si>
  <si>
    <t xml:space="preserve">Водопровідна мережа, с. Нечаївка Компаніївського району — реконструкція
</t>
  </si>
  <si>
    <t xml:space="preserve">Фельдшерсько-акушерський пункт, с. Гарманівка Компаніївського району — капітальний ремонт покрівлі
</t>
  </si>
  <si>
    <t xml:space="preserve">Будівля Маловисківської загальноосвітньої школи № 3 I-III ступеня по вул. 20 років Жовтня, 3, м. Мала Виска — капітальний ремонт (утеплення фасадів, покрівлі, заміна вікон та дверей)
</t>
  </si>
  <si>
    <t xml:space="preserve">Котельня Олександрівської загальноосвітньої школи I-III ступеня №1 — реконструкція
</t>
  </si>
  <si>
    <t xml:space="preserve">Михайлівська загальноосвітня школа I-III ступеня, с. Михайлівка Олександрівського району — реконструкція котельні та системи опалення з встановленням обладнання для заміщення споживання природного газу
</t>
  </si>
  <si>
    <r>
      <t xml:space="preserve">2016 рік 
</t>
    </r>
    <r>
      <rPr>
        <sz val="10.5"/>
        <rFont val="Times New Roman"/>
        <family val="1"/>
        <charset val="204"/>
      </rPr>
      <t>(квітень)</t>
    </r>
  </si>
  <si>
    <t xml:space="preserve">Будівля дитячого садка по вул. Леніна, 15а, с. Щасливе Олександрійського району — реконструкція з розширенням шляхом прибудови
</t>
  </si>
  <si>
    <t xml:space="preserve">Водопровідна мережа по вул. Леніна, смт Петрове Петрівського району — реконструкція (третя черга)
</t>
  </si>
  <si>
    <t xml:space="preserve">Сільський будинок культури, с. Комишувате Новоукраїнського району — капітальний ремонт
</t>
  </si>
  <si>
    <t xml:space="preserve">Чечеліївська загальноосвітня школа I-III ступеня по вул. Шкільній, 2, с. Чечеліївка Петрівського району — капітальний ремонт віконних прорізів (заміна)
</t>
  </si>
  <si>
    <t>ЛУГАНСЬКА</t>
  </si>
  <si>
    <t xml:space="preserve">Будівля Луганської обласної клінічної лікарні по вул. Cметаніна, 5, м. Сєвєродонецьк — капітальний ремонт під розміщення відділень хірургічного профілю
</t>
  </si>
  <si>
    <t xml:space="preserve">Частина гуртожитку по вул. Студентській, 28а, м. Рубіжне — реконструкція
</t>
  </si>
  <si>
    <t xml:space="preserve">Великий концертний зал міської комунальної установи “Палац культури”, м. Рубіжне — реконструкція
</t>
  </si>
  <si>
    <t>№3/1 від 17.12.2015</t>
  </si>
  <si>
    <t xml:space="preserve">Автодорога по просп. Московському (від вул. Визволителів до вул. Будівельників), м. Рубіжне — реконструкція
</t>
  </si>
  <si>
    <t xml:space="preserve">Очисні споруди комунального підприємства “Рубіжанське виробниче управління водопровідно-каналізаційного господарства”, м. Рубіжне — реконструкція
</t>
  </si>
  <si>
    <t xml:space="preserve">Дитячий навчальний заклад № 43, м. Сєвєродонецьк — капітальний ремонт
</t>
  </si>
  <si>
    <t>№167 від 23.12.2015</t>
  </si>
  <si>
    <t xml:space="preserve">Автомобільна дорога по вул. Сметаніна, м. Сєвєродонецьк — реконструкція проїжджої частини
</t>
  </si>
  <si>
    <t xml:space="preserve">Зливова каналізація по вул. Сметаніна, м. Сєвєродонецьк — реконструкція
</t>
  </si>
  <si>
    <t xml:space="preserve">Схема подання побутових та промислових стічних вод, що надходять по колектору № 2 в сторону колектора № 1, по просп. Гвардійському, м. Сєвєродонецьк — реконструкція
</t>
  </si>
  <si>
    <t>№1 від 25.11.2015</t>
  </si>
  <si>
    <t>декларація № ЛГ 142153421234 від 08.12.2015</t>
  </si>
  <si>
    <t xml:space="preserve">Міні-котельня Олексіївської школи-гімназії, с. Олексіївка Новоайдарського району — будівництво
</t>
  </si>
  <si>
    <t xml:space="preserve">Райгородська амбулаторія сімейної медицини Новоайдарського центру первинної медико-санітарної допомоги по вул. Новій, 24а, с. Райгородка Новоайдарського району — капітальний ремонт
</t>
  </si>
  <si>
    <t xml:space="preserve">Смолянинівська амбулаторія сімейної медицини Новоайдарського центру первинної медико-санітарної допомоги по вул. Шевченка, 1а, с. Смолянинове Новоайдарського району — капітальний ремонт
</t>
  </si>
  <si>
    <t xml:space="preserve">Мілуватська амбулаторія загальної практики - сімейної медицини по вул. Леніна, 50, с. Мілуватка Сватівського району — реконструкція приміщення з енергозберігаючим ефектом
</t>
  </si>
  <si>
    <t>№10 від 28.12.2015</t>
  </si>
  <si>
    <t xml:space="preserve">Містківська амбулаторія загальної практики - сімейної медицини по вул. 40 років Жовтня, 1а, с. Містки Сватівського району — реконструкція приміщення з енергозберігаючим ефектом та переведенням на тверде паливо
</t>
  </si>
  <si>
    <t>№33 від 24.12.2015</t>
  </si>
  <si>
    <t xml:space="preserve">Новоселівська амбулаторія загальної практики - сімейної медицини по вул. Центральній, 5, смт Новоселівське Сватівського району — реконструкція приміщення з енергозберігаючим ефектом та переведенням на тверде паливо
</t>
  </si>
  <si>
    <t xml:space="preserve">Петрівська амбулаторія загальної практики - сімейної медицини по вул. Садовій, 11, с. Петрівка Сватівського району — реконструкція приміщення з енергозберігаючим ефектом та переведенням на тверде паливо
</t>
  </si>
  <si>
    <t>№32 від 24.12.2015</t>
  </si>
  <si>
    <t xml:space="preserve">Райгородська амбулаторія загальної практики - сімейної медицини по вул. Конопліна, 5, с. Райгородка Сватівського району — реконструкція приміщень з енергозберігаючим ефектом та переведенням на тверде паливо
</t>
  </si>
  <si>
    <t>№2 від 21.12.2015</t>
  </si>
  <si>
    <t xml:space="preserve">Свистунівська амбулаторія загальної практики - сімейної медицини по вул. Молодіжній, 15, с. Свистунівка Сватівського району — реконструкція приміщення з енергозберігаючим ефектом та переведенням на тверде паливо
</t>
  </si>
  <si>
    <t>№8 від 28.12.2015</t>
  </si>
  <si>
    <t xml:space="preserve">Коломийчанський сільський клуб по вул. Польовій, 39, с. Коломийчиха Сватівського району — реконструкція залу
</t>
  </si>
  <si>
    <t xml:space="preserve">Сільський будинок культури, с-ще Новоселівське Сватівського району — реконструкція
</t>
  </si>
  <si>
    <t xml:space="preserve">Поліклініка Білокуракинської центральної районної лікарні по вул. Чапаєва, 72, смт Білокуракине — реконструкція під лабораторію
</t>
  </si>
  <si>
    <t xml:space="preserve">Підвідний водопровід, с. Солідарне Білокуракинського району — будівництво
</t>
  </si>
  <si>
    <t xml:space="preserve">Будівля лікувального відділення комунальної установи “Старобільське районне територіальне медичне об’єднання” по вул. Кірова, 67, м. Старобільськ — реконструкція
</t>
  </si>
  <si>
    <t xml:space="preserve">Закрита дренажна і ливневідвідна система по вул. Харківській, м. Старобільськ — будівництво
</t>
  </si>
  <si>
    <t xml:space="preserve">Ливнева каналізація по вулицях Андрющенка і Чернишевського, м. Старобільськ — будівництво
</t>
  </si>
  <si>
    <t xml:space="preserve">Будівля районної бібліотеки для дітей по вул. Урицького, 6, м. Старобільськ — реконструкція
</t>
  </si>
  <si>
    <t xml:space="preserve">Старобільська загальноосвітня школа II-III ступеня № 4 Старобільської районної ради — реконструкція
</t>
  </si>
  <si>
    <t xml:space="preserve">Спортивна споруда районної комунальної установи фізкультурно-спортивний комплекс “Колос” по вул. Володарського, 1, м. Старобільськ — реконструкція південної трибуни
</t>
  </si>
  <si>
    <t xml:space="preserve">Троїцька дитячо-юнацька спортивна школа по просп. Перемоги, 10, смт Троїцьке — реконструкція покрівлі спортивного залу
</t>
  </si>
  <si>
    <t>№1 від 24.11.2015</t>
  </si>
  <si>
    <t xml:space="preserve">Котельня для опалення будівель Луганської обласної клінічної лікарні по вул. Сметаніна, 5, м. Сєвєродонецьк — будівництво
</t>
  </si>
  <si>
    <t xml:space="preserve">Будівля Луганської обласної клінічної лікарні під розміщення відділень терапевтичного профілю по вул. Сметаніна, 5, м. Сєвєродонецьк — капітальний ремонт
</t>
  </si>
  <si>
    <t xml:space="preserve">Будівля Луганського обласного центру з профілактики та боротьби із СНІДом по вул. Сметаніна, 5, м. Сєвєродонецьк — капітальний ремонт
</t>
  </si>
  <si>
    <t xml:space="preserve">Заплавний міст № 2, м. Сєвєродонецьк — реконструкція
</t>
  </si>
  <si>
    <t xml:space="preserve">Заплавний міст № 3, м. Сєвєродонецьк — реконструкція
</t>
  </si>
  <si>
    <t>№4 від 25.12.2015</t>
  </si>
  <si>
    <t xml:space="preserve">Заплавний міст № 4, м. Сєвєродонецьк — реконструкція
</t>
  </si>
  <si>
    <t>№4 від 23.12.2015</t>
  </si>
  <si>
    <t xml:space="preserve">Ліцей — реконструкція котельні під альтернативне паливо (котельня ліцею комунального підприємства “Креміннатеплокомуненерго” по вул. Шевченка, 2, м. Кремінна)
</t>
  </si>
  <si>
    <t>№3 від 23.12.2015</t>
  </si>
  <si>
    <t xml:space="preserve">Кремінська обласна спеціальна загальноосвітня школа-інтернат (інтернат № 1 по вул. Піддубній, 18, м. Кремінна) — реконструкція котельні під альтернативне паливо
</t>
  </si>
  <si>
    <t>№1 від 21.12.2015</t>
  </si>
  <si>
    <t xml:space="preserve">Комунальний заклад “Кремінська обласна загальноосвітня школа - інтернат I-III ступеня” (інтернат № 3) по вул. Мічурина, 37, м. Кремінна — реконструкція котельні під альтернативне паливо
</t>
  </si>
  <si>
    <t xml:space="preserve">Будівлі Луганської обласної дитячої клінічної лікарні, м. Лисичанськ, квартал 40 років Перемоги, 12а — капітальний ремонт
</t>
  </si>
  <si>
    <t xml:space="preserve">Дитяча школа мистецтв, корпус 1 по вул. Пролетарській, 12, м. Старобільськ — реконструкція
</t>
  </si>
  <si>
    <t>ЛЬВІВСЬКА</t>
  </si>
  <si>
    <r>
      <t xml:space="preserve">Комарнівська загальноосвітня школа I - III ступеня на 810 учнів, Городоцький район — реконструкція з добудовою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</si>
  <si>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Народний дім "Просвіта" на 250 місць, с. Бучали Городоцького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</si>
  <si>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Приміщення Підкамінського психоневрологічного інтернату, Бродівський район — реконструкція шатрового даху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</si>
  <si>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Дитячий садок-ясла на 90 місць, с. Сілець Сокальського району — будівництво
</t>
  </si>
  <si>
    <t>2011-2016</t>
  </si>
  <si>
    <t xml:space="preserve">Модернізація центрального водогону (перший етап) за європейськими стандартами, м. Старий Самбір - економічний прорив у тарифній політиці в сфері централізованого водопостачання — реконструкція
</t>
  </si>
  <si>
    <t>б/н від 30.12.2015</t>
  </si>
  <si>
    <t xml:space="preserve">Дублянська дитяча школа мистецтв імені С. Турчака по вул. Довбуша, 4, м.Дубляни Жовківського району — реконструкція
</t>
  </si>
  <si>
    <t>б/н від 20.12.2015</t>
  </si>
  <si>
    <t xml:space="preserve">Каналізація по вулицях Шевченка та Рильського, м. Ходорів — реконструкція
</t>
  </si>
  <si>
    <t>№1 від 22.12.2015</t>
  </si>
  <si>
    <t xml:space="preserve">Навчальний корпус Турківської загальноосвітньої школи I—III ступеня № 1 по вул. Стуса, 16, м. Турка — реконструкція
</t>
  </si>
  <si>
    <t xml:space="preserve">Загальноосвітня школа № 1, м. Трускавець — реконструкція фасаду
</t>
  </si>
  <si>
    <t>2013-2016</t>
  </si>
  <si>
    <t xml:space="preserve">Будинок культури, с. Родатичі Городоцького району — реконструкція з влаштуванням шатрового даху
</t>
  </si>
  <si>
    <t xml:space="preserve">Народний дім, с. Керниця Городоцького району — реконструкція даху
</t>
  </si>
  <si>
    <t xml:space="preserve">Народний дім, с. Пасіки-Зубрицькі Пустомитівського району — будівництво
</t>
  </si>
  <si>
    <t>б/н від 20.11.2015</t>
  </si>
  <si>
    <t xml:space="preserve">декларація № ЛВ 143153232006 від 20.11.2015 </t>
  </si>
  <si>
    <t xml:space="preserve">Комплекс плавального басейну школи, с. Домажир Яворівського району — реконструкція під дошкільний заклад і плавальний басейн
</t>
  </si>
  <si>
    <t xml:space="preserve">Нежитлова будівля по вул. Веселій, 50, с. Хлопчиці Самбірського району — реконструкція під дитячий садок на 30 місць
</t>
  </si>
  <si>
    <t xml:space="preserve">Загальноосвітня школа № 5 по вул. Зварицькій, м. Дрогобич — реконструкція з прибудовою (перша черга)
</t>
  </si>
  <si>
    <t>1993-2015</t>
  </si>
  <si>
    <t xml:space="preserve">Парк-пам’ятка садово-паркового мистецтва місцевого значення “Парк курорт”, м. Моршин — реконструкція
</t>
  </si>
  <si>
    <t xml:space="preserve">Критий басейн 12,6 х 6,15 метра та чотири ванні кімнати з перехідною галереєю для санаторної школи-інтернату I—III ступеня для дітей, хворих на сколіоз, м. Сокаль — будівництво
</t>
  </si>
  <si>
    <t>2010-2016</t>
  </si>
  <si>
    <t xml:space="preserve">Частина приміщень по вул. Медичній, 1, с. Чижиків Пустомитівського району — реконструкція під дитячий садок
</t>
  </si>
  <si>
    <t xml:space="preserve">Середня загальноосвітня школа-гімназія імені Маркіяна Шашкевича, с. Дуліби Стрийського району — будівництво теплогенераторної та влаштування системи опалення навчально-виховного комплексу
</t>
  </si>
  <si>
    <t xml:space="preserve">декларація № ЛВ 123153581721 від 24.12.2015 </t>
  </si>
  <si>
    <t xml:space="preserve">Незавершене будівництво спортзалу з допоміжними приміщеннями школи, с. Містки Пустомитівського району — реконструкція під дитячий садок на 20 місць
</t>
  </si>
  <si>
    <t xml:space="preserve">Навчально-виховний комплекс “Загальноосвітня школа I—III ступеня — дошкільний навчальний заклад”, с. Чайковичі Самбірського району — реконструкція (впровадження енергозберігаючих заходів — утеплення зовнішніх стін)
</t>
  </si>
  <si>
    <t>б/н від 23.11.2015</t>
  </si>
  <si>
    <t xml:space="preserve">Обласна лікарня позалегеневого туберкульозу по вул. Бой-Желенського, 5, м. Львів — реконструкція та перепланування приміщень під офтальмологічне відділення, адміністративні та господарські приміщення
</t>
  </si>
  <si>
    <t>2006-2015</t>
  </si>
  <si>
    <t xml:space="preserve">Львівська обласна психіатрична лікарня по вул. Кульпарківській, 95, м. Львів — реконструкція
</t>
  </si>
  <si>
    <t xml:space="preserve">Каналізаційні мережі по вул. Галицькій, м. Бібрка Перемишлянського району — будівництво
</t>
  </si>
  <si>
    <t xml:space="preserve">Львівське державне училище культури і мистецтв по вул. Нижанківського, 2, м. Львів — реконструкція системи теплопостачання
</t>
  </si>
  <si>
    <t xml:space="preserve">Жовківський районний дитячий центр оздоровлення, відпочинку та туризму“Росинка” — реконструкція з добудовою медичного пункту та адміністративно-побутових приміщень
</t>
  </si>
  <si>
    <t xml:space="preserve">Створення Мшанецького стаціонарного відділення з паліативною та хоспісноюопікою для постійного або тимчасового мешкання одиноких непрацездатних громадян, інвалідів гірської території Старосамбірського районного територіального центру обслуговування
</t>
  </si>
  <si>
    <t xml:space="preserve">2011-2015 </t>
  </si>
  <si>
    <t xml:space="preserve">Приміщення Підкамінського психоневрологічного інтернату, Бродівський район — реконструкція шатрового даху
</t>
  </si>
  <si>
    <t xml:space="preserve">Вуличне освітлення, с. Нова-Кам’янка Жовківського району — реконструкція
</t>
  </si>
  <si>
    <t>б/н від 05.11.2015</t>
  </si>
  <si>
    <t xml:space="preserve">Фельдшерсько-акушерський пункт, с. Хащованя Сколівського району — будівництво
</t>
  </si>
  <si>
    <t>2012-2016</t>
  </si>
  <si>
    <t xml:space="preserve">Водопровідні мережі, села Вороців і Карачинів Яворівського району (водопровід по вул. Польовій, с. Карачинів) — будівництво
</t>
  </si>
  <si>
    <t xml:space="preserve">Водопровідні мережі, села Вороців і Карачинів Яворівського району (водопровід по вулицях Симоненка, с. Карачинів, і Сонячній, с. Вороців) — будівництво
</t>
  </si>
  <si>
    <t xml:space="preserve">Водопровідні мережі, села Вороців і Карачинів Яворівського району (водопровід по вулицях Шевченка від будинку № 57 до пожежного гідранта-7, с. Карачинів) — будівництво
</t>
  </si>
  <si>
    <t xml:space="preserve">Народний дім, с. Воютичі Самбірського району — реконструкція
</t>
  </si>
  <si>
    <t xml:space="preserve">Народний дім по вул. Адермаха, смт Щирець Пустомитівського району — реконструкція системи опалення
</t>
  </si>
  <si>
    <t xml:space="preserve">Приміщення старого корпусу районної лікарні по вул. Січових Стрільців, 11, смт Дубляни Самбірського району — реконструкція
</t>
  </si>
  <si>
    <t xml:space="preserve">Поліклінічне відділення Олеської районної лікарні по вул. Шевченка, 55, смт. Олесько — реконструкція будівель
</t>
  </si>
  <si>
    <t xml:space="preserve">Будівлі середньої школи по вул. Незалежності, 20, смт Новий Яричів Кам’янка-Бузького району — реконструкція під дошкільний навчальний заклад з чотирма групами
</t>
  </si>
  <si>
    <t>№6 за 12.2015</t>
  </si>
  <si>
    <t xml:space="preserve">Фельдшерсько-акушерський пункт, с. Годині Мостиського району — реконструкція
</t>
  </si>
  <si>
    <t xml:space="preserve">Народний дім “Просвіта” на 250 місць, с. Бучали Городоцького району — будівництво
</t>
  </si>
  <si>
    <t>№1 від 30.11.2015</t>
  </si>
  <si>
    <t xml:space="preserve">Народний дім на 500 місць із сільською радою, с. Давидів Пустомитівськогорайону — будівництво
</t>
  </si>
  <si>
    <t xml:space="preserve">Пологове відділення на 30 ліжок Бродівської центральної районної лікарні, м. Броди — реконструкція
</t>
  </si>
  <si>
    <t xml:space="preserve">Добудова школи та реконструкція системи опалення із застосуванням енергозберігаючих технологій, с. Сторона Дрогобицького району
</t>
  </si>
  <si>
    <t>2005-2016</t>
  </si>
  <si>
    <t>№1 від 30.12.2015</t>
  </si>
  <si>
    <t xml:space="preserve">Новороздільська загальноосвітня школа I—III ступеня № 5, м. Новий Розділ — реконструкція
</t>
  </si>
  <si>
    <t>№3 від 24.12.2015</t>
  </si>
  <si>
    <t xml:space="preserve">Підприємство промислової переробки побутових відходів потужністю до 100 тис. тонн на рік для міст Червонограда, Соснівки і смт Гірник — будівництво
</t>
  </si>
  <si>
    <t xml:space="preserve"> №1 від 21.12.2015</t>
  </si>
  <si>
    <t xml:space="preserve">Пл. Вічева (М. Шашкевича), вул. М. Шашкевича та прилеглі вулиці, м. Золочів (друга черга) — реконструкція
</t>
  </si>
  <si>
    <t>№8, 8/1 від 17.12.2015</t>
  </si>
  <si>
    <t xml:space="preserve">Загальноосвітня школа I—II ступеня на 150 учнів з двома дошкільними групами по 15 дітей і фельдшерським пунктом, с. Пристань Сокальського району — завершення будівництва
</t>
  </si>
  <si>
    <t>1994-2016</t>
  </si>
  <si>
    <t xml:space="preserve">Загальноосвітня школа I-III ступеня на 360 учнівських місць, с. Нижня Яблунька Турківського району - будівництво
</t>
  </si>
  <si>
    <t>2008-2016</t>
  </si>
  <si>
    <t xml:space="preserve">Будівлі військового містечка, с. Завадівка Турківського району — реконструкція під відділення Турківської центральної районної лікарні на 160 ліжок
</t>
  </si>
  <si>
    <t>1998-2015</t>
  </si>
  <si>
    <t xml:space="preserve">Школа на 500 учнів, с. Бірки Яворівського району (друга черга) — будівництво
</t>
  </si>
  <si>
    <t xml:space="preserve">Міні-футбольне поле Роздільсько-Київецького освітнього округу (проект “Здорові діти — здорова нація. Розвиток спортивної інфраструктури у Роздільсько-Київецькому освітньому окрузі”) — будівництво
</t>
  </si>
  <si>
    <t xml:space="preserve">Дитячий дошкільний заклад на площі Авіації, 19а, м. Новий Калинів Самбірського району — будівництво (коригування)
</t>
  </si>
  <si>
    <t>МИКОЛАЇВСЬКА</t>
  </si>
  <si>
    <r>
      <t xml:space="preserve">Миколаївський обласний протитуберкульозний диспансер, с. Надбузьке Миколаївського району -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</si>
  <si>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Водопровідна мережа від очисних споруд водопроводу-2 до просп. Праці, м. Первомайськ — будівництво
</t>
  </si>
  <si>
    <t xml:space="preserve">Котельня по вул. Кооперативній, 1б, м. Вознесенськ — технічне переоснащення
</t>
  </si>
  <si>
    <t xml:space="preserve">Тепломережа від котельні по вул. Жовтневої революції, 210а, до загальноосвітньої школи № 8, м. Вознесенськ — реконструкція
</t>
  </si>
  <si>
    <t xml:space="preserve">Водопостачання, смт Арбузинка — нове будівництво (права частина від р. Арбузинка)
</t>
  </si>
  <si>
    <t>2016 рік 
(I кв.)</t>
  </si>
  <si>
    <t xml:space="preserve">Мережа централізованого водопостачання із застосуванням ресурсозберігаючих технологій для відновлення забезпечення питною водою мешканців вул. Грушевського, с. Явкине Баштанського району — капітальний ремонт
</t>
  </si>
  <si>
    <t xml:space="preserve">Водопровід, с. Тернувате Миколаївського району — будівництво
</t>
  </si>
  <si>
    <t xml:space="preserve">Водопровідна мережа, с. Улянівка Миколаївського району — реконструкція
</t>
  </si>
  <si>
    <t xml:space="preserve">Зовнішні мережі водопостачання, с. Кринички Миколаївського району — реконструкція
</t>
  </si>
  <si>
    <t xml:space="preserve">Допоміжна споруда з встановленням обладнання для очистки води потужністю 12 куб. метрів на добу на території дитячого садка на 320 місць по вул. Миру, 176, смт Казанка — реконструкція
</t>
  </si>
  <si>
    <t xml:space="preserve">Вознесенська загальноосвітня школа-інтернат I-III ступеня “Обдарованість” Миколаївської обласної ради — реконструкція майстерень під їдальню
</t>
  </si>
  <si>
    <t xml:space="preserve">Централізована система водопостачання, с. Шевченкове Жовтневого району — реконструкція
</t>
  </si>
  <si>
    <t xml:space="preserve">Приміщення клубу по вул. Ювілейній, 11, смт Первомайське Жовтневого району — реконструкція електроопалення
</t>
  </si>
  <si>
    <t xml:space="preserve">Водопровідна мережа, с. Новофедорівка Казанківського району — реконструкція
</t>
  </si>
  <si>
    <t xml:space="preserve">Мережа водопостачання, с. Білоусівка Вознесенського району — реконструкція
</t>
  </si>
  <si>
    <t xml:space="preserve">Створення центру паліативної допомоги, м. Первомайськ
</t>
  </si>
  <si>
    <t xml:space="preserve">Корпус № 2 Арбузинського навчально-виховного комплексу загальноосвітнього навчального закладу I ступеня дитячого навчального закладу “Пролісок” по вул. Садовій, 80, смт Арбузинка — реконструкція
</t>
  </si>
  <si>
    <t xml:space="preserve">Дорошівська загальноосвітня школа I-III ступеня по вул. Свірьопкіна, 113, с. Дорошівка Вознесенського району — реконструкція будівлі для розміщення навчально-допоміжних приміщень
</t>
  </si>
  <si>
    <t xml:space="preserve">Корпус спортивного залу 12 х 24 метри з навчальними класами Мішково-Погорілівської загальноосвітньої школи I-II ступеня по вул. Інгульській, 78, с. Мішково-Погорілове Жовтневого району — будівництво
</t>
  </si>
  <si>
    <t xml:space="preserve">Загальноосвітня школа I-III ступеня № 8 по вул. Сухомлинського, 8, м. Вознесенськ — реконструкція покрівлі
</t>
  </si>
  <si>
    <t xml:space="preserve">Вознесенська загальноосвітня школа I-III ступеня № 5 по вул. Матросова, 205, м. Вознесенськ — реконструкція покрівлі корпусу Б-2
</t>
  </si>
  <si>
    <t xml:space="preserve">Вознесенська загальноосвітня школа I-III ступеня № 7 по вул. Шевченка, 14, м. Вознесенськ - реконструкція будівлі В-2 під міську станцію юних техніків
</t>
  </si>
  <si>
    <t xml:space="preserve">Школа-інтернат, м. Очаків — реконструкція системи опалення
</t>
  </si>
  <si>
    <t xml:space="preserve">Будинок культури, смт Арбузинка — реконструкція
</t>
  </si>
  <si>
    <t xml:space="preserve">Дитяче містечко “Казка”, м. Баштанка — реконструкція
</t>
  </si>
  <si>
    <t xml:space="preserve">Дитячий навчальний заклад “Віночок” по вул. Сизоненка, 4, м. Баштанка — реконструкція системи опалення з впровадженням енергозберігаючих технологій
</t>
  </si>
  <si>
    <t xml:space="preserve">Олександрівський дитячий навчальний заклад № 2 “Калинонька” по вул. Першотравневій, 148, смт Олександрівка Вознесенського району — реконструкція з використанням енергозберігаючих технологій
</t>
  </si>
  <si>
    <t xml:space="preserve">Спортивний зал по вул. Карла Маркса, 99, смт Єланець — реконструкція з впровадженням заходів з енергозбереження
</t>
  </si>
  <si>
    <t xml:space="preserve">Зеленогайська загальноосвітня школа I-III ступеня, с. Зелений Гай Жовтневого району — реконструкція системи опалення
</t>
  </si>
  <si>
    <t xml:space="preserve">Котляревський дошкільний навчальний заклад “Барвінок” по вул. Першотравневій, 76, с. Котляреве Жовтневого району — реконструкція будівлі
</t>
  </si>
  <si>
    <t xml:space="preserve">Водопровідна мережа, смт Первомайське Жовтневого району — реконструкція
</t>
  </si>
  <si>
    <t xml:space="preserve">Мережі вуличного освітлення від трансформаторної підстанції-531 по вулицях Тітова і Шевченка, с-ще Коларівка Жовтневого району — реконструкція
</t>
  </si>
  <si>
    <t xml:space="preserve">Мережі вуличного освітлення від трансформаторної підстанції-231 по вул. Андрєєва, с-ще Капустине Жовтневого району — реконструкція
</t>
  </si>
  <si>
    <t xml:space="preserve">Мережі вуличного освітлення від трансформаторної підстанції-47 по вулицях Зарічній і Черкаській, с-ще Зайчівське Жовтневого району — реконструкція
</t>
  </si>
  <si>
    <t xml:space="preserve">Мережі вуличного освітлення від трансформаторної підстанції-530 по вул. Мирній, с-ще Капустине Жовтневого району — реконструкція
</t>
  </si>
  <si>
    <t xml:space="preserve">Водопровід, с. Новогригорівка Казанківського району — реконструкція
</t>
  </si>
  <si>
    <t xml:space="preserve">Водопровід, с. Дмитрівка Казанківського району — реконструкція
</t>
  </si>
  <si>
    <t xml:space="preserve">Мережі водопостачання, с. Єлизаветівка Снігурівського району — реконструкція
</t>
  </si>
  <si>
    <t xml:space="preserve">Районний будинок культури по вул. Суворова, м. Снігурівка — реконструкція покрівлі
</t>
  </si>
  <si>
    <t xml:space="preserve">Фізична реабілітація дітей з особливими потребами — крок до повноцінного життя, Южноукраїнська міська рада
</t>
  </si>
  <si>
    <t>ОДЕСЬКА</t>
  </si>
  <si>
    <t xml:space="preserve">Поліклініка на 375 відвідувань за зміну по вул. Дунайській, 15, м. Рені — завершення будівництва
</t>
  </si>
  <si>
    <t>1988-2015</t>
  </si>
  <si>
    <t xml:space="preserve">Автомобільна дорога місцевого значення “Обхід м. Рені, на ділянці км 0 + 000 - км 5 + 600” — будівництво
</t>
  </si>
  <si>
    <t xml:space="preserve">Першочергові протиаварійні реставраційні заходи з попередження руйнування споруд північно-західної частини Аккерманської фортеці (у зоні “Цитадель”), м. Білгород-Дністровський
</t>
  </si>
  <si>
    <t xml:space="preserve">Поточний середній ремонт автомобільної дороги загального користування державного значення Т-16-06 контрольно-пропускний пункт “Виноградівка” — Болград — /М-15/, км 30 + 700 — км 48 + 831 (окремими ділянками)
</t>
  </si>
  <si>
    <t xml:space="preserve">Поточний середній ремонт автомобільної дороги загального користування державного значення Т-16-06 контрольно-пропускний пункт “Виноградівка” — Болград — /М-15/, км 12 + 700 — км 30 + 700 (окремими ділянками)
</t>
  </si>
  <si>
    <t>ПОЛТАВСЬКА</t>
  </si>
  <si>
    <t xml:space="preserve">Горбанівський геріатричний пансіонат, с. Горбанівка Полтавського району — реконструкція блоку № 1
</t>
  </si>
  <si>
    <t xml:space="preserve">Протитуберкульозний диспансер на 350 ліжок по вул. Київське Шосе, 1, с. Супрунівка Полтавського району — будівництво (третя черга)
</t>
  </si>
  <si>
    <t>роботи виконано 
(план на 2015 р. по 1 п.к.)</t>
  </si>
  <si>
    <t xml:space="preserve">Створення на базі існуючого комунального підприємства “Красиве село” Ковалівської сільської ради кущового підприємства для надання якісних житлово-комунальних послуг мешканцям суміжних громад (Полтавський район)
</t>
  </si>
  <si>
    <t xml:space="preserve">Сміттєва революція в громадах м. Червонозаводське, с. Токарі та с. Піски — як приклад вдалого співробітництва територіальних громад (Лохвицький район)
</t>
  </si>
  <si>
    <t xml:space="preserve">Міст через р. Хорол загальною довжиною 116 метрів по вул. Гоголя, м. Миргород — реконструкція
</t>
  </si>
  <si>
    <t xml:space="preserve">Березоволуцька загальноосвітня школа I-III ступеня по вул. Гагаріна, 14, с. Березова Лука Гадяцького району — будівництво модульної топкової на твердому паливі
</t>
  </si>
  <si>
    <t xml:space="preserve">Соснівська загальноосвітня школа I-II ступеня по вул. Леніна, 107, с. Соснівка Гадяцького району — будівництво модульної топкової на твердому паливі
</t>
  </si>
  <si>
    <t xml:space="preserve">Гільцівські барви (с. Гільці Чорнухинського району)
</t>
  </si>
  <si>
    <t xml:space="preserve">Впровадження інноваційних енергоефективних заходів з освітлення та гарячого водопостачання в Лохвицькій центральній районній лікарні на основі відновлюваних джерел енергії (енергії сонця) (Лохвицький район)
</t>
  </si>
  <si>
    <t xml:space="preserve">Загальноосвітня школа I-III ступеня № 2 по вул. Радянській, 62/1, м. Лубни — реконструкція будівлі з надбудовою третього поверху та добудовою актового залу (перша черга)
</t>
  </si>
  <si>
    <t xml:space="preserve">Придбання шкільного автобуса для підвезення учнів Білоцерківської об’єднаної територіальної громади (с. Білоцерківка Великобагачанського району)
</t>
  </si>
  <si>
    <t xml:space="preserve">Експлуатаційна артезіанська свердловина глибиною 165 метрів для водопостачання господарсько-питних потреб населення (с. Штомпелівка Хорольського району)
</t>
  </si>
  <si>
    <t xml:space="preserve">Станція 2-го підйому води в м. Гадячі — реконструкція
</t>
  </si>
  <si>
    <t xml:space="preserve">Водопровідна мережа від вул. Польової до вул. Погрібняка (від артезіанської свердловини № 1257ре до вул. Погрібняка, 20, м. Зіньків) — будівництво
</t>
  </si>
  <si>
    <t>декларація № ПТ 143153540704 від 20.12.2015</t>
  </si>
  <si>
    <t xml:space="preserve">Система опалення із встановленням резервної твердопаливної теплогенераторної для гімназіїї ім. Башкирцевої по вул. Яковенка, 25, с. Стасі Диканського району — реконструкція
</t>
  </si>
  <si>
    <t xml:space="preserve">Диканська гімназія імені М.В. Гоголя (блок № 3) по вул. Кірова, 2а, смт Диканька — pеконструкція
</t>
  </si>
  <si>
    <t xml:space="preserve">Придбання шкільних автобусів для Шенгурівської та Озеренської територіальних громад (Кобеляцький район)
</t>
  </si>
  <si>
    <t xml:space="preserve">Забезпечення санітарним автотранспортом Машівської центральної районної лікарні (Машівський район)
</t>
  </si>
  <si>
    <t xml:space="preserve">Придбання шкільних автобусів для Сахнівщинського та Ряськівського навчально-виховних комплексів “Загальноосвітній навчальний заклад - дитячий навчальний заклад” Машівського району (с. Сахнівщина та с. Ряське Машівського району)
</t>
  </si>
  <si>
    <t xml:space="preserve">Придбання автомобілів для надання первинної медичної допомоги (Котелевський район)
</t>
  </si>
  <si>
    <t xml:space="preserve">Водогін системи водопостачання та водовідведення для водозабезпечення мешканців с. Омельник Кременчуцького району — будівництво
</t>
  </si>
  <si>
    <t xml:space="preserve">Мережі водопостачання сіл Жовтневе, Новоселівка, Скочак Ульяновської сільської ради Гребінківського району — реконструкція. Облаштування свердловини водозабору
</t>
  </si>
  <si>
    <t xml:space="preserve">Модернізація електропостачання клубу та сільської ради с. Броварки Глобинського району
</t>
  </si>
  <si>
    <t>№26/11-15.02 від 25.12.2015</t>
  </si>
  <si>
    <t xml:space="preserve">Придбання шкільного автобуса для Оріхівської загальноосвітньої школи I-III ступеня Лубенського району (с. Оріхівка)
</t>
  </si>
  <si>
    <t>РІВНЕНСЬКА</t>
  </si>
  <si>
    <r>
      <t xml:space="preserve">Дитячий садок по вул. Лесі Українки, с. Курозвани Гощанського району —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</si>
  <si>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Середня школа на 834 учнівських місця по вул. Харківця, смт Зарічне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</si>
  <si>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Реконструкція будинку культури, с. Великий Мидськ Костопільського району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</si>
  <si>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Будівля клубу на вул. Семидубській, 16-а, м. Дубно — реконструкція під центр дозвілля молоді 
</t>
    </r>
    <r>
      <rPr>
        <i/>
        <sz val="13.5"/>
        <color indexed="8"/>
        <rFont val="Times New Roman"/>
        <family val="1"/>
        <charset val="204"/>
      </rPr>
      <t xml:space="preserve">(в тому числі погашення кредиторської заборгованості - 15 тис.)
</t>
    </r>
  </si>
  <si>
    <t xml:space="preserve">Каналізаційна мережа по вул. Садовій, м. Острог — реконструкція
</t>
  </si>
  <si>
    <t>№22/1 від 17.12.2015</t>
  </si>
  <si>
    <t>декларація № РВ 143153644012 від 30.12.2015</t>
  </si>
  <si>
    <t xml:space="preserve">Блочно-модульна котельня для навчально-виховного комплексу "ЗНЗ - ДНЗ" по вул. Венецькій, 11-а, м. Дубно — нове будівництво
</t>
  </si>
  <si>
    <t>№55/1 від 25.12.2015</t>
  </si>
  <si>
    <t>декларація № РВ 143153633948 від 29.12.2015</t>
  </si>
  <si>
    <t xml:space="preserve">Котельня по вул. Грушевського, 141, м. Дубно — реконструкція
</t>
  </si>
  <si>
    <t>№25/1 від 08.12.2015</t>
  </si>
  <si>
    <t>декларація № РВ 143153521638 від 18.12.2015</t>
  </si>
  <si>
    <t xml:space="preserve">Система опалення поліклінічного відділення Гощанської центральної районної лікарні з влаштуванням блочно-модульної котельні по вул. Незалежності, 82, смт Гоща — реконструкція
</t>
  </si>
  <si>
    <t>№54/1 від 25.12.2015</t>
  </si>
  <si>
    <t>декларація № РВ 143153645466 від 30.12.2015</t>
  </si>
  <si>
    <t xml:space="preserve">Котельня з встановленням твердопаливного котла Вовковиївської загальноосвітньої школи I - III ступеня по вул. Кочеткова, 4, с. Вовковиї Демидівського району — будівництво
</t>
  </si>
  <si>
    <t xml:space="preserve">Будівля Гощанської загальноосвітньої школи I - III ступеня по вул. Радянській, 4, смт Гоща — реконструкція (заміна вікон та зовнішніх дверей)
</t>
  </si>
  <si>
    <t xml:space="preserve">Приміщення Тучинської загальноосвітньої школи, с. Тучин Гощанського району — реконструкція (заміна вікон)
</t>
  </si>
  <si>
    <t>№33/1 від 23.11.2015</t>
  </si>
  <si>
    <t>декларація № РВ 143153644026 від 30.12.2015</t>
  </si>
  <si>
    <t xml:space="preserve">Котельня по вул. Шкільній, 10, с. Варковичі Дубенського району — реконструкція з переведенням на тверде паливо
</t>
  </si>
  <si>
    <t xml:space="preserve">Котельня Ступнівського навчально-виховного комплексу "Загальноосвітня школа I - II ступеня - ліцей", с. Ступно Здолбунівського району — будівництво
</t>
  </si>
  <si>
    <t xml:space="preserve">Котельня Ступнівської сільської ради по вул. Центральній, 1, с. Ступно Здолбунівського району — реконструкція
</t>
  </si>
  <si>
    <t>№28/3 від 25.12.2015</t>
  </si>
  <si>
    <t>декларація № РВ 143153633999 від 29.12.2015</t>
  </si>
  <si>
    <t xml:space="preserve">Паливна Спасівської загальноосвітньої школи I - III ступеня по вул. Сагайдачного, 12, с. Спасів Здолбунівського району — реконструкція з переводом на тверде паливо і заміна мереж
</t>
  </si>
  <si>
    <t>№39/1 від 16.12.2015</t>
  </si>
  <si>
    <t>декларація № РВ 143153521734 від 18.12.2015</t>
  </si>
  <si>
    <t xml:space="preserve">Нежитлове приміщення, с. Новий Корець Корецького району — реконструкція під дитячий садок
</t>
  </si>
  <si>
    <t xml:space="preserve">Станція знезалізнення продуктивністю 100 куб. метрів на добу, м. Корець — будівництво
</t>
  </si>
  <si>
    <t xml:space="preserve">Дитячий садок по вул. Жовтневій, 18, с. Злазне Костопільського району — реконструкція
</t>
  </si>
  <si>
    <t xml:space="preserve">Спортивний зал навчально-виховного комплексу "Тесівська загальноосвітня школа I - II ступеня - дитячий садок", с. Тесів Острозького району — реконструкція
</t>
  </si>
  <si>
    <t xml:space="preserve">Будівля навчально-виховного комплексу "Оженинська загальноосвітня школа I - III ступеня N 2 - дошкільний навчальний заклад" по вул. Шкільній, 5-а, с. Оженин Острозького району — реконструкція (влаштування шатрового даху)
</t>
  </si>
  <si>
    <t xml:space="preserve">Будинок культури (заміна покрівлі) по вул. Довгій, 70, с. Крупець Радивилівського району — реконструкція
</t>
  </si>
  <si>
    <t xml:space="preserve">Терапевтичний корпус (заміна вікон; реконструкція даху; утеплення фасадів та перекриття 5-го поверху) комунального закладу "Рівненський обласний госпіталь інвалідів війни" по вул. Деражненській, 39, смт Клевань Рівненського району (коригування з частковим плануванням і заміною інженерних мереж) — реконструкція
</t>
  </si>
  <si>
    <t xml:space="preserve">Самопливний каналізаційний колектор по вул. Незалежності, смт Клевань Рівненського району — будівництво (коригування)
</t>
  </si>
  <si>
    <t>№40/1 від 03.12.2015</t>
  </si>
  <si>
    <t>декларація № РВ 143153492247 від 15.12.2015</t>
  </si>
  <si>
    <t xml:space="preserve">Дитячий садок на три групи, с. Великий Житин Рівненського району — реконструкція
</t>
  </si>
  <si>
    <t xml:space="preserve">Розробка та запровадження системи сприятливих інвестиційних умов на території Рівненської області
</t>
  </si>
  <si>
    <t xml:space="preserve">Водопровідні мережі по вулицях Набережній і Жовтовського, м. Острог — реконструкція
</t>
  </si>
  <si>
    <t>№23/1 від 01.12.2015</t>
  </si>
  <si>
    <t>декларація № РВ 143153492265 від 15.12.2015</t>
  </si>
  <si>
    <t xml:space="preserve">Будинок культури по вул. Незалежності, 4, с. Княгинин Дубенського району — реконструкція
</t>
  </si>
  <si>
    <t xml:space="preserve">Білашівська загальноосвітня школа I - III ступеня (фасади), с. Білашів Здолбунівського району — реконструкція
</t>
  </si>
  <si>
    <t>№24/1 від 10.12.2015</t>
  </si>
  <si>
    <t>декларація № РВ 143153651750 від 31.12.2015</t>
  </si>
  <si>
    <t xml:space="preserve">Середня школа на 550 учнівських місць, с. Шпанів Рівненського району — будівництво (друга черга, 299 учнівських місць)
</t>
  </si>
  <si>
    <t xml:space="preserve">Будівлі по вул. Зірненській, 10, м. Березне — реконструкція під приміщення для навчально-спортивних цілей (спортивний комплекс, спортивне ядро та трансформаторна підстанція)
</t>
  </si>
  <si>
    <t xml:space="preserve">Поліклініка комунального закладу “Володимирецька центральна районна лікарня” по вул. Грушевського, 39, смт Володимирець — реконструкція під лікувальний корпус
</t>
  </si>
  <si>
    <t>№1/27 від 25.12.2015</t>
  </si>
  <si>
    <t>сертифікат ІV №164153580250 від 24.12.2015</t>
  </si>
  <si>
    <t xml:space="preserve">Котельня (розміщення модульного теплогенератора із встановленням твердопаливних котлів) для забезпечення теплом Посниківської загальноосвітньої школи I-II ступеня Млинівської районної ради по вул. Центральній, 50, с. Посників Млинівського району — будівництво
</t>
  </si>
  <si>
    <t xml:space="preserve">Дитячий дошкільний заклад по вул. О. Невського, 88, м. Радивилів — реконструкція з добудовою
</t>
  </si>
  <si>
    <t xml:space="preserve">Центральна районна лікарня, терапевтичний корпус (другий пусковий комплекс), смт Рокитне — будівництво
</t>
  </si>
  <si>
    <t xml:space="preserve">Приміщення будівлі на майдані Просвіти, 2, м. Рівне — реконструкція під центр надання адміністративних послуг
</t>
  </si>
  <si>
    <t xml:space="preserve">№42/1 від 18.12.2015 </t>
  </si>
  <si>
    <t>сертифікат ІV №165153550658 від 21.12.2015</t>
  </si>
  <si>
    <t xml:space="preserve">Загальноосвітня школа № 2 в мікрорайоні Будівельників, 56, м. Кузнецовськ — реконструкція (реконструкція покрівлі, заміна вікон, утеплення зовнішніх стін, опорядження фасадів)
</t>
  </si>
  <si>
    <t xml:space="preserve">Дошкільний навчальний заклад по вул. Шкільній, 54, с. Обарів Рівненського району — будівництво
</t>
  </si>
  <si>
    <t xml:space="preserve">Дошкільний навчальний заклад “Сонечко” по вул. Шкільній, 17, с. Ремчиці Сарненського району — реконструкція
</t>
  </si>
  <si>
    <t xml:space="preserve">Їдальня школи, с. Велюнь Дубровицького району — будівництво
</t>
  </si>
  <si>
    <t xml:space="preserve">Котельня по вул. Грушевського, 170в, м. Дубно — реконструкція
</t>
  </si>
  <si>
    <t>СУМСЬКА</t>
  </si>
  <si>
    <r>
      <t xml:space="preserve">Незавершений об'єкт по вул. Семашка, 7-а, м. Конотоп — добудова під пологовий будинок з діагностичним центром та дитячу поліклініку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- 2966,268 тис. )
</t>
    </r>
  </si>
  <si>
    <t xml:space="preserve">Самопливний каналізаційний колектор ДУ 500 мм по вул. Суворова-Жужоми, м. Глухів — реконструкція
</t>
  </si>
  <si>
    <t xml:space="preserve">Існуючі каналізаційні мережі, с. Вирівка Конотопського району — реконструкція
</t>
  </si>
  <si>
    <t xml:space="preserve">Будинок культури, с. Самотоївка Краснопільського району — реконструкція
</t>
  </si>
  <si>
    <t>№2 від 14.12.2015</t>
  </si>
  <si>
    <t>декларація № СМ 143160060585 від 06.01.2016</t>
  </si>
  <si>
    <t xml:space="preserve">Котельня Самотоївської загальноосвітньої школи I - III ступеня Краснопільської районної ради, с. Самотоївка Краснопільського району — реконструкція
</t>
  </si>
  <si>
    <t xml:space="preserve">Котельня Тростянецької центральної районної лікарні по вул. Нескучанській, 7, м. Тростянець — реконструкція шляхом дообладнання котлами на альтернативних видах палива
</t>
  </si>
  <si>
    <t xml:space="preserve">Створення комунального підприємства / кооперативу для обслуговування мереж водогонів, благоустрою, збору та утилізації твердих побутових відходів, надання ритуальних послуг у сільській місцевості (смт Зноб-Новгородське Середино-Будського району)
</t>
  </si>
  <si>
    <t xml:space="preserve">Якісна питна вода — запорука сталого розвитку громади (Кролевецький район)
</t>
  </si>
  <si>
    <t xml:space="preserve">Моделювання інтегрованого освітнього округу як педагогічна інновація в системі навчання і виховання (Кролевецький район)
</t>
  </si>
  <si>
    <t>№2 від 03.12.2015</t>
  </si>
  <si>
    <t xml:space="preserve">Інноваційне рішення щодо забезпечення безпеки життя населення та впровадження альтернативних енергозберігаючих технологій в дошкільному навчальному закладі (м. Путивль)
</t>
  </si>
  <si>
    <t xml:space="preserve">Заходи з енергозбереження у дошкільному навчальному закладі "Вишенька" — заощадження коштів селищного бюджету смт Вороніж Шосткинського району
</t>
  </si>
  <si>
    <t>№1 від 19.10.2015</t>
  </si>
  <si>
    <t>декларація СМ №142153152362 від 11.11.2015</t>
  </si>
  <si>
    <t xml:space="preserve">Каналізаційний напірний колектор від діючої камери № 19 по вул. Д. Коротченка до камери № 31 по вул. Криничній, м. Суми — реконструкція
</t>
  </si>
  <si>
    <t xml:space="preserve">Добудова обласного психоневрологічного диспансеру, м. Суми (друга черга). Пусковий комплекс № 1
</t>
  </si>
  <si>
    <t xml:space="preserve">Центральна районна лікарня по вул. Петровського, 15, м. Охтирка (розширення). Пускові комплекси: № 3. Нове будівництво господарського корпусу; № 4. Нове будівництво головного корпусу. Діагностичне відділення; № 5. Нове будівництво головного корпусу. Підвал, приймальне відділення, відділення фізіотерапевтичне, травматолого-ортопедичне, отоларингологічне
</t>
  </si>
  <si>
    <t>1990-2016</t>
  </si>
  <si>
    <t>ТЕРНОПІЛЬСЬКА</t>
  </si>
  <si>
    <r>
      <t xml:space="preserve">Система водопостачання, м. Борщів — реконструкція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- 193,353 тис.)
</t>
    </r>
  </si>
  <si>
    <t>декларація № ТП 143153643481 від 30.12.2015</t>
  </si>
  <si>
    <t xml:space="preserve">Загальноосвітня школа I - III ступеня по просп. Тараса Шевченка, 15, м. Скалат Підволочиського району — реконструкція з добудовою навчальних класів, харчоблоку, спортивного залу, актового залу, басейну (I черга — реконструкція корпусу N 1) 
(у тому числі погашення кредиторської заборгованості - 4,686 тис.)
</t>
  </si>
  <si>
    <t>б/н від 04.12.2015</t>
  </si>
  <si>
    <r>
      <t xml:space="preserve">Загальноосвітня школа I - II ступеня на 126 учнів, с. Соколів Теребовлянського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- 5,68 тис.)
</t>
    </r>
  </si>
  <si>
    <t>1991-2015</t>
  </si>
  <si>
    <t>декларація № ТП 143153651952 від 30.12.2015</t>
  </si>
  <si>
    <t xml:space="preserve">Шумський територіальний центр соціального обслуговування пенсіонерів та одиноких непрацездатних громадян по вул. Садовій, 4, с. Великі Дедеркали Шумського району - реконструкція існуючих будівель санчастини, котельні та магазину під стаціонарне геріатричне відділення 
(у тому числі погашення кредиторської заборгованості - 148,381 тис.)
</t>
  </si>
  <si>
    <t>2007-2016</t>
  </si>
  <si>
    <r>
      <t xml:space="preserve">Біологічні очисні споруди і каналізаційна насосна станція, м. Скалат Підволочиського району —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</si>
  <si>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Обласний комунальний геріатричний будинок-інтернат, с. Петриків Тернопільського району — реконструкція покрівлі з надбудовою горищного даху корпусів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</si>
  <si>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Загальноосвітня школа I - II ступеня, с. Бедриківці Заліщицького району —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</si>
  <si>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Загальноосвітня школа I - II ступеня, с. Бриків Шумського району — реконструкція (II черга)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</si>
  <si>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Спеціалізована школа I - III ступеня імені О. Маковея по вул. Шкільній, 1, м. Заліщики — влаштування модульної котельні на альтернативному паливі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</si>
  <si>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Реконструкція лікарняного корпусу під інфекційне відділення для дітей і дорослих та приміщення кафедри медичного університету з прибудовою сходової клітки та ліфта по вул. Пирогова, 16, м. Тернопіль
</t>
  </si>
  <si>
    <t xml:space="preserve">Реконструкція очисних споруд з улаштуванням установки біологічної очистки на 100 куб. метрів побутових стічних вод та капітальний ремонт колектора по вул. Корольова, м. Бережани
</t>
  </si>
  <si>
    <t>декларація № ТП 143153643417 від 30.12.2015</t>
  </si>
  <si>
    <t xml:space="preserve">Котельня по вул. Січових Стрільців, 2-а, м. Бережани — реконструкція із встановленням котла на альтернативному виді палива
</t>
  </si>
  <si>
    <t xml:space="preserve">Районний будинок культури та районна бібліотека для дорослих по вул. Грушевського 2-а, 2-б, м. Борщів — реконструкція
</t>
  </si>
  <si>
    <t>2006-2016</t>
  </si>
  <si>
    <t xml:space="preserve">Паливна по вул. Грушевського, 86, смт Скала-Подільська Борщівського району — реконструкція з встановленням твердопаливного котла Р = 100 кВт
</t>
  </si>
  <si>
    <t>2015-2015</t>
  </si>
  <si>
    <t>декларація № ТП 142153432380 від 09.12.2015</t>
  </si>
  <si>
    <t xml:space="preserve">Паливна по вул. Грушевського, 88, смт Скала-Подільська Борщівського району — реконструкція з встановленням твердопаливного котла Р = 100 кВт
</t>
  </si>
  <si>
    <t>декларація № ТП 142153432408 від 09.12.2015</t>
  </si>
  <si>
    <t xml:space="preserve">Підвідний газопровід високого тиску до с. Кривче Борщівського району — будівництво
</t>
  </si>
  <si>
    <t>декларація № ТП 142153643322 від 30.12.2015</t>
  </si>
  <si>
    <t xml:space="preserve">Водопровідні мережі західно-центральної частини селища цукровиків, м. Бучач — реконструкція
</t>
  </si>
  <si>
    <t>2004-2015</t>
  </si>
  <si>
    <t xml:space="preserve">Очисні споруди в центральній частині міста, м. Хоростків Гусятинського району — реконструкція із встановленням системи повного біологічного очищення господарсько-побутових стічних вод типу "BIOTAL" продуктивністю 200 куб. метрів на добу
</t>
  </si>
  <si>
    <t>декларація № ТП 143153643339 від 30.12.2015</t>
  </si>
  <si>
    <t xml:space="preserve">Прибудова спортивного залу, бібліотеки і шкільних майстерень до будівлі школи, с. Бедриківці Заліщицького району — будівництво
</t>
  </si>
  <si>
    <t>2009-2015</t>
  </si>
  <si>
    <t xml:space="preserve">Приміщення гімназії по вул. С. Бандери, 68, м. Заліщики — реконструкція з надбудовою актового залу
</t>
  </si>
  <si>
    <t>2009-2016</t>
  </si>
  <si>
    <t xml:space="preserve">Дитячий садок № 1 по вул. Львівській, 2, м. Зборів — реконструкція покрівлі з улаштуванням шатрового даху
</t>
  </si>
  <si>
    <t>б/н від 19.10.2015</t>
  </si>
  <si>
    <t>декларація № ТП 143153560341 від 22.12.2015</t>
  </si>
  <si>
    <t xml:space="preserve">Водопостачання, смт Козова (центральна частина) — реконструкція
</t>
  </si>
  <si>
    <t xml:space="preserve">Плавальний басейн для Козівської загальноосвітньої школи I - III ступеня N 2 по вул. Вітошинського, 14, смт Козова — будівництво
</t>
  </si>
  <si>
    <t xml:space="preserve">Електричні мережі 10 - 0,38 кВ та ТП 10/0,4 кВ для електропостачання нового житлового кварталу по вул. Б. Хмельницького, с. Лосятин, Кременецького району — будівництво
</t>
  </si>
  <si>
    <t>декларація № ТП 143153643288 від 30.12.2015</t>
  </si>
  <si>
    <t xml:space="preserve">Нежитлова будівля по вул. Л. Українки, с. Рудка Кременецького району — реконструкція під дитячий садок із влаштуванням паливної та здійснення заходів з енергозбереження
</t>
  </si>
  <si>
    <t>декларація № ТП 143153643798 від 30.12.2015</t>
  </si>
  <si>
    <t xml:space="preserve">Котельня по вул. С. Петлюри, 18-а, м. Кременець — реконструкція із встановленням котлів на альтернативному виді палива
</t>
  </si>
  <si>
    <t>декларація № ТП 142153643194 від 30.12.2015</t>
  </si>
  <si>
    <t xml:space="preserve">Каналізаційна мережа і каналізаційна насосна станція по вул. Незалежності, м. Ланівці — реконструкція
</t>
  </si>
  <si>
    <t xml:space="preserve">Районна комунальна установа "Меморіальний комплекс-музей "Молотківська трагедія", с. Молотків Лановецького району — реконструкція даху
</t>
  </si>
  <si>
    <t>декларація № ТП 142153560403 від 22.12.2015</t>
  </si>
  <si>
    <t xml:space="preserve">Реконструкція водопроводу, м. Монастириська. Модернізація водонасосної станції
</t>
  </si>
  <si>
    <t>№7 від 29.12.2015</t>
  </si>
  <si>
    <t xml:space="preserve">Комунальна установа Тернопільської обласної ради "Петриківський обласний геріатричний пансіонат" по вул. Зеленій, 15, с. Петриків, Тернопільського району — реконструкція покрівлі з надбудовою горищного даху корпусів
</t>
  </si>
  <si>
    <t>декларація № ТП 143153643764 від 30.12.2015</t>
  </si>
  <si>
    <t xml:space="preserve">Дитячий садок, с. Ігровиця Тернопільського району — реконструкція
</t>
  </si>
  <si>
    <t>декларація № ТП 143153643561 від 30.12.2015</t>
  </si>
  <si>
    <t xml:space="preserve">Повітряна лінія електропередачі 10/0,4 кВ, масив "Сонячний", с. Байківці Тернопільського району — будівництво
</t>
  </si>
  <si>
    <t>б/н за 10.2015</t>
  </si>
  <si>
    <t>декларація № ТП 143153011886 від 28.10.2015</t>
  </si>
  <si>
    <t xml:space="preserve">Повітряна лінія електропередачі 10/0,4 кВ, масив "Сонячний-А", с. Байківці Тернопільського району — будівництво
</t>
  </si>
  <si>
    <t>декларація № ТП 143153011896 від 28.10.2015</t>
  </si>
  <si>
    <t xml:space="preserve">Електричні мережі 10 - 0,4 кВ зовнішнього забезпечення до точки приєднання для електропостачання електроустановок житлового масиву "Приміський", с. Байківці Тернопільського району — будівництво
</t>
  </si>
  <si>
    <t>б/н за 11.2015</t>
  </si>
  <si>
    <t>декларація № ТП 143153152038 від 11.11.2015</t>
  </si>
  <si>
    <t xml:space="preserve">Котельня по вул. Шкільній, 15, смт Великі Бірки Тернопільського району — реконструкція із встановленням котла на альтернативному виді палива
</t>
  </si>
  <si>
    <t xml:space="preserve">Будинок культури на 400 місць по вул. Л. Українки, с. Білобожниця Чортківського району — реконструкція
</t>
  </si>
  <si>
    <t>декларація № ТП 143153643380 від 30.12.2015</t>
  </si>
  <si>
    <t xml:space="preserve">Будівля клубу і амбулаторії сімейної медицини по вул. Шевченка, 37, с. Нагірянка Чортківського району — реконструкція
</t>
  </si>
  <si>
    <t>декларація № ТП 143153643587 від 30.12.2015</t>
  </si>
  <si>
    <t xml:space="preserve">Будівля районної комунальної дитячо-юнацької спортивної школи по вул. Носса, 2, м. Чортків — реконструкція
</t>
  </si>
  <si>
    <t>декларація № ТП 143153643495 від 30.12.2015</t>
  </si>
  <si>
    <t xml:space="preserve">Котельня по вул. Володимира Великого, 32, м. Чортків — реконструкція із встановленням котлів на альтернативному виді палива
</t>
  </si>
  <si>
    <t>декларація № ТП 142153643227 від 30.12.2015</t>
  </si>
  <si>
    <t xml:space="preserve">Каналізаційні очисні споруди, м. Шумськ — реконструкція
</t>
  </si>
  <si>
    <t>декларація № ТП 143153643308 від 30.12.2015</t>
  </si>
  <si>
    <t xml:space="preserve">Реконструкція радіологічного корпусу з надбудовою для розміщення лабораторного комплексу та централізованої стерилізації комунального закладу Тернопільської обласної ради “Тернопільська університетська лікарня” по вул. Клінічній, 1, м. Тернопіль
</t>
  </si>
  <si>
    <t xml:space="preserve">Прибудова спортивного залу і шкільної їдальні до загальноосвітньої школи I-II ступеня, с. Оришківці Гусятинського району — будівництво
</t>
  </si>
  <si>
    <t>декларація № ТП 143153643695 від 30.12.2015</t>
  </si>
  <si>
    <t xml:space="preserve">Очисні споруди, м. Збараж — будівництво
</t>
  </si>
  <si>
    <t>декларація № ТП 143153643451 від 30.12.2015</t>
  </si>
  <si>
    <t>ХАРКІВСЬКА</t>
  </si>
  <si>
    <r>
      <t xml:space="preserve">Водозабірна свердловина, с. Зорянське Шевченківського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- 1326,311 тис.)
</t>
    </r>
  </si>
  <si>
    <t xml:space="preserve">Приміщення травматологічного та ревматологічного відділень 8-го поверху головного лікувального корпусу, приміщення під облаштування Центру екстреної медичної допомоги та медицини катастроф комунального закладу охорони здоров'я "Обласна клінічна лікарня - Центр екстреної медичної допомоги та медицини катастроф" по просп. Правди, 13, м. Харків — реконструкція 
(у тому числі погашення кредиторської заборгованості - 581,737 тис.)
</t>
  </si>
  <si>
    <r>
      <t xml:space="preserve">Системи водопостачання, с. Червоний Оскіл Ізюмського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</si>
  <si>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Багатофункціональний фізкультурно-оздоровчий комплекс, м. Вовчанськ — будівництво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- 9,071 тис.)
</t>
    </r>
  </si>
  <si>
    <t xml:space="preserve">Розроблення картографічної основи Харківської області в системі координат УСК-2000 в масштабі М1:10000 для визначення меж новостворених об’єднаних громад та невикористовуваних земельних ділянок і відображення їх в геоінформаційній системі порталу відкритих даних регіону
</t>
  </si>
  <si>
    <t xml:space="preserve">Комплекс очисних споруд, м. Первомайський — реконструкція електропостачання
</t>
  </si>
  <si>
    <t>№6 від 24.12.2015</t>
  </si>
  <si>
    <t xml:space="preserve">Реконструкція газового котла “Заміна існуючих пальникових пристроїв на котлі КВГ-7,56-150 № 3 на пальники СНГ-33 в котельні по вул. Газовиків, 14, комунального підприємства Балаклійської районної ради “Балаклійські теплові мережі”
</t>
  </si>
  <si>
    <t xml:space="preserve">Двоповерхова нежитлова будівля-контора по вул. Ханіна, 7, с. Петрівське Балаклійського району - реконструкція під амбулаторію загальної практики — сімейної медицини комунального закладу охорони здоров’я Балаклійської районної ради “Балаклійський районний центр первинної медико-санітарної допомоги”
</t>
  </si>
  <si>
    <t xml:space="preserve">Балаклійська загальноосвітня школа I-III ступеня № 5 Балаклійської районної ради по вул. Перемоги, 100, м. Балаклія — реконструкція для розміщення навчально-виховного комплексу
</t>
  </si>
  <si>
    <t xml:space="preserve">Каналізаційна насосна станція по вул. Тимофієнка, 1, смт Савинці Балаклійського району — реконструкція
</t>
  </si>
  <si>
    <t xml:space="preserve">Каналізаційна мережа від каналізаційної насосної станції, яка розташована біля будинку по вул. Леніна, 37, до каналізаційного самопливного колектору, який розташований біля будинку по вул. Фрунзе, 7, смт Савинці Балаклійського району — реконструкція
</t>
  </si>
  <si>
    <t xml:space="preserve">Каналізаційний колектор по вулицях Чалого, Загорулько та Урицького, м. Богодухів — будівництво
</t>
  </si>
  <si>
    <t xml:space="preserve">Водопровідна мережа від водогону по вул. Пушкіна до водозабору по вул. Катукова, м. Богодухів — будівництво
</t>
  </si>
  <si>
    <t xml:space="preserve">Будівля спортивного залу по вул. Притули, 10а, с. Садове Близнюківського району — реконструкція
</t>
  </si>
  <si>
    <t xml:space="preserve">Дитячий садок № 7 по вул. Гоголя, 28, м. Вовчанськ — реконструкція з улаштуванням шатрового покриття
</t>
  </si>
  <si>
    <t xml:space="preserve">Водогін, смт Мала Данилівка Дергачівського району — реконструкція
</t>
  </si>
  <si>
    <t xml:space="preserve">Стадіон “Авангард” по вул. Вернигоренка, 1/ Пушкарьова, 36, м. Зміїв — реконструкція
</t>
  </si>
  <si>
    <t>№2-4 від 28.12.2015</t>
  </si>
  <si>
    <t xml:space="preserve">Система водопостачання по вул. Поштовій, 52, с. Одноробівка Золочівського району — реконструкція
</t>
  </si>
  <si>
    <t xml:space="preserve">Водопостачання для населення з підземною прокладкою труб, с-ще Одноробівка Одноробівської першої сільської ради Золочівського району
</t>
  </si>
  <si>
    <t xml:space="preserve">Газопостачання, с-ще Жовтневе, села Чорноглазівка і Карасівка Золочівського району
</t>
  </si>
  <si>
    <t xml:space="preserve">Газифікація, с. Новодмитрівка Сахновщинського району (перша черга — газопроводи високого тиску, шафний розподільний пункт)
</t>
  </si>
  <si>
    <t>№4 від 02.11.2015</t>
  </si>
  <si>
    <t>декларація № ХК 143153492511 від 15.12.2015</t>
  </si>
  <si>
    <t xml:space="preserve">Водопостачання, с. Дар-Надежда Сахновщинського району
</t>
  </si>
  <si>
    <t xml:space="preserve">Водопровідна мережа, села Тарасівка та Червоний степ Сахновщинського району — будівництво
</t>
  </si>
  <si>
    <t xml:space="preserve">Технічне переоснащення системи теплопостачання з установкою модульних котелень на твердому паливі, смт Чкаловське Чугуївського району”
</t>
  </si>
  <si>
    <t>2014-2016</t>
  </si>
  <si>
    <t xml:space="preserve">Пам’ятникоохоронні роботи по будівлі-пам’ятці архітектури по вул. Римарській, 21, м. Харків (комунальне підприємство “Харківська обласна філармонія”) (реконструкція) (коригування у зв’язку з виділенням пускових комплексів)
</t>
  </si>
  <si>
    <t>ХЕРСОНСЬКА</t>
  </si>
  <si>
    <r>
      <t xml:space="preserve">Верхньоантонівський водозабір та водовід питної води, м. Херсон — реконструкція (друга черга)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- 1504,831 тис.)
</t>
    </r>
  </si>
  <si>
    <t>№7 від 28.12.2015</t>
  </si>
  <si>
    <r>
      <t>Гуртожиток, с. Першопокровка Нижньосірогозького району — реконструкція під дитячий садок на 40 місць 
(</t>
    </r>
    <r>
      <rPr>
        <i/>
        <sz val="13.5"/>
        <color indexed="8"/>
        <rFont val="Times New Roman"/>
        <family val="1"/>
        <charset val="204"/>
      </rPr>
      <t xml:space="preserve">погашення кредиторської заборгованості)
</t>
    </r>
  </si>
  <si>
    <r>
      <t xml:space="preserve">Міжселищний газопровід високого тиску до с. Томарине Бериславського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</si>
  <si>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Дошкільний заклад "Теремок" по вул. Пушкіна, 4, смт Новотроїцьке — реконструкція (перша черга)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</si>
  <si>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Відновлювальні роботи покриття, рульових доріжок 1 і 2, перону аеропорту “Херсон” — реконструкція
</t>
  </si>
  <si>
    <t xml:space="preserve">Арена стадіону комунального підприємства “Розвиток спорту” по вул. Патона, 15а, м. Херсон — реконструкція фасадів та покриття
</t>
  </si>
  <si>
    <t xml:space="preserve">Палац культури, м. Нова Каховка — реконструкція
</t>
  </si>
  <si>
    <t xml:space="preserve">Фізкультурно-оздоровчий комплекс по вул. Херсонській, 50, смт Білозерка — реконструкція з улаштуванням системи опалення та встановленням котлів на твердому паливі
</t>
  </si>
  <si>
    <t xml:space="preserve">Очисні споруди, с. Чорнобаївка Білозерського району — будівництво
</t>
  </si>
  <si>
    <t xml:space="preserve">Підвідний газопровід високого тиску до селища міського типу Біла Криниця Великоолександрівського району — будівництво
</t>
  </si>
  <si>
    <t xml:space="preserve">Краснознам’янська загальноосвітня школа по вул. Миру, 4, с. Краснознам’янка Голопристанського району — реконструкція даху будівлі
</t>
  </si>
  <si>
    <t xml:space="preserve">Водопровідна вежа, с. Новодмитрівка Перша Іванівського району — капітальний ремонт
</t>
  </si>
  <si>
    <t>№1 від 04.12.2015</t>
  </si>
  <si>
    <t xml:space="preserve">Очисні споруди, с. Роздольне Каховського району — будівництво та реконструкція мереж каналізації
</t>
  </si>
  <si>
    <t>№4 від 30.12.2015</t>
  </si>
  <si>
    <t xml:space="preserve">Водопровідна мережа по вул. К. Маркса, смт Новотроїцьке — реконструкція
</t>
  </si>
  <si>
    <t>№2 від 15.12.2015</t>
  </si>
  <si>
    <t xml:space="preserve">Водопровідна мережа по вул. Белінського, смт Новотроїцьке — реконструкція з метою покращення якості питної води (заміна металевих та асбестоцементних труб на пластмасові)
</t>
  </si>
  <si>
    <t xml:space="preserve">Водопровідна мережа по вул. Толбухіна, смт Новотроїцьке — реконструкція з метою покращення якості питної води
</t>
  </si>
  <si>
    <t xml:space="preserve">Водопровідна мережа по вул. Безроднього, смт Новотроїцьке — реконструкція
</t>
  </si>
  <si>
    <t xml:space="preserve">Водопровідна мережа по вулицях Олімпійській, Будівельників, пров. Вузькому, смт Новотроїцьке — реконструкція
</t>
  </si>
  <si>
    <t>ХМЕЛЬНИЦЬКА</t>
  </si>
  <si>
    <r>
      <t xml:space="preserve">Палатний корпус з дитячим відділенням та дитячою консультацією по вул. Горького, 7, м. Дунаївці — продовження будівництва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- 397,46 тис.)
</t>
    </r>
  </si>
  <si>
    <t>декларація № ХМ 143153632504 від 29.12.2015</t>
  </si>
  <si>
    <t xml:space="preserve">Водогін від с. Чернелівка Красилівського району до м. Хмельницького — будівництво другої черги
</t>
  </si>
  <si>
    <t>2004-2017</t>
  </si>
  <si>
    <t xml:space="preserve">Плавальний басейн дитячого навчального закладу № 3 по вул. Зарічній, 27, м. Славута — реконструкція
</t>
  </si>
  <si>
    <t>№5 від 18.12.2015</t>
  </si>
  <si>
    <t xml:space="preserve">Об’єкти благоустрою мікрорайону “Сонячний”, м. Славута — реконструкція
</t>
  </si>
  <si>
    <t xml:space="preserve">Корпус № 2 Віньковецького навчально-виховного комплексу по вул. Заславській, 13, смт Віньківці — капітальний ремонт
</t>
  </si>
  <si>
    <t xml:space="preserve">Модульна котельня по вул. Пушкіна, 14, м. Волочиськ — будівництво
</t>
  </si>
  <si>
    <t>декларація № ХМ 143153570210 від 23.12.2015</t>
  </si>
  <si>
    <t xml:space="preserve">Артезіанські свердловини станції II і III підйому, м. Деражня — реконструкція з встановленням станції знезараження питної води
</t>
  </si>
  <si>
    <t>№13 від 28.12.2015</t>
  </si>
  <si>
    <t xml:space="preserve">Дитячий садок по вул. Першотравневій, 68, с. Гуменці Кам’янець-Подільського району — реконструкція
</t>
  </si>
  <si>
    <t xml:space="preserve">декларація № ХМ 142153624285 від 29.12.2015 </t>
  </si>
  <si>
    <t xml:space="preserve">Дитячий садок по вул. Гагаріна, 5а, с. Лисогірка Кам’янець-Подільського району — реконструкція
</t>
  </si>
  <si>
    <t xml:space="preserve">декларація № ХМ 142153624277 від 29.12.2015 </t>
  </si>
  <si>
    <t xml:space="preserve">Дошкільний навчальний заклад № 1 “Веселка” Красилівської міської ради по вул. Грушевського, 55, м. Красилів — реконструкція старого корпусу
</t>
  </si>
  <si>
    <r>
      <t>2016 рік 
(</t>
    </r>
    <r>
      <rPr>
        <sz val="10.5"/>
        <rFont val="Times New Roman"/>
        <family val="1"/>
        <charset val="204"/>
      </rPr>
      <t>травень)</t>
    </r>
  </si>
  <si>
    <t>№16 від 30.12.2015</t>
  </si>
  <si>
    <t xml:space="preserve">Розподільчі електричні мережі 10/04 кВ, с. Романіни Славутського району — будівництво
</t>
  </si>
  <si>
    <t>№14 від 28.12.2015</t>
  </si>
  <si>
    <t xml:space="preserve">Дошкільний навчальний заклад “Пізнайко” по пров. Центральному, 2/1, с. Григорівка Старокостянтинівського району — реконструкція
</t>
  </si>
  <si>
    <t xml:space="preserve">Очисні споруди, смт Теофіполь — будівництво
</t>
  </si>
  <si>
    <t xml:space="preserve">декларація № ХМ 141153632870 від 29.12.2015 </t>
  </si>
  <si>
    <t xml:space="preserve">Грузевицька загальноосвітня школа I-III ступеня, с. Грузевиця Хмельницького району — будівництво (добудова харчоблоку до будівлі, влаштування внутрішніх санвузлів та комп’ютерного класу)
</t>
  </si>
  <si>
    <t xml:space="preserve">Дорога по вул. Сонячній від пікету 0 + 00 до пікету 5 + 52, с. Малиничі Хмельницького району — капітальний ремонт
</t>
  </si>
  <si>
    <t>декларація № ХМ 141153200512 від 16.11.2015</t>
  </si>
  <si>
    <t xml:space="preserve">Модульна котельня дитячого садочка “Червона калина”, смт Чемерівці — будівництво
</t>
  </si>
  <si>
    <t>№4 від 24.12.2015</t>
  </si>
  <si>
    <t xml:space="preserve">Очисні споруди та мережі каналізації житлового мікрорайону II залізничного вокзалу, м. Старокостянтинів — реконструкція
</t>
  </si>
  <si>
    <t>№6 від 29.12.2015</t>
  </si>
  <si>
    <t xml:space="preserve">Котельня по вул. Жукова, 2, м. Кам’янець-Подільський — реконструкція з переобладнанням котлів на альтернативні види палива
</t>
  </si>
  <si>
    <t>декларація № ХМ 143153560568 від 22.12.2015</t>
  </si>
  <si>
    <t xml:space="preserve">Легкоатлетичне ядро на спортивному комплексі “Поділля” дитячо-юнацької спортивної школи № 1 по вул. Проскурівській, 81, м. Хмельницький — реконструкція
</t>
  </si>
  <si>
    <t>№15 від 24.12.2015</t>
  </si>
  <si>
    <t xml:space="preserve">Ліквідація аварійного стану (друга черга), консервація, реставрація та пристосування пам’ятки архітектури 1542-1672 років (охоронний номер 730/8) башти Нова Західна комплексу Старий Замок, м. Кам’янець-Подільський (“Пам’ятка архітектури 1542-1672 років Башта № 7 (Башта Нова Західна охоронний номер 730/8 комплексу Старий Замок XII-XVIII ст.”)
</t>
  </si>
  <si>
    <t>№7 від 25.12.2015</t>
  </si>
  <si>
    <t xml:space="preserve">Лікувальний корпус на 120 ліжок та харчоблок по вул. Шевченка, 40, м. Городок — будівництво
</t>
  </si>
  <si>
    <t>1990-2015</t>
  </si>
  <si>
    <t xml:space="preserve">Очисні споруди, смт Летичів — реконструкція
</t>
  </si>
  <si>
    <t>№9 від 29.12.2015</t>
  </si>
  <si>
    <t xml:space="preserve">Нежитлова будівля по вул. Соборній, 189, с. Новоселиця Полонського району — реконструкція під амбулаторію загальної практики сімейної медицини
</t>
  </si>
  <si>
    <t xml:space="preserve">Дорога по вул. Чапаєва, смт Чемерівці — капітальний ремонт
</t>
  </si>
  <si>
    <t xml:space="preserve">Каналізаційні очисні споруди потужністю 400 куб. метрів на добу, смт Білогір’я — будівництво
</t>
  </si>
  <si>
    <t xml:space="preserve">Дорога по вул. Горького, смт Сатанів Городоцького району — капітальний ремонт
</t>
  </si>
  <si>
    <t>декларація № ХМ 141160131051 від 13.01.2015</t>
  </si>
  <si>
    <t xml:space="preserve">Дорога комунальної власності по вул. Комарова, смт Сатанів Городоцького району — капітальний ремонт
</t>
  </si>
  <si>
    <t>декларація № ХМ 141160131125 від 13.01.2015</t>
  </si>
  <si>
    <t xml:space="preserve">Водогін с. Браїлівка - смт Нова Ушиця — завершення будівництва
</t>
  </si>
  <si>
    <t>№16 від 28.12.2015</t>
  </si>
  <si>
    <t xml:space="preserve">Очисні споруди каналізації продуктивністю до 5000 куб. метрів на добу, м. Полонне — реконструкція
</t>
  </si>
  <si>
    <t xml:space="preserve">Повноцінна реабілітація — право кожної дитини-інваліда с. Райківці Хмельницького району
</t>
  </si>
  <si>
    <t>№710002659 від 02.12.2015</t>
  </si>
  <si>
    <t xml:space="preserve">Будинок № 2 Ізяславського дошкільного навчального закладу (ясла-садок № 2) загального розвитку Ізяславської міської ради по пров. Михельському, 2, м. Ізяслав — капітальний ремонт
</t>
  </si>
  <si>
    <t xml:space="preserve">Підвідний газопровід високого тиску до сіл Оринин, Теклівка, Ріпинці, Привороття, Кадиївці Кам’янець-Подільського району — будівництво
</t>
  </si>
  <si>
    <t>№7 від 20.12.2015</t>
  </si>
  <si>
    <t xml:space="preserve">Поліклініка Ізяславської центральної районної лікарні по вул. Б. Хмельницького, 47, м. Ізяслав — реконструкція приміщення (коригування)
</t>
  </si>
  <si>
    <t>№33 від 29.12.2015</t>
  </si>
  <si>
    <t xml:space="preserve">Славутський обласний спеціалізований ліцей-інтернат поглибленої підготовки учнів в галузі науки по вул. Князів Сангушків, 8, м. Славута — реконструкція з добудовою існуючої будівлі під гуртожиток
</t>
  </si>
  <si>
    <t>2015-2017</t>
  </si>
  <si>
    <t>ЧЕРКАСЬКА</t>
  </si>
  <si>
    <r>
      <t xml:space="preserve">Обласний діагностично-консультативний центр по вул. Менделєєва, 3, м. Черкаси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</si>
  <si>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Очисні споруди, м. Монастирище —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</si>
  <si>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>погашено кредиторську заборгованість, 
сертифікат ІV №164152090162 від 28.07.2015</t>
  </si>
  <si>
    <t xml:space="preserve">Черкаська обласна філармонія по вул. Хрещатик, 196, м. Черкаси — реконструкція
</t>
  </si>
  <si>
    <t>2003-2015</t>
  </si>
  <si>
    <t xml:space="preserve">Ділянка самопливного каналізаційного колектору на очисні споруди м. Канева в межах від музею Т.Г. Шевченка до каналізаційної насосної станції № 7 — реконструкція
</t>
  </si>
  <si>
    <t xml:space="preserve">Напірний каналізаційний колектор по вул. Карла Маркса, м. Сміла — реконструкція
</t>
  </si>
  <si>
    <t xml:space="preserve">Водозабірні свердловини для господарсько-питних потреб і санітарного тампонажу свердловин на Смілянському родовищі підземних вод, м. Сміла — реконструкція
</t>
  </si>
  <si>
    <t xml:space="preserve">Холодний водопровід по вулицях Шевченка, Молодіжній, Садовій, Першотравневій, с. Косарі Кам’янського району — будівництво
</t>
  </si>
  <si>
    <t xml:space="preserve">Блочно-модульна комбінована котельня потужністю 3,3 МВт по вул. Декабристів, 11, м. Кам’янка — будівництво
</t>
  </si>
  <si>
    <t>б/н від 31.12.2015</t>
  </si>
  <si>
    <t>декларація № ЧК 143153452236 від 11.12.2015</t>
  </si>
  <si>
    <t xml:space="preserve">Загальноосвітня школа I-III ступеня № 2, м. Христинівка — реконструкція котельні з переведенням на альтернативні види палива
</t>
  </si>
  <si>
    <t xml:space="preserve">Котельня по вул. Миру, 7, м. Жашків — реконструкція з влаштуванням двох додаткових котлів на твердому паливі
</t>
  </si>
  <si>
    <t>декларація № ЧК 143153620444 від 28.12.2015</t>
  </si>
  <si>
    <t xml:space="preserve">Приміщення колишнього гуртожитку по вул. Павлова, 16, смт Маньківка — реконструкція під багатоквартирний житловий будинок
</t>
  </si>
  <si>
    <t>№5 за 10.2015</t>
  </si>
  <si>
    <t xml:space="preserve">Драбовецький сільський будинок культури — координаційний центр соціально-культурного розвитку місцевої громади Золотоніського району
</t>
  </si>
  <si>
    <t xml:space="preserve">Поліклініка під перинатальний центр комунального закладу “Черкаська обласна лікарня Черкаської обласної ради” по вул. Менделєєва, 3, м. Черкаси — реконструкція
</t>
  </si>
  <si>
    <t xml:space="preserve">Очисні споруди, м. Золотоноша — реконструкція
</t>
  </si>
  <si>
    <t xml:space="preserve">Поліпшення якості медичних послуг у фельдшерсько-акушерському пункті, с. Карашина Черепинської сільської ради Корсунь-Шевченківського району
</t>
  </si>
  <si>
    <t>ЧЕРНІВЕЦЬКА</t>
  </si>
  <si>
    <r>
      <t xml:space="preserve">Загальноосвітня школа I - III ступеня, с. Йорданешти Глибоцького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- 945,821 тис.)
</t>
    </r>
  </si>
  <si>
    <r>
      <t xml:space="preserve">Загальноосвітня школа I - II ступеня, с. Давидівка Сторожинецького району — будівництво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</si>
  <si>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Будівля солдатської їдальні по вул. Гвардійській, 15, м. Сторожинець — реконструкція з переобладнанням під дошкільний навчальний заклад 
</t>
    </r>
    <r>
      <rPr>
        <i/>
        <sz val="13.5"/>
        <color indexed="8"/>
        <rFont val="Times New Roman"/>
        <family val="1"/>
        <charset val="204"/>
      </rPr>
      <t xml:space="preserve">(у тому числі погашення кредиторської заборгованості - 1073,21 тис.)
</t>
    </r>
  </si>
  <si>
    <t xml:space="preserve">Приміщення онкологічного диспансеру по вул. Червоноармійській, 242, м. Чернівці — реконструкція з добудовою патолого-анатомічного корпусу
</t>
  </si>
  <si>
    <t xml:space="preserve">Навчально-виховний комплекс, с. Тернавка Герцаївського району — будівництво (добудова) учбового корпусу
</t>
  </si>
  <si>
    <t xml:space="preserve">Харчоблок, пансіонат, бальнеологічне відділення обласного центру медико-соціальної реабілітації дітей (обласний центр реабілітації дитини) по бульв. Героїв Сталінграда, 11в, м. Чернівці — будівництво
</t>
  </si>
  <si>
    <t xml:space="preserve">Добудова навчального корпусу школи до спортивного залу клубу, с. Мошанець Кельменецького району — будівництво
</t>
  </si>
  <si>
    <t>1999-2015</t>
  </si>
  <si>
    <t xml:space="preserve">Електричний теплоакумуляційний пункт обігріву в загальноосвітній школі, с. Гвіздівці Сокирянського району — будівництво
</t>
  </si>
  <si>
    <t xml:space="preserve">Добудова групових приміщень дошкільного навчального закладу “Берізка” по вул. Шевченка, 85, с. Іспас Вижницького району — будівництво
</t>
  </si>
  <si>
    <t xml:space="preserve">Приміщення відділення другої хірургії (7 поверх) обласної комунальної установи “Лікарня швидкої медичної допомоги” по вул. Фастівській, 2, м. Чернівці — капітальний ремонт
</t>
  </si>
  <si>
    <t xml:space="preserve">Очисні споруди, смт Путила — реконструкція
</t>
  </si>
  <si>
    <t xml:space="preserve">Прибудова до приймального відділення Новоселицької центральної районної лікарні (пологове відділення), м. Новоселиця — будівництво
</t>
  </si>
  <si>
    <t xml:space="preserve">Киселівська загальноосвітня школа I—III ступенів по вул. Великоволодимирівській, 75, с. Киселів Кіцманського району — капітальний ремонт
</t>
  </si>
  <si>
    <t>ЧЕРНІГІВСЬКА</t>
  </si>
  <si>
    <r>
      <t xml:space="preserve">Центральна районна лікарня (акушерсько-педіатричний корпус на 65 ліжок) по вул. Розумовського (Свердлова), смт Козелець — реконструкція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</si>
  <si>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r>
      <t xml:space="preserve">Другий корпус школи-гімназії по вул. Київській, 190, м. Прилуки — будівництво (перша черга) 
</t>
    </r>
    <r>
      <rPr>
        <i/>
        <sz val="13.5"/>
        <color indexed="8"/>
        <rFont val="Times New Roman"/>
        <family val="1"/>
        <charset val="204"/>
      </rPr>
      <t xml:space="preserve">(погашення кредиторської заборгованості)
</t>
    </r>
  </si>
  <si>
    <t xml:space="preserve">Блок "В" пологового будинку по вул. Московській, 21-а, м. Ніжин — реконструкція
</t>
  </si>
  <si>
    <t xml:space="preserve">Городнянська районна гімназія та загальноосвітня школа I ступеня (перша черга) — реконструкція із застосуванням енергозберігаючих технологій
</t>
  </si>
  <si>
    <t xml:space="preserve">Школа по вул. 30 років Перемоги, 44, с. Старий Білоус Чернігівського району — реконструкція приміщень під дитячий садок-ясла на 50 місць
</t>
  </si>
  <si>
    <t xml:space="preserve">Покрівля будівлі палатного корпусу N 1 комунального лікувально-профілактичного закладу "Чернігівська обласна лікарня" по вул. Волковича, 25, м. Чернігів — реконструкція
</t>
  </si>
  <si>
    <t xml:space="preserve">Адміністративна будівля орендованого приміщення Центру екстреної медичної допомоги та медицини катастроф по вул. Шевченка, 160, м. Чернігів — реконструкція 1-го і 2-го поверхів
</t>
  </si>
  <si>
    <t xml:space="preserve">Система опалення, водопостачання та водовідведення інфекційного відділення комунального лікувально-профілактичного закладу "Чернігівська обласна дитяча лікарня" по просп. Миру, 44, м. Чернігів — реконструкція
</t>
  </si>
  <si>
    <t xml:space="preserve">декларація № ЧГ 143153490669 </t>
  </si>
  <si>
    <t xml:space="preserve">Поліклінічне відділення комунального закладу "Коропська центральна районна лікарня", смт Короп — реконструкція
</t>
  </si>
  <si>
    <t xml:space="preserve">Мережа водопроводу, м. Семенівка — будівництво
</t>
  </si>
  <si>
    <t xml:space="preserve">Вуличне освітлення, м. Мена — реконструкція
</t>
  </si>
  <si>
    <t xml:space="preserve">Будівля школи, с. Комарівка Борзнянського району — реконструкція
</t>
  </si>
  <si>
    <t>декларація № ЧГ 142153482785 </t>
  </si>
  <si>
    <t xml:space="preserve">Котельня потужністю 0,8 МВт на твердому паливі загальноосвітньої школи I - III ступеня імені Х. Алчевської по вул. Богдана Хмельницького, м. Борзна — реконструкція
</t>
  </si>
  <si>
    <t xml:space="preserve">Водозабір підземних вод, смт Куликівка — реконструкція
</t>
  </si>
  <si>
    <t xml:space="preserve">Варвинська загальноосвітня школа I - III ступеня по вул. Шевченка, 42, смт Варва — реконструкція з виділенням черговості будівництва: друга черга - заміна існуючих віконних та дверних блоків на металопластикові, ремонт та оздоблення фасадів, реконструкція ґанків з улаштуванням козирків
</t>
  </si>
  <si>
    <t xml:space="preserve">Загальноосвітня школа I - III ступеня імені Шевченка по вул. Жовтневій, 11, м. Мена — реконструкція з утепленням фасадів, ремонтом покрівлі, системи опалення, заміною дверей та вікон
</t>
  </si>
  <si>
    <t xml:space="preserve">Менський районний будинок культури по вул. Червона площа, 3, м. Мена — реконструція фасадів
</t>
  </si>
  <si>
    <t xml:space="preserve">Водопровід від артезіанської свердловини N 9 на території загальноосвітньої школи I - III ступеня імені Т. Г. Шевченка до центрального водозабору, м. Мена — будівництво
</t>
  </si>
  <si>
    <t xml:space="preserve">Підключення до самотічного каналізаційного колектору міської каналізаційної мережі дошкільного навчального закладу N 1, м. Ічня
</t>
  </si>
  <si>
    <t xml:space="preserve">Нежитлова будівля (контора) по вул. Революції 1905 р., 56, с. Ольшани Ічнянського району — реконструкція під дитячий садок на одну групу
</t>
  </si>
  <si>
    <t xml:space="preserve">Терапевтичне відділення по вул. Жовтневій, 66, м. Бахмач — реконструкція під поліклінічне відділення з впровадженням заходів теплореновації
</t>
  </si>
  <si>
    <t xml:space="preserve">Дошкільний навчальний заклад (ясла-садок) № 6 “Сонечко” комбінованого типу Семенівської міської ради — реконструкція
</t>
  </si>
  <si>
    <t xml:space="preserve">Дільнича лікарня на 100 ліжок з поліклінікою на 200 відвідувань, смт Талалаївка Талалаївського району — будівництво
</t>
  </si>
  <si>
    <t>1991-2016</t>
  </si>
  <si>
    <t>роботи виконано (черга)</t>
  </si>
  <si>
    <t xml:space="preserve">Два 4-квартирних житлових будинки по вул. Шевченка, 61а, м. Мена — будівництво (перша черга)
</t>
  </si>
  <si>
    <t>декларація № ЧГ 143153581634 </t>
  </si>
  <si>
    <t xml:space="preserve">Тролейбусна контактна лінія по вул. 50 років ВЛКСМ, м. Чернігів — будівництво
</t>
  </si>
  <si>
    <t xml:space="preserve">Енергоефективна реновація загальноосвітнього навчального закладу № 11 (реконструкція) по просп. Миру, 137, м. Чернігів з виділенням черговості: перша черга — реконструкція переходу з санвузлами; третя черга — реконструкція басейну; четверта черга — реконструкція переходу
</t>
  </si>
  <si>
    <t xml:space="preserve">Добрянська загальноосвітня школа I-III ступеня по вул. Дзержинського, 7, смт Добрянка Ріпкинського району — реконструкція з розміщенням в одноповерховій будівлі молодіжного шкільного центру
</t>
  </si>
  <si>
    <t xml:space="preserve">Приміщення гімназії по вул. Танкістів, 82а, смт Гончарівське Чернігівського району (перша черга — перший, третій корпус, друга черга — другий корпус) — реконструкція даху
</t>
  </si>
  <si>
    <t xml:space="preserve">Будівля хірургічного корпусу комунального лікувально-профілактичного закладу “Чернігівська обласна лікарня” по вул. Волковича, 25, м. Чернігів (відділення торакальної хірургії та урологічне відділення) — реконструкція
</t>
  </si>
  <si>
    <t xml:space="preserve">Будівництво другого корпусу школи-гімназії та реконструкція існуючого по вул. Київській, 190, м. Прилуки (перша черга — будівництво другого корпусу)
</t>
  </si>
  <si>
    <t xml:space="preserve">Мостовий перехід по вул. Зарічній, с. Понорниця Коропського району — реконструкція
</t>
  </si>
  <si>
    <t xml:space="preserve">Модернізація системи опалення з встановленням блочно-модульної котельні БМК-400 (2 х 200 кВт) на твердому паливі для опалення загальноосвітньої школи I-III ступеня, с. Вертіївка Ніжинського району
</t>
  </si>
  <si>
    <t xml:space="preserve">Перший корпус Чернігівського геріатричного пансіонату по вул. Беспалова, 12, м. Чернігів — реконструкція покрівлі
</t>
  </si>
  <si>
    <t xml:space="preserve">Впровадження автономного опалення дитячо-юнацької спортивної школи по вул. Пушкіна, 104а, м. Прилуки на базі блочно-модульної котельні на твердому паливі та резервному газовому
</t>
  </si>
  <si>
    <t>декларація № ЧГ 143153551452</t>
  </si>
  <si>
    <t xml:space="preserve">Впровадження автономного опалення загальноосвітньої школи I-III ступеня № 10 по вул. Київській, 375, м. Прилуки на базі блочно-модульної котельні на твердому паливі та резервному газовому
</t>
  </si>
  <si>
    <t>декларація № ЧГ 143153551502</t>
  </si>
  <si>
    <t xml:space="preserve">Загальноосвітня школа I-III ступеня по вул. Шевченка, 1, с. Новий Биків Бобровицького району — реконструкція системи теплопостачання з установкою твердопаливних котлів
</t>
  </si>
  <si>
    <t xml:space="preserve">Дорога по вул. Червоноармійській від вул. Леніна до вул. Карла Маркса, м. Новгород-Сіверський — реконструкція
</t>
  </si>
  <si>
    <t>декларація № ЧГ 143153622652</t>
  </si>
  <si>
    <t xml:space="preserve">Нежитлова будівля по вул. Коцюбинського, 50а, м. Чернігів — реконструкція для улаштування дошкільного навчального закладу
</t>
  </si>
  <si>
    <t xml:space="preserve">Дитячий дошкільний заклад “Дзвіночок”, смт Короп — реконструкція
</t>
  </si>
  <si>
    <t xml:space="preserve">Дігтярівський навчально-виховний комплекс Новгород-Сіверської районної ради по вул. Леніна, 67, с. Дігтярівка Новгород-Сіверського району — будівництво модульної котельні на твердому паливі
</t>
  </si>
  <si>
    <t xml:space="preserve">Макошинська загальноосвітня школа I—III ступеня по вул. К. Маркса, смт Макошине Менського району — реконструкція системи опалення з установкою твердопаливних котлів
</t>
  </si>
  <si>
    <t xml:space="preserve">Бахмацька центральна районна лікарня по вул. Жовтневій, 66, м. Бахмач — реконструкція приміщення стоматологічного відділення з впровадженням заходів теплореновації
</t>
  </si>
  <si>
    <t xml:space="preserve">Будівля Хмільницького навчально-виховного комплексу по вул. Шкільній, 1, с. Хмільниця Чернігівського району — реконструкція
</t>
  </si>
  <si>
    <t xml:space="preserve">Загальноосвітня школа I—III ступеня імені Шевченка по вул. Жовтневій, 11, м. Мена — реконструкція з улаштуванням тамбура, заміною вікон
</t>
  </si>
  <si>
    <t>м. КИЇВ</t>
  </si>
  <si>
    <t xml:space="preserve">Друга нитка головного міського каналізаційного колектору — будівництво
</t>
  </si>
  <si>
    <t>1993-2017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</si>
</sst>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"/>
  </numFmts>
  <fonts count="47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26"/>
      <name val="Times New Roman"/>
      <family val="1"/>
      <charset val="204"/>
    </font>
    <font>
      <sz val="26"/>
      <name val="Arial"/>
      <family val="2"/>
      <charset val="204"/>
    </font>
    <font>
      <b/>
      <sz val="20"/>
      <name val="Times New Roman"/>
      <family val="1"/>
      <charset val="204"/>
    </font>
    <font>
      <sz val="20"/>
      <name val="Arial"/>
      <family val="2"/>
      <charset val="204"/>
    </font>
    <font>
      <i/>
      <sz val="18"/>
      <name val="Times New Roman"/>
      <family val="1"/>
      <charset val="204"/>
    </font>
    <font>
      <i/>
      <sz val="18"/>
      <name val="Arial"/>
      <family val="2"/>
      <charset val="204"/>
    </font>
    <font>
      <sz val="18"/>
      <name val="Arial"/>
      <family val="2"/>
      <charset val="204"/>
    </font>
    <font>
      <b/>
      <i/>
      <sz val="18"/>
      <name val="Times New Roman"/>
      <family val="1"/>
      <charset val="204"/>
    </font>
    <font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3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sz val="12.5"/>
      <name val="Times New Roman"/>
      <family val="1"/>
      <charset val="204"/>
    </font>
    <font>
      <sz val="10.5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7.5"/>
      <color indexed="8"/>
      <name val="Times New Roman"/>
      <family val="1"/>
      <charset val="204"/>
    </font>
    <font>
      <sz val="12.5"/>
      <color theme="1"/>
      <name val="Calibri"/>
      <family val="2"/>
      <charset val="204"/>
      <scheme val="minor"/>
    </font>
    <font>
      <sz val="10.5"/>
      <color theme="1"/>
      <name val="Calibri"/>
      <family val="2"/>
      <charset val="204"/>
      <scheme val="minor"/>
    </font>
    <font>
      <sz val="12.5"/>
      <color indexed="8"/>
      <name val="Times New Roman"/>
      <family val="1"/>
      <charset val="204"/>
    </font>
    <font>
      <sz val="8.5"/>
      <color indexed="8"/>
      <name val="Times New Roman"/>
      <family val="1"/>
      <charset val="204"/>
    </font>
    <font>
      <sz val="10"/>
      <name val="Arial"/>
      <family val="2"/>
      <charset val="204"/>
    </font>
    <font>
      <sz val="7.5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sz val="12.5"/>
      <color theme="0"/>
      <name val="Times New Roman"/>
      <family val="1"/>
      <charset val="204"/>
    </font>
    <font>
      <b/>
      <sz val="12.5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sz val="13.5"/>
      <name val="Times New Roman"/>
      <family val="1"/>
      <charset val="204"/>
    </font>
    <font>
      <i/>
      <sz val="13.5"/>
      <name val="Times New Roman"/>
      <family val="1"/>
      <charset val="204"/>
    </font>
    <font>
      <sz val="13"/>
      <name val="Times New Roman"/>
      <family val="1"/>
      <charset val="204"/>
    </font>
    <font>
      <sz val="13.5"/>
      <color theme="1"/>
      <name val="Times New Roman"/>
      <family val="1"/>
      <charset val="204"/>
    </font>
    <font>
      <i/>
      <sz val="13.5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8" fillId="0" borderId="28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 wrapText="1"/>
    </xf>
    <xf numFmtId="0" fontId="20" fillId="0" borderId="32" xfId="0" applyFont="1" applyBorder="1" applyAlignment="1">
      <alignment horizontal="center" vertical="top" wrapText="1"/>
    </xf>
    <xf numFmtId="0" fontId="20" fillId="0" borderId="27" xfId="0" applyFont="1" applyBorder="1" applyAlignment="1">
      <alignment horizontal="center" vertical="top" wrapText="1"/>
    </xf>
    <xf numFmtId="0" fontId="20" fillId="0" borderId="33" xfId="0" applyFont="1" applyBorder="1" applyAlignment="1">
      <alignment horizontal="center" vertical="top" wrapText="1"/>
    </xf>
    <xf numFmtId="0" fontId="20" fillId="0" borderId="34" xfId="0" applyFont="1" applyBorder="1" applyAlignment="1">
      <alignment horizontal="center" vertical="top" wrapText="1"/>
    </xf>
    <xf numFmtId="0" fontId="20" fillId="0" borderId="11" xfId="0" applyFont="1" applyBorder="1" applyAlignment="1">
      <alignment horizontal="center" vertical="top" wrapText="1"/>
    </xf>
    <xf numFmtId="3" fontId="32" fillId="3" borderId="21" xfId="0" applyNumberFormat="1" applyFont="1" applyFill="1" applyBorder="1" applyAlignment="1">
      <alignment horizontal="center" vertical="center" wrapText="1"/>
    </xf>
    <xf numFmtId="49" fontId="33" fillId="3" borderId="18" xfId="0" applyNumberFormat="1" applyFont="1" applyFill="1" applyBorder="1" applyAlignment="1">
      <alignment horizontal="left" vertical="center" wrapText="1"/>
    </xf>
    <xf numFmtId="49" fontId="34" fillId="3" borderId="18" xfId="0" applyNumberFormat="1" applyFont="1" applyFill="1" applyBorder="1" applyAlignment="1">
      <alignment horizontal="center" vertical="center" wrapText="1"/>
    </xf>
    <xf numFmtId="165" fontId="22" fillId="3" borderId="18" xfId="0" applyNumberFormat="1" applyFont="1" applyFill="1" applyBorder="1" applyAlignment="1">
      <alignment horizontal="center" vertical="center" wrapText="1"/>
    </xf>
    <xf numFmtId="49" fontId="22" fillId="3" borderId="18" xfId="0" applyNumberFormat="1" applyFont="1" applyFill="1" applyBorder="1" applyAlignment="1">
      <alignment horizontal="center" vertical="center" wrapText="1"/>
    </xf>
    <xf numFmtId="49" fontId="22" fillId="3" borderId="22" xfId="0" applyNumberFormat="1" applyFont="1" applyFill="1" applyBorder="1" applyAlignment="1">
      <alignment horizontal="center" vertical="center" wrapText="1"/>
    </xf>
    <xf numFmtId="3" fontId="32" fillId="0" borderId="35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left" vertical="center" wrapText="1"/>
    </xf>
    <xf numFmtId="49" fontId="34" fillId="0" borderId="6" xfId="0" applyNumberFormat="1" applyFont="1" applyBorder="1" applyAlignment="1">
      <alignment horizontal="center" vertical="center" wrapText="1"/>
    </xf>
    <xf numFmtId="165" fontId="22" fillId="0" borderId="6" xfId="0" applyNumberFormat="1" applyFont="1" applyBorder="1" applyAlignment="1">
      <alignment horizontal="center" vertical="center" wrapText="1"/>
    </xf>
    <xf numFmtId="165" fontId="35" fillId="2" borderId="6" xfId="0" applyNumberFormat="1" applyFont="1" applyFill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49" fontId="22" fillId="0" borderId="36" xfId="0" applyNumberFormat="1" applyFont="1" applyBorder="1" applyAlignment="1">
      <alignment horizontal="center" vertical="center" wrapText="1"/>
    </xf>
    <xf numFmtId="3" fontId="32" fillId="0" borderId="30" xfId="0" applyNumberFormat="1" applyFont="1" applyBorder="1" applyAlignment="1">
      <alignment horizontal="center" vertical="center" wrapText="1"/>
    </xf>
    <xf numFmtId="49" fontId="36" fillId="0" borderId="6" xfId="0" applyNumberFormat="1" applyFont="1" applyBorder="1" applyAlignment="1">
      <alignment horizontal="left" vertical="center" wrapText="1"/>
    </xf>
    <xf numFmtId="49" fontId="34" fillId="0" borderId="28" xfId="0" applyNumberFormat="1" applyFont="1" applyBorder="1" applyAlignment="1">
      <alignment horizontal="center" vertical="center" wrapText="1"/>
    </xf>
    <xf numFmtId="165" fontId="22" fillId="0" borderId="28" xfId="0" applyNumberFormat="1" applyFont="1" applyBorder="1" applyAlignment="1">
      <alignment horizontal="center" vertical="center" wrapText="1"/>
    </xf>
    <xf numFmtId="49" fontId="22" fillId="0" borderId="28" xfId="0" applyNumberFormat="1" applyFont="1" applyBorder="1" applyAlignment="1">
      <alignment horizontal="center" vertical="center" wrapText="1"/>
    </xf>
    <xf numFmtId="49" fontId="22" fillId="0" borderId="31" xfId="0" applyNumberFormat="1" applyFont="1" applyBorder="1" applyAlignment="1">
      <alignment horizontal="center" vertical="center" wrapText="1"/>
    </xf>
    <xf numFmtId="3" fontId="34" fillId="0" borderId="21" xfId="0" applyNumberFormat="1" applyFont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left" vertical="center" wrapText="1"/>
    </xf>
    <xf numFmtId="49" fontId="34" fillId="0" borderId="22" xfId="0" applyNumberFormat="1" applyFont="1" applyBorder="1" applyAlignment="1">
      <alignment horizontal="center" vertical="center" wrapText="1"/>
    </xf>
    <xf numFmtId="165" fontId="38" fillId="0" borderId="21" xfId="0" applyNumberFormat="1" applyFont="1" applyBorder="1" applyAlignment="1">
      <alignment horizontal="center" vertical="center" wrapText="1"/>
    </xf>
    <xf numFmtId="165" fontId="38" fillId="0" borderId="18" xfId="0" applyNumberFormat="1" applyFont="1" applyBorder="1" applyAlignment="1">
      <alignment horizontal="center" vertical="center" wrapText="1"/>
    </xf>
    <xf numFmtId="165" fontId="38" fillId="2" borderId="21" xfId="0" applyNumberFormat="1" applyFont="1" applyFill="1" applyBorder="1" applyAlignment="1">
      <alignment horizontal="center" vertical="center" wrapText="1"/>
    </xf>
    <xf numFmtId="165" fontId="38" fillId="2" borderId="18" xfId="0" applyNumberFormat="1" applyFont="1" applyFill="1" applyBorder="1" applyAlignment="1">
      <alignment horizontal="center" vertical="center" wrapText="1"/>
    </xf>
    <xf numFmtId="49" fontId="36" fillId="0" borderId="21" xfId="0" applyNumberFormat="1" applyFont="1" applyBorder="1" applyAlignment="1">
      <alignment horizontal="center" vertical="center" wrapText="1"/>
    </xf>
    <xf numFmtId="49" fontId="36" fillId="0" borderId="18" xfId="0" applyNumberFormat="1" applyFont="1" applyBorder="1" applyAlignment="1">
      <alignment horizontal="center" vertical="center" wrapText="1"/>
    </xf>
    <xf numFmtId="49" fontId="36" fillId="0" borderId="22" xfId="0" applyNumberFormat="1" applyFont="1" applyBorder="1" applyAlignment="1">
      <alignment horizontal="center" vertical="center" wrapText="1"/>
    </xf>
    <xf numFmtId="3" fontId="34" fillId="0" borderId="35" xfId="0" applyNumberFormat="1" applyFont="1" applyBorder="1" applyAlignment="1">
      <alignment horizontal="center" vertical="center" wrapText="1"/>
    </xf>
    <xf numFmtId="49" fontId="34" fillId="0" borderId="36" xfId="0" applyNumberFormat="1" applyFont="1" applyBorder="1" applyAlignment="1">
      <alignment horizontal="center" vertical="center" wrapText="1"/>
    </xf>
    <xf numFmtId="165" fontId="38" fillId="0" borderId="35" xfId="0" applyNumberFormat="1" applyFont="1" applyBorder="1" applyAlignment="1">
      <alignment horizontal="center" vertical="center" wrapText="1"/>
    </xf>
    <xf numFmtId="165" fontId="38" fillId="0" borderId="6" xfId="0" applyNumberFormat="1" applyFont="1" applyBorder="1" applyAlignment="1">
      <alignment horizontal="center" vertical="center" wrapText="1"/>
    </xf>
    <xf numFmtId="165" fontId="39" fillId="2" borderId="6" xfId="0" applyNumberFormat="1" applyFont="1" applyFill="1" applyBorder="1" applyAlignment="1">
      <alignment horizontal="center" vertical="center" wrapText="1"/>
    </xf>
    <xf numFmtId="49" fontId="36" fillId="0" borderId="35" xfId="0" applyNumberFormat="1" applyFont="1" applyBorder="1" applyAlignment="1">
      <alignment horizontal="center" vertical="center" wrapText="1"/>
    </xf>
    <xf numFmtId="49" fontId="36" fillId="0" borderId="6" xfId="0" applyNumberFormat="1" applyFont="1" applyBorder="1" applyAlignment="1">
      <alignment horizontal="center" vertical="center" wrapText="1"/>
    </xf>
    <xf numFmtId="49" fontId="36" fillId="0" borderId="36" xfId="0" applyNumberFormat="1" applyFont="1" applyBorder="1" applyAlignment="1">
      <alignment horizontal="center" vertical="center" wrapText="1"/>
    </xf>
    <xf numFmtId="49" fontId="38" fillId="0" borderId="6" xfId="0" applyNumberFormat="1" applyFont="1" applyBorder="1" applyAlignment="1">
      <alignment horizontal="left" vertical="center" wrapText="1"/>
    </xf>
    <xf numFmtId="3" fontId="20" fillId="0" borderId="35" xfId="0" applyNumberFormat="1" applyFont="1" applyBorder="1" applyAlignment="1">
      <alignment horizontal="center" vertical="center" wrapText="1"/>
    </xf>
    <xf numFmtId="49" fontId="40" fillId="0" borderId="6" xfId="0" applyNumberFormat="1" applyFont="1" applyBorder="1" applyAlignment="1">
      <alignment horizontal="left" vertical="center" wrapText="1"/>
    </xf>
    <xf numFmtId="49" fontId="20" fillId="0" borderId="36" xfId="0" applyNumberFormat="1" applyFont="1" applyBorder="1" applyAlignment="1">
      <alignment horizontal="center" vertical="center" wrapText="1"/>
    </xf>
    <xf numFmtId="165" fontId="42" fillId="0" borderId="35" xfId="0" applyNumberFormat="1" applyFont="1" applyBorder="1" applyAlignment="1">
      <alignment horizontal="center" vertical="center" wrapText="1"/>
    </xf>
    <xf numFmtId="165" fontId="42" fillId="0" borderId="6" xfId="0" applyNumberFormat="1" applyFont="1" applyBorder="1" applyAlignment="1">
      <alignment horizontal="center" vertical="center" wrapText="1"/>
    </xf>
    <xf numFmtId="165" fontId="42" fillId="2" borderId="6" xfId="0" applyNumberFormat="1" applyFont="1" applyFill="1" applyBorder="1" applyAlignment="1">
      <alignment horizontal="center" vertical="center" wrapText="1"/>
    </xf>
    <xf numFmtId="49" fontId="20" fillId="0" borderId="35" xfId="0" applyNumberFormat="1" applyFont="1" applyBorder="1" applyAlignment="1">
      <alignment horizontal="center" vertical="center" wrapText="1"/>
    </xf>
    <xf numFmtId="49" fontId="20" fillId="0" borderId="6" xfId="0" applyNumberFormat="1" applyFont="1" applyBorder="1" applyAlignment="1">
      <alignment horizontal="center" vertical="center" wrapText="1"/>
    </xf>
    <xf numFmtId="49" fontId="10" fillId="0" borderId="36" xfId="0" applyNumberFormat="1" applyFont="1" applyBorder="1" applyAlignment="1">
      <alignment horizontal="center" vertical="center" wrapText="1"/>
    </xf>
    <xf numFmtId="3" fontId="20" fillId="5" borderId="35" xfId="0" applyNumberFormat="1" applyFont="1" applyFill="1" applyBorder="1" applyAlignment="1">
      <alignment horizontal="center" vertical="center" wrapText="1"/>
    </xf>
    <xf numFmtId="49" fontId="43" fillId="0" borderId="6" xfId="0" applyNumberFormat="1" applyFont="1" applyBorder="1" applyAlignment="1">
      <alignment horizontal="left" vertical="center" wrapText="1"/>
    </xf>
    <xf numFmtId="49" fontId="45" fillId="0" borderId="36" xfId="0" applyNumberFormat="1" applyFont="1" applyBorder="1" applyAlignment="1">
      <alignment horizontal="center" vertical="center" wrapText="1"/>
    </xf>
    <xf numFmtId="165" fontId="46" fillId="0" borderId="35" xfId="0" applyNumberFormat="1" applyFont="1" applyBorder="1" applyAlignment="1">
      <alignment horizontal="center" vertical="center" wrapText="1"/>
    </xf>
    <xf numFmtId="165" fontId="46" fillId="0" borderId="6" xfId="0" applyNumberFormat="1" applyFont="1" applyBorder="1" applyAlignment="1">
      <alignment horizontal="center" vertical="center" wrapText="1"/>
    </xf>
    <xf numFmtId="165" fontId="46" fillId="2" borderId="6" xfId="0" applyNumberFormat="1" applyFont="1" applyFill="1" applyBorder="1" applyAlignment="1">
      <alignment horizontal="center" vertical="center" wrapText="1"/>
    </xf>
    <xf numFmtId="165" fontId="46" fillId="2" borderId="35" xfId="0" applyNumberFormat="1" applyFont="1" applyFill="1" applyBorder="1" applyAlignment="1">
      <alignment horizontal="center" vertical="center" wrapText="1"/>
    </xf>
    <xf numFmtId="49" fontId="20" fillId="2" borderId="6" xfId="0" applyNumberFormat="1" applyFont="1" applyFill="1" applyBorder="1" applyAlignment="1">
      <alignment horizontal="center" vertical="center" wrapText="1"/>
    </xf>
    <xf numFmtId="3" fontId="20" fillId="0" borderId="37" xfId="0" applyNumberFormat="1" applyFont="1" applyBorder="1" applyAlignment="1">
      <alignment horizontal="center" vertical="center" wrapText="1"/>
    </xf>
    <xf numFmtId="49" fontId="43" fillId="0" borderId="38" xfId="0" applyNumberFormat="1" applyFont="1" applyBorder="1" applyAlignment="1">
      <alignment horizontal="left" vertical="center" wrapText="1"/>
    </xf>
    <xf numFmtId="49" fontId="45" fillId="0" borderId="39" xfId="0" applyNumberFormat="1" applyFont="1" applyBorder="1" applyAlignment="1">
      <alignment horizontal="center" vertical="center" wrapText="1"/>
    </xf>
    <xf numFmtId="165" fontId="46" fillId="0" borderId="37" xfId="0" applyNumberFormat="1" applyFont="1" applyBorder="1" applyAlignment="1">
      <alignment horizontal="center" vertical="center" wrapText="1"/>
    </xf>
    <xf numFmtId="165" fontId="46" fillId="0" borderId="38" xfId="0" applyNumberFormat="1" applyFont="1" applyBorder="1" applyAlignment="1">
      <alignment horizontal="center" vertical="center" wrapText="1"/>
    </xf>
    <xf numFmtId="165" fontId="46" fillId="2" borderId="38" xfId="0" applyNumberFormat="1" applyFont="1" applyFill="1" applyBorder="1" applyAlignment="1">
      <alignment horizontal="center" vertical="center" wrapText="1"/>
    </xf>
    <xf numFmtId="165" fontId="46" fillId="2" borderId="37" xfId="0" applyNumberFormat="1" applyFont="1" applyFill="1" applyBorder="1" applyAlignment="1">
      <alignment horizontal="center" vertical="center" wrapText="1"/>
    </xf>
    <xf numFmtId="49" fontId="20" fillId="0" borderId="37" xfId="0" applyNumberFormat="1" applyFont="1" applyBorder="1" applyAlignment="1">
      <alignment horizontal="center" vertical="center" wrapText="1"/>
    </xf>
    <xf numFmtId="49" fontId="20" fillId="0" borderId="38" xfId="0" applyNumberFormat="1" applyFont="1" applyBorder="1" applyAlignment="1">
      <alignment horizontal="center" vertical="center" wrapText="1"/>
    </xf>
    <xf numFmtId="49" fontId="10" fillId="0" borderId="39" xfId="0" applyNumberFormat="1" applyFont="1" applyBorder="1" applyAlignment="1">
      <alignment horizontal="center" vertical="center" wrapText="1"/>
    </xf>
    <xf numFmtId="3" fontId="20" fillId="0" borderId="30" xfId="0" applyNumberFormat="1" applyFont="1" applyBorder="1" applyAlignment="1">
      <alignment horizontal="center" vertical="center" wrapText="1"/>
    </xf>
    <xf numFmtId="49" fontId="43" fillId="0" borderId="28" xfId="0" applyNumberFormat="1" applyFont="1" applyBorder="1" applyAlignment="1">
      <alignment horizontal="left" vertical="center" wrapText="1"/>
    </xf>
    <xf numFmtId="49" fontId="45" fillId="0" borderId="31" xfId="0" applyNumberFormat="1" applyFont="1" applyBorder="1" applyAlignment="1">
      <alignment horizontal="center" vertical="center" wrapText="1"/>
    </xf>
    <xf numFmtId="165" fontId="46" fillId="0" borderId="30" xfId="0" applyNumberFormat="1" applyFont="1" applyBorder="1" applyAlignment="1">
      <alignment horizontal="center" vertical="center" wrapText="1"/>
    </xf>
    <xf numFmtId="165" fontId="46" fillId="0" borderId="28" xfId="0" applyNumberFormat="1" applyFont="1" applyBorder="1" applyAlignment="1">
      <alignment horizontal="center" vertical="center" wrapText="1"/>
    </xf>
    <xf numFmtId="165" fontId="46" fillId="2" borderId="28" xfId="0" applyNumberFormat="1" applyFont="1" applyFill="1" applyBorder="1" applyAlignment="1">
      <alignment horizontal="center" vertical="center" wrapText="1"/>
    </xf>
    <xf numFmtId="165" fontId="46" fillId="2" borderId="30" xfId="0" applyNumberFormat="1" applyFont="1" applyFill="1" applyBorder="1" applyAlignment="1">
      <alignment horizontal="center" vertical="center" wrapText="1"/>
    </xf>
    <xf numFmtId="49" fontId="20" fillId="0" borderId="30" xfId="0" applyNumberFormat="1" applyFont="1" applyBorder="1" applyAlignment="1">
      <alignment horizontal="center" vertical="center" wrapText="1"/>
    </xf>
    <xf numFmtId="49" fontId="20" fillId="0" borderId="28" xfId="0" applyNumberFormat="1" applyFont="1" applyBorder="1" applyAlignment="1">
      <alignment horizontal="center" vertical="center" wrapText="1"/>
    </xf>
    <xf numFmtId="49" fontId="10" fillId="0" borderId="31" xfId="0" applyNumberFormat="1" applyFont="1" applyBorder="1" applyAlignment="1">
      <alignment horizontal="center" vertical="center" wrapText="1"/>
    </xf>
    <xf numFmtId="49" fontId="34" fillId="0" borderId="21" xfId="0" applyNumberFormat="1" applyFont="1" applyBorder="1" applyAlignment="1">
      <alignment horizontal="center" vertical="center" wrapText="1"/>
    </xf>
    <xf numFmtId="49" fontId="34" fillId="0" borderId="18" xfId="0" applyNumberFormat="1" applyFont="1" applyBorder="1" applyAlignment="1">
      <alignment horizontal="center" vertical="center" wrapText="1"/>
    </xf>
    <xf numFmtId="165" fontId="38" fillId="2" borderId="35" xfId="0" applyNumberFormat="1" applyFont="1" applyFill="1" applyBorder="1" applyAlignment="1">
      <alignment horizontal="center" vertical="center" wrapText="1"/>
    </xf>
    <xf numFmtId="49" fontId="34" fillId="0" borderId="35" xfId="0" applyNumberFormat="1" applyFont="1" applyBorder="1" applyAlignment="1">
      <alignment horizontal="center" vertical="center" wrapText="1"/>
    </xf>
    <xf numFmtId="49" fontId="20" fillId="2" borderId="35" xfId="0" applyNumberFormat="1" applyFont="1" applyFill="1" applyBorder="1" applyAlignment="1">
      <alignment horizontal="center" vertical="center" wrapText="1"/>
    </xf>
    <xf numFmtId="49" fontId="43" fillId="2" borderId="6" xfId="0" applyNumberFormat="1" applyFont="1" applyFill="1" applyBorder="1" applyAlignment="1">
      <alignment horizontal="left" vertical="center" wrapText="1"/>
    </xf>
    <xf numFmtId="49" fontId="45" fillId="2" borderId="36" xfId="0" applyNumberFormat="1" applyFont="1" applyFill="1" applyBorder="1" applyAlignment="1">
      <alignment horizontal="center" vertical="center" wrapText="1"/>
    </xf>
    <xf numFmtId="49" fontId="10" fillId="2" borderId="36" xfId="0" applyNumberFormat="1" applyFont="1" applyFill="1" applyBorder="1" applyAlignment="1">
      <alignment horizontal="center" vertical="center" wrapText="1"/>
    </xf>
    <xf numFmtId="3" fontId="20" fillId="5" borderId="30" xfId="0" applyNumberFormat="1" applyFont="1" applyFill="1" applyBorder="1" applyAlignment="1">
      <alignment horizontal="center" vertical="center" wrapText="1"/>
    </xf>
    <xf numFmtId="3" fontId="20" fillId="2" borderId="35" xfId="0" applyNumberFormat="1" applyFont="1" applyFill="1" applyBorder="1" applyAlignment="1">
      <alignment horizontal="center" vertical="center" wrapText="1"/>
    </xf>
    <xf numFmtId="0" fontId="40" fillId="0" borderId="6" xfId="0" applyFont="1" applyBorder="1" applyAlignment="1">
      <alignment horizontal="left" vertical="center" wrapText="1"/>
    </xf>
    <xf numFmtId="3" fontId="20" fillId="2" borderId="30" xfId="0" applyNumberFormat="1" applyFont="1" applyFill="1" applyBorder="1" applyAlignment="1">
      <alignment horizontal="center" vertical="center" wrapText="1"/>
    </xf>
    <xf numFmtId="49" fontId="43" fillId="2" borderId="28" xfId="0" applyNumberFormat="1" applyFont="1" applyFill="1" applyBorder="1" applyAlignment="1">
      <alignment horizontal="left" vertical="center" wrapText="1"/>
    </xf>
    <xf numFmtId="49" fontId="45" fillId="2" borderId="31" xfId="0" applyNumberFormat="1" applyFont="1" applyFill="1" applyBorder="1" applyAlignment="1">
      <alignment horizontal="center" vertical="center" wrapText="1"/>
    </xf>
    <xf numFmtId="165" fontId="38" fillId="2" borderId="6" xfId="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horizontal="left" vertical="center" wrapText="1"/>
    </xf>
    <xf numFmtId="3" fontId="20" fillId="2" borderId="37" xfId="0" applyNumberFormat="1" applyFont="1" applyFill="1" applyBorder="1" applyAlignment="1">
      <alignment horizontal="center" vertical="center" wrapText="1"/>
    </xf>
    <xf numFmtId="49" fontId="34" fillId="2" borderId="21" xfId="0" applyNumberFormat="1" applyFont="1" applyFill="1" applyBorder="1" applyAlignment="1">
      <alignment horizontal="center" vertical="center" wrapText="1"/>
    </xf>
    <xf numFmtId="49" fontId="34" fillId="2" borderId="18" xfId="0" applyNumberFormat="1" applyFont="1" applyFill="1" applyBorder="1" applyAlignment="1">
      <alignment horizontal="center" vertical="center" wrapText="1"/>
    </xf>
    <xf numFmtId="49" fontId="34" fillId="2" borderId="22" xfId="0" applyNumberFormat="1" applyFont="1" applyFill="1" applyBorder="1" applyAlignment="1">
      <alignment horizontal="center" vertical="center" wrapText="1"/>
    </xf>
    <xf numFmtId="49" fontId="34" fillId="2" borderId="35" xfId="0" applyNumberFormat="1" applyFont="1" applyFill="1" applyBorder="1" applyAlignment="1">
      <alignment horizontal="center" vertical="center" wrapText="1"/>
    </xf>
    <xf numFmtId="49" fontId="34" fillId="2" borderId="6" xfId="0" applyNumberFormat="1" applyFont="1" applyFill="1" applyBorder="1" applyAlignment="1">
      <alignment horizontal="center" vertical="center" wrapText="1"/>
    </xf>
    <xf numFmtId="49" fontId="34" fillId="2" borderId="36" xfId="0" applyNumberFormat="1" applyFont="1" applyFill="1" applyBorder="1" applyAlignment="1">
      <alignment horizontal="center" vertical="center" wrapText="1"/>
    </xf>
    <xf numFmtId="49" fontId="20" fillId="2" borderId="36" xfId="0" applyNumberFormat="1" applyFont="1" applyFill="1" applyBorder="1" applyAlignment="1">
      <alignment horizontal="center" vertical="center" wrapText="1"/>
    </xf>
    <xf numFmtId="49" fontId="20" fillId="2" borderId="37" xfId="0" applyNumberFormat="1" applyFont="1" applyFill="1" applyBorder="1" applyAlignment="1">
      <alignment horizontal="center" vertical="center" wrapText="1"/>
    </xf>
    <xf numFmtId="49" fontId="20" fillId="2" borderId="38" xfId="0" applyNumberFormat="1" applyFont="1" applyFill="1" applyBorder="1" applyAlignment="1">
      <alignment horizontal="center" vertical="center" wrapText="1"/>
    </xf>
    <xf numFmtId="49" fontId="43" fillId="2" borderId="38" xfId="0" applyNumberFormat="1" applyFont="1" applyFill="1" applyBorder="1" applyAlignment="1">
      <alignment horizontal="left" vertical="center" wrapText="1"/>
    </xf>
    <xf numFmtId="49" fontId="20" fillId="2" borderId="39" xfId="0" applyNumberFormat="1" applyFont="1" applyFill="1" applyBorder="1" applyAlignment="1">
      <alignment horizontal="center" vertical="center" wrapText="1"/>
    </xf>
    <xf numFmtId="49" fontId="20" fillId="2" borderId="30" xfId="0" applyNumberFormat="1" applyFont="1" applyFill="1" applyBorder="1" applyAlignment="1">
      <alignment horizontal="center" vertical="center" wrapText="1"/>
    </xf>
    <xf numFmtId="49" fontId="20" fillId="2" borderId="28" xfId="0" applyNumberFormat="1" applyFont="1" applyFill="1" applyBorder="1" applyAlignment="1">
      <alignment horizontal="center" vertical="center" wrapText="1"/>
    </xf>
    <xf numFmtId="49" fontId="20" fillId="2" borderId="31" xfId="0" applyNumberFormat="1" applyFont="1" applyFill="1" applyBorder="1" applyAlignment="1">
      <alignment horizontal="center" vertical="center" wrapText="1"/>
    </xf>
    <xf numFmtId="49" fontId="20" fillId="0" borderId="31" xfId="0" applyNumberFormat="1" applyFont="1" applyBorder="1" applyAlignment="1">
      <alignment horizontal="center" vertical="center" wrapText="1"/>
    </xf>
    <xf numFmtId="3" fontId="20" fillId="5" borderId="37" xfId="0" applyNumberFormat="1" applyFont="1" applyFill="1" applyBorder="1" applyAlignment="1">
      <alignment horizontal="center" vertical="center" wrapText="1"/>
    </xf>
    <xf numFmtId="49" fontId="20" fillId="0" borderId="39" xfId="0" applyNumberFormat="1" applyFont="1" applyBorder="1" applyAlignment="1">
      <alignment horizontal="center" vertical="center" wrapText="1"/>
    </xf>
    <xf numFmtId="165" fontId="39" fillId="0" borderId="6" xfId="0" applyNumberFormat="1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49" fontId="23" fillId="0" borderId="6" xfId="0" applyNumberFormat="1" applyFont="1" applyBorder="1" applyAlignment="1">
      <alignment horizontal="center" vertical="center" wrapText="1"/>
    </xf>
    <xf numFmtId="0" fontId="40" fillId="0" borderId="28" xfId="0" applyFont="1" applyBorder="1" applyAlignment="1">
      <alignment horizontal="left" vertical="center" wrapText="1"/>
    </xf>
    <xf numFmtId="49" fontId="34" fillId="0" borderId="19" xfId="0" applyNumberFormat="1" applyFont="1" applyBorder="1" applyAlignment="1">
      <alignment horizontal="center" vertical="center" wrapText="1"/>
    </xf>
    <xf numFmtId="49" fontId="34" fillId="0" borderId="7" xfId="0" applyNumberFormat="1" applyFont="1" applyBorder="1" applyAlignment="1">
      <alignment horizontal="center" vertical="center" wrapText="1"/>
    </xf>
    <xf numFmtId="49" fontId="45" fillId="0" borderId="7" xfId="0" applyNumberFormat="1" applyFont="1" applyBorder="1" applyAlignment="1">
      <alignment horizontal="center" vertical="center" wrapText="1"/>
    </xf>
    <xf numFmtId="49" fontId="45" fillId="0" borderId="29" xfId="0" applyNumberFormat="1" applyFont="1" applyBorder="1" applyAlignment="1">
      <alignment horizontal="center" vertical="center" wrapText="1"/>
    </xf>
    <xf numFmtId="165" fontId="38" fillId="0" borderId="20" xfId="0" applyNumberFormat="1" applyFont="1" applyBorder="1" applyAlignment="1">
      <alignment horizontal="center" vertical="center" wrapText="1"/>
    </xf>
    <xf numFmtId="165" fontId="38" fillId="0" borderId="8" xfId="0" applyNumberFormat="1" applyFont="1" applyBorder="1" applyAlignment="1">
      <alignment horizontal="center" vertical="center" wrapText="1"/>
    </xf>
    <xf numFmtId="165" fontId="46" fillId="0" borderId="8" xfId="0" applyNumberFormat="1" applyFont="1" applyBorder="1" applyAlignment="1">
      <alignment horizontal="center" vertical="center" wrapText="1"/>
    </xf>
    <xf numFmtId="165" fontId="46" fillId="0" borderId="45" xfId="0" applyNumberFormat="1" applyFont="1" applyBorder="1" applyAlignment="1">
      <alignment horizontal="center" vertical="center" wrapText="1"/>
    </xf>
    <xf numFmtId="165" fontId="46" fillId="0" borderId="46" xfId="0" applyNumberFormat="1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30" fillId="0" borderId="13" xfId="0" applyFont="1" applyBorder="1"/>
    <xf numFmtId="0" fontId="10" fillId="2" borderId="17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33" fillId="4" borderId="17" xfId="0" applyFont="1" applyFill="1" applyBorder="1" applyAlignment="1">
      <alignment horizontal="left" vertical="center" wrapText="1"/>
    </xf>
    <xf numFmtId="0" fontId="0" fillId="4" borderId="40" xfId="0" applyFill="1" applyBorder="1" applyAlignment="1">
      <alignment horizontal="left" vertical="center"/>
    </xf>
    <xf numFmtId="0" fontId="0" fillId="4" borderId="41" xfId="0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5" xfId="0" applyFont="1" applyBorder="1"/>
    <xf numFmtId="0" fontId="21" fillId="0" borderId="5" xfId="0" applyFont="1" applyBorder="1"/>
    <xf numFmtId="0" fontId="21" fillId="0" borderId="13" xfId="0" applyFont="1" applyBorder="1"/>
    <xf numFmtId="0" fontId="21" fillId="0" borderId="14" xfId="0" applyFont="1" applyBorder="1"/>
    <xf numFmtId="0" fontId="25" fillId="0" borderId="21" xfId="0" applyFont="1" applyBorder="1" applyAlignment="1">
      <alignment horizontal="center" vertical="center" wrapText="1"/>
    </xf>
    <xf numFmtId="0" fontId="31" fillId="0" borderId="30" xfId="0" applyFont="1" applyBorder="1"/>
    <xf numFmtId="0" fontId="25" fillId="0" borderId="22" xfId="0" applyFont="1" applyBorder="1" applyAlignment="1">
      <alignment horizontal="center" vertical="center" wrapText="1"/>
    </xf>
    <xf numFmtId="0" fontId="31" fillId="0" borderId="31" xfId="0" applyFont="1" applyBorder="1"/>
    <xf numFmtId="0" fontId="33" fillId="4" borderId="3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33" fillId="4" borderId="23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33" fillId="4" borderId="43" xfId="0" applyFont="1" applyFill="1" applyBorder="1" applyAlignment="1">
      <alignment horizontal="left" vertical="center" wrapText="1"/>
    </xf>
    <xf numFmtId="0" fontId="0" fillId="4" borderId="44" xfId="0" applyFill="1" applyBorder="1" applyAlignment="1">
      <alignment horizontal="left" vertical="center"/>
    </xf>
    <xf numFmtId="0" fontId="0" fillId="4" borderId="47" xfId="0" applyFill="1" applyBorder="1" applyAlignment="1">
      <alignment horizontal="left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9E81-1FAD-47A5-9976-FA25FD07F253}">
  <sheetPr>
    <tabColor rgb="FF0070C0"/>
  </sheetPr>
  <dimension ref="A1:L990"/>
  <sheetViews>
    <sheetView tabSelected="1" view="pageBreakPreview" zoomScale="70" zoomScaleNormal="100" zoomScaleSheetLayoutView="70" workbookViewId="0">
      <pane xSplit="3" ySplit="10" topLeftCell="E71" activePane="bottomRight" state="frozen"/>
      <selection pane="topRight" activeCell="D1" sqref="D1"/>
      <selection pane="bottomLeft" activeCell="A11" sqref="A11"/>
      <selection pane="bottomRight" activeCell="S13" sqref="S13"/>
    </sheetView>
  </sheetViews>
  <sheetFormatPr defaultRowHeight="15" x14ac:dyDescent="0.25"/>
  <cols>
    <col min="1" max="1" width="2.85546875" style="139" customWidth="1"/>
    <col min="2" max="2" width="4.42578125" customWidth="1"/>
    <col min="3" max="3" width="61" customWidth="1"/>
    <col min="4" max="4" width="6.7109375" customWidth="1"/>
    <col min="5" max="8" width="16.85546875" customWidth="1"/>
    <col min="9" max="9" width="13.42578125" customWidth="1"/>
    <col min="10" max="10" width="8.7109375" customWidth="1"/>
    <col min="11" max="11" width="10.7109375" customWidth="1"/>
    <col min="12" max="12" width="19.85546875" customWidth="1"/>
    <col min="233" max="233" width="2.85546875" customWidth="1"/>
    <col min="234" max="234" width="4.42578125" customWidth="1"/>
    <col min="235" max="235" width="61" customWidth="1"/>
    <col min="236" max="236" width="6.7109375" customWidth="1"/>
    <col min="237" max="240" width="16.85546875" customWidth="1"/>
    <col min="241" max="241" width="13.42578125" customWidth="1"/>
    <col min="242" max="242" width="16.85546875" customWidth="1"/>
    <col min="243" max="243" width="12.28515625" customWidth="1"/>
    <col min="244" max="246" width="14.85546875" customWidth="1"/>
    <col min="247" max="247" width="10.42578125" customWidth="1"/>
    <col min="248" max="248" width="14.85546875" customWidth="1"/>
    <col min="249" max="250" width="13.42578125" customWidth="1"/>
    <col min="251" max="251" width="8.7109375" customWidth="1"/>
    <col min="252" max="252" width="10.7109375" customWidth="1"/>
    <col min="253" max="253" width="19.85546875" customWidth="1"/>
    <col min="254" max="255" width="4.42578125" customWidth="1"/>
    <col min="256" max="256" width="3.42578125" customWidth="1"/>
    <col min="257" max="257" width="52.85546875" customWidth="1"/>
    <col min="258" max="258" width="11" customWidth="1"/>
    <col min="259" max="259" width="11.5703125" customWidth="1"/>
    <col min="260" max="260" width="33.7109375" customWidth="1"/>
    <col min="261" max="261" width="7.7109375" customWidth="1"/>
    <col min="489" max="489" width="2.85546875" customWidth="1"/>
    <col min="490" max="490" width="4.42578125" customWidth="1"/>
    <col min="491" max="491" width="61" customWidth="1"/>
    <col min="492" max="492" width="6.7109375" customWidth="1"/>
    <col min="493" max="496" width="16.85546875" customWidth="1"/>
    <col min="497" max="497" width="13.42578125" customWidth="1"/>
    <col min="498" max="498" width="16.85546875" customWidth="1"/>
    <col min="499" max="499" width="12.28515625" customWidth="1"/>
    <col min="500" max="502" width="14.85546875" customWidth="1"/>
    <col min="503" max="503" width="10.42578125" customWidth="1"/>
    <col min="504" max="504" width="14.85546875" customWidth="1"/>
    <col min="505" max="506" width="13.42578125" customWidth="1"/>
    <col min="507" max="507" width="8.7109375" customWidth="1"/>
    <col min="508" max="508" width="10.7109375" customWidth="1"/>
    <col min="509" max="509" width="19.85546875" customWidth="1"/>
    <col min="510" max="511" width="4.42578125" customWidth="1"/>
    <col min="512" max="512" width="3.42578125" customWidth="1"/>
    <col min="513" max="513" width="52.85546875" customWidth="1"/>
    <col min="514" max="514" width="11" customWidth="1"/>
    <col min="515" max="515" width="11.5703125" customWidth="1"/>
    <col min="516" max="516" width="33.7109375" customWidth="1"/>
    <col min="517" max="517" width="7.7109375" customWidth="1"/>
    <col min="745" max="745" width="2.85546875" customWidth="1"/>
    <col min="746" max="746" width="4.42578125" customWidth="1"/>
    <col min="747" max="747" width="61" customWidth="1"/>
    <col min="748" max="748" width="6.7109375" customWidth="1"/>
    <col min="749" max="752" width="16.85546875" customWidth="1"/>
    <col min="753" max="753" width="13.42578125" customWidth="1"/>
    <col min="754" max="754" width="16.85546875" customWidth="1"/>
    <col min="755" max="755" width="12.28515625" customWidth="1"/>
    <col min="756" max="758" width="14.85546875" customWidth="1"/>
    <col min="759" max="759" width="10.42578125" customWidth="1"/>
    <col min="760" max="760" width="14.85546875" customWidth="1"/>
    <col min="761" max="762" width="13.42578125" customWidth="1"/>
    <col min="763" max="763" width="8.7109375" customWidth="1"/>
    <col min="764" max="764" width="10.7109375" customWidth="1"/>
    <col min="765" max="765" width="19.85546875" customWidth="1"/>
    <col min="766" max="767" width="4.42578125" customWidth="1"/>
    <col min="768" max="768" width="3.42578125" customWidth="1"/>
    <col min="769" max="769" width="52.85546875" customWidth="1"/>
    <col min="770" max="770" width="11" customWidth="1"/>
    <col min="771" max="771" width="11.5703125" customWidth="1"/>
    <col min="772" max="772" width="33.7109375" customWidth="1"/>
    <col min="773" max="773" width="7.7109375" customWidth="1"/>
    <col min="1001" max="1001" width="2.85546875" customWidth="1"/>
    <col min="1002" max="1002" width="4.42578125" customWidth="1"/>
    <col min="1003" max="1003" width="61" customWidth="1"/>
    <col min="1004" max="1004" width="6.7109375" customWidth="1"/>
    <col min="1005" max="1008" width="16.85546875" customWidth="1"/>
    <col min="1009" max="1009" width="13.42578125" customWidth="1"/>
    <col min="1010" max="1010" width="16.85546875" customWidth="1"/>
    <col min="1011" max="1011" width="12.28515625" customWidth="1"/>
    <col min="1012" max="1014" width="14.85546875" customWidth="1"/>
    <col min="1015" max="1015" width="10.42578125" customWidth="1"/>
    <col min="1016" max="1016" width="14.85546875" customWidth="1"/>
    <col min="1017" max="1018" width="13.42578125" customWidth="1"/>
    <col min="1019" max="1019" width="8.7109375" customWidth="1"/>
    <col min="1020" max="1020" width="10.7109375" customWidth="1"/>
    <col min="1021" max="1021" width="19.85546875" customWidth="1"/>
    <col min="1022" max="1023" width="4.42578125" customWidth="1"/>
    <col min="1024" max="1024" width="3.42578125" customWidth="1"/>
    <col min="1025" max="1025" width="52.85546875" customWidth="1"/>
    <col min="1026" max="1026" width="11" customWidth="1"/>
    <col min="1027" max="1027" width="11.5703125" customWidth="1"/>
    <col min="1028" max="1028" width="33.7109375" customWidth="1"/>
    <col min="1029" max="1029" width="7.7109375" customWidth="1"/>
    <col min="1257" max="1257" width="2.85546875" customWidth="1"/>
    <col min="1258" max="1258" width="4.42578125" customWidth="1"/>
    <col min="1259" max="1259" width="61" customWidth="1"/>
    <col min="1260" max="1260" width="6.7109375" customWidth="1"/>
    <col min="1261" max="1264" width="16.85546875" customWidth="1"/>
    <col min="1265" max="1265" width="13.42578125" customWidth="1"/>
    <col min="1266" max="1266" width="16.85546875" customWidth="1"/>
    <col min="1267" max="1267" width="12.28515625" customWidth="1"/>
    <col min="1268" max="1270" width="14.85546875" customWidth="1"/>
    <col min="1271" max="1271" width="10.42578125" customWidth="1"/>
    <col min="1272" max="1272" width="14.85546875" customWidth="1"/>
    <col min="1273" max="1274" width="13.42578125" customWidth="1"/>
    <col min="1275" max="1275" width="8.7109375" customWidth="1"/>
    <col min="1276" max="1276" width="10.7109375" customWidth="1"/>
    <col min="1277" max="1277" width="19.85546875" customWidth="1"/>
    <col min="1278" max="1279" width="4.42578125" customWidth="1"/>
    <col min="1280" max="1280" width="3.42578125" customWidth="1"/>
    <col min="1281" max="1281" width="52.85546875" customWidth="1"/>
    <col min="1282" max="1282" width="11" customWidth="1"/>
    <col min="1283" max="1283" width="11.5703125" customWidth="1"/>
    <col min="1284" max="1284" width="33.7109375" customWidth="1"/>
    <col min="1285" max="1285" width="7.7109375" customWidth="1"/>
    <col min="1513" max="1513" width="2.85546875" customWidth="1"/>
    <col min="1514" max="1514" width="4.42578125" customWidth="1"/>
    <col min="1515" max="1515" width="61" customWidth="1"/>
    <col min="1516" max="1516" width="6.7109375" customWidth="1"/>
    <col min="1517" max="1520" width="16.85546875" customWidth="1"/>
    <col min="1521" max="1521" width="13.42578125" customWidth="1"/>
    <col min="1522" max="1522" width="16.85546875" customWidth="1"/>
    <col min="1523" max="1523" width="12.28515625" customWidth="1"/>
    <col min="1524" max="1526" width="14.85546875" customWidth="1"/>
    <col min="1527" max="1527" width="10.42578125" customWidth="1"/>
    <col min="1528" max="1528" width="14.85546875" customWidth="1"/>
    <col min="1529" max="1530" width="13.42578125" customWidth="1"/>
    <col min="1531" max="1531" width="8.7109375" customWidth="1"/>
    <col min="1532" max="1532" width="10.7109375" customWidth="1"/>
    <col min="1533" max="1533" width="19.85546875" customWidth="1"/>
    <col min="1534" max="1535" width="4.42578125" customWidth="1"/>
    <col min="1536" max="1536" width="3.42578125" customWidth="1"/>
    <col min="1537" max="1537" width="52.85546875" customWidth="1"/>
    <col min="1538" max="1538" width="11" customWidth="1"/>
    <col min="1539" max="1539" width="11.5703125" customWidth="1"/>
    <col min="1540" max="1540" width="33.7109375" customWidth="1"/>
    <col min="1541" max="1541" width="7.7109375" customWidth="1"/>
    <col min="1769" max="1769" width="2.85546875" customWidth="1"/>
    <col min="1770" max="1770" width="4.42578125" customWidth="1"/>
    <col min="1771" max="1771" width="61" customWidth="1"/>
    <col min="1772" max="1772" width="6.7109375" customWidth="1"/>
    <col min="1773" max="1776" width="16.85546875" customWidth="1"/>
    <col min="1777" max="1777" width="13.42578125" customWidth="1"/>
    <col min="1778" max="1778" width="16.85546875" customWidth="1"/>
    <col min="1779" max="1779" width="12.28515625" customWidth="1"/>
    <col min="1780" max="1782" width="14.85546875" customWidth="1"/>
    <col min="1783" max="1783" width="10.42578125" customWidth="1"/>
    <col min="1784" max="1784" width="14.85546875" customWidth="1"/>
    <col min="1785" max="1786" width="13.42578125" customWidth="1"/>
    <col min="1787" max="1787" width="8.7109375" customWidth="1"/>
    <col min="1788" max="1788" width="10.7109375" customWidth="1"/>
    <col min="1789" max="1789" width="19.85546875" customWidth="1"/>
    <col min="1790" max="1791" width="4.42578125" customWidth="1"/>
    <col min="1792" max="1792" width="3.42578125" customWidth="1"/>
    <col min="1793" max="1793" width="52.85546875" customWidth="1"/>
    <col min="1794" max="1794" width="11" customWidth="1"/>
    <col min="1795" max="1795" width="11.5703125" customWidth="1"/>
    <col min="1796" max="1796" width="33.7109375" customWidth="1"/>
    <col min="1797" max="1797" width="7.7109375" customWidth="1"/>
    <col min="2025" max="2025" width="2.85546875" customWidth="1"/>
    <col min="2026" max="2026" width="4.42578125" customWidth="1"/>
    <col min="2027" max="2027" width="61" customWidth="1"/>
    <col min="2028" max="2028" width="6.7109375" customWidth="1"/>
    <col min="2029" max="2032" width="16.85546875" customWidth="1"/>
    <col min="2033" max="2033" width="13.42578125" customWidth="1"/>
    <col min="2034" max="2034" width="16.85546875" customWidth="1"/>
    <col min="2035" max="2035" width="12.28515625" customWidth="1"/>
    <col min="2036" max="2038" width="14.85546875" customWidth="1"/>
    <col min="2039" max="2039" width="10.42578125" customWidth="1"/>
    <col min="2040" max="2040" width="14.85546875" customWidth="1"/>
    <col min="2041" max="2042" width="13.42578125" customWidth="1"/>
    <col min="2043" max="2043" width="8.7109375" customWidth="1"/>
    <col min="2044" max="2044" width="10.7109375" customWidth="1"/>
    <col min="2045" max="2045" width="19.85546875" customWidth="1"/>
    <col min="2046" max="2047" width="4.42578125" customWidth="1"/>
    <col min="2048" max="2048" width="3.42578125" customWidth="1"/>
    <col min="2049" max="2049" width="52.85546875" customWidth="1"/>
    <col min="2050" max="2050" width="11" customWidth="1"/>
    <col min="2051" max="2051" width="11.5703125" customWidth="1"/>
    <col min="2052" max="2052" width="33.7109375" customWidth="1"/>
    <col min="2053" max="2053" width="7.7109375" customWidth="1"/>
    <col min="2281" max="2281" width="2.85546875" customWidth="1"/>
    <col min="2282" max="2282" width="4.42578125" customWidth="1"/>
    <col min="2283" max="2283" width="61" customWidth="1"/>
    <col min="2284" max="2284" width="6.7109375" customWidth="1"/>
    <col min="2285" max="2288" width="16.85546875" customWidth="1"/>
    <col min="2289" max="2289" width="13.42578125" customWidth="1"/>
    <col min="2290" max="2290" width="16.85546875" customWidth="1"/>
    <col min="2291" max="2291" width="12.28515625" customWidth="1"/>
    <col min="2292" max="2294" width="14.85546875" customWidth="1"/>
    <col min="2295" max="2295" width="10.42578125" customWidth="1"/>
    <col min="2296" max="2296" width="14.85546875" customWidth="1"/>
    <col min="2297" max="2298" width="13.42578125" customWidth="1"/>
    <col min="2299" max="2299" width="8.7109375" customWidth="1"/>
    <col min="2300" max="2300" width="10.7109375" customWidth="1"/>
    <col min="2301" max="2301" width="19.85546875" customWidth="1"/>
    <col min="2302" max="2303" width="4.42578125" customWidth="1"/>
    <col min="2304" max="2304" width="3.42578125" customWidth="1"/>
    <col min="2305" max="2305" width="52.85546875" customWidth="1"/>
    <col min="2306" max="2306" width="11" customWidth="1"/>
    <col min="2307" max="2307" width="11.5703125" customWidth="1"/>
    <col min="2308" max="2308" width="33.7109375" customWidth="1"/>
    <col min="2309" max="2309" width="7.7109375" customWidth="1"/>
    <col min="2537" max="2537" width="2.85546875" customWidth="1"/>
    <col min="2538" max="2538" width="4.42578125" customWidth="1"/>
    <col min="2539" max="2539" width="61" customWidth="1"/>
    <col min="2540" max="2540" width="6.7109375" customWidth="1"/>
    <col min="2541" max="2544" width="16.85546875" customWidth="1"/>
    <col min="2545" max="2545" width="13.42578125" customWidth="1"/>
    <col min="2546" max="2546" width="16.85546875" customWidth="1"/>
    <col min="2547" max="2547" width="12.28515625" customWidth="1"/>
    <col min="2548" max="2550" width="14.85546875" customWidth="1"/>
    <col min="2551" max="2551" width="10.42578125" customWidth="1"/>
    <col min="2552" max="2552" width="14.85546875" customWidth="1"/>
    <col min="2553" max="2554" width="13.42578125" customWidth="1"/>
    <col min="2555" max="2555" width="8.7109375" customWidth="1"/>
    <col min="2556" max="2556" width="10.7109375" customWidth="1"/>
    <col min="2557" max="2557" width="19.85546875" customWidth="1"/>
    <col min="2558" max="2559" width="4.42578125" customWidth="1"/>
    <col min="2560" max="2560" width="3.42578125" customWidth="1"/>
    <col min="2561" max="2561" width="52.85546875" customWidth="1"/>
    <col min="2562" max="2562" width="11" customWidth="1"/>
    <col min="2563" max="2563" width="11.5703125" customWidth="1"/>
    <col min="2564" max="2564" width="33.7109375" customWidth="1"/>
    <col min="2565" max="2565" width="7.7109375" customWidth="1"/>
    <col min="2793" max="2793" width="2.85546875" customWidth="1"/>
    <col min="2794" max="2794" width="4.42578125" customWidth="1"/>
    <col min="2795" max="2795" width="61" customWidth="1"/>
    <col min="2796" max="2796" width="6.7109375" customWidth="1"/>
    <col min="2797" max="2800" width="16.85546875" customWidth="1"/>
    <col min="2801" max="2801" width="13.42578125" customWidth="1"/>
    <col min="2802" max="2802" width="16.85546875" customWidth="1"/>
    <col min="2803" max="2803" width="12.28515625" customWidth="1"/>
    <col min="2804" max="2806" width="14.85546875" customWidth="1"/>
    <col min="2807" max="2807" width="10.42578125" customWidth="1"/>
    <col min="2808" max="2808" width="14.85546875" customWidth="1"/>
    <col min="2809" max="2810" width="13.42578125" customWidth="1"/>
    <col min="2811" max="2811" width="8.7109375" customWidth="1"/>
    <col min="2812" max="2812" width="10.7109375" customWidth="1"/>
    <col min="2813" max="2813" width="19.85546875" customWidth="1"/>
    <col min="2814" max="2815" width="4.42578125" customWidth="1"/>
    <col min="2816" max="2816" width="3.42578125" customWidth="1"/>
    <col min="2817" max="2817" width="52.85546875" customWidth="1"/>
    <col min="2818" max="2818" width="11" customWidth="1"/>
    <col min="2819" max="2819" width="11.5703125" customWidth="1"/>
    <col min="2820" max="2820" width="33.7109375" customWidth="1"/>
    <col min="2821" max="2821" width="7.7109375" customWidth="1"/>
    <col min="3049" max="3049" width="2.85546875" customWidth="1"/>
    <col min="3050" max="3050" width="4.42578125" customWidth="1"/>
    <col min="3051" max="3051" width="61" customWidth="1"/>
    <col min="3052" max="3052" width="6.7109375" customWidth="1"/>
    <col min="3053" max="3056" width="16.85546875" customWidth="1"/>
    <col min="3057" max="3057" width="13.42578125" customWidth="1"/>
    <col min="3058" max="3058" width="16.85546875" customWidth="1"/>
    <col min="3059" max="3059" width="12.28515625" customWidth="1"/>
    <col min="3060" max="3062" width="14.85546875" customWidth="1"/>
    <col min="3063" max="3063" width="10.42578125" customWidth="1"/>
    <col min="3064" max="3064" width="14.85546875" customWidth="1"/>
    <col min="3065" max="3066" width="13.42578125" customWidth="1"/>
    <col min="3067" max="3067" width="8.7109375" customWidth="1"/>
    <col min="3068" max="3068" width="10.7109375" customWidth="1"/>
    <col min="3069" max="3069" width="19.85546875" customWidth="1"/>
    <col min="3070" max="3071" width="4.42578125" customWidth="1"/>
    <col min="3072" max="3072" width="3.42578125" customWidth="1"/>
    <col min="3073" max="3073" width="52.85546875" customWidth="1"/>
    <col min="3074" max="3074" width="11" customWidth="1"/>
    <col min="3075" max="3075" width="11.5703125" customWidth="1"/>
    <col min="3076" max="3076" width="33.7109375" customWidth="1"/>
    <col min="3077" max="3077" width="7.7109375" customWidth="1"/>
    <col min="3305" max="3305" width="2.85546875" customWidth="1"/>
    <col min="3306" max="3306" width="4.42578125" customWidth="1"/>
    <col min="3307" max="3307" width="61" customWidth="1"/>
    <col min="3308" max="3308" width="6.7109375" customWidth="1"/>
    <col min="3309" max="3312" width="16.85546875" customWidth="1"/>
    <col min="3313" max="3313" width="13.42578125" customWidth="1"/>
    <col min="3314" max="3314" width="16.85546875" customWidth="1"/>
    <col min="3315" max="3315" width="12.28515625" customWidth="1"/>
    <col min="3316" max="3318" width="14.85546875" customWidth="1"/>
    <col min="3319" max="3319" width="10.42578125" customWidth="1"/>
    <col min="3320" max="3320" width="14.85546875" customWidth="1"/>
    <col min="3321" max="3322" width="13.42578125" customWidth="1"/>
    <col min="3323" max="3323" width="8.7109375" customWidth="1"/>
    <col min="3324" max="3324" width="10.7109375" customWidth="1"/>
    <col min="3325" max="3325" width="19.85546875" customWidth="1"/>
    <col min="3326" max="3327" width="4.42578125" customWidth="1"/>
    <col min="3328" max="3328" width="3.42578125" customWidth="1"/>
    <col min="3329" max="3329" width="52.85546875" customWidth="1"/>
    <col min="3330" max="3330" width="11" customWidth="1"/>
    <col min="3331" max="3331" width="11.5703125" customWidth="1"/>
    <col min="3332" max="3332" width="33.7109375" customWidth="1"/>
    <col min="3333" max="3333" width="7.7109375" customWidth="1"/>
    <col min="3561" max="3561" width="2.85546875" customWidth="1"/>
    <col min="3562" max="3562" width="4.42578125" customWidth="1"/>
    <col min="3563" max="3563" width="61" customWidth="1"/>
    <col min="3564" max="3564" width="6.7109375" customWidth="1"/>
    <col min="3565" max="3568" width="16.85546875" customWidth="1"/>
    <col min="3569" max="3569" width="13.42578125" customWidth="1"/>
    <col min="3570" max="3570" width="16.85546875" customWidth="1"/>
    <col min="3571" max="3571" width="12.28515625" customWidth="1"/>
    <col min="3572" max="3574" width="14.85546875" customWidth="1"/>
    <col min="3575" max="3575" width="10.42578125" customWidth="1"/>
    <col min="3576" max="3576" width="14.85546875" customWidth="1"/>
    <col min="3577" max="3578" width="13.42578125" customWidth="1"/>
    <col min="3579" max="3579" width="8.7109375" customWidth="1"/>
    <col min="3580" max="3580" width="10.7109375" customWidth="1"/>
    <col min="3581" max="3581" width="19.85546875" customWidth="1"/>
    <col min="3582" max="3583" width="4.42578125" customWidth="1"/>
    <col min="3584" max="3584" width="3.42578125" customWidth="1"/>
    <col min="3585" max="3585" width="52.85546875" customWidth="1"/>
    <col min="3586" max="3586" width="11" customWidth="1"/>
    <col min="3587" max="3587" width="11.5703125" customWidth="1"/>
    <col min="3588" max="3588" width="33.7109375" customWidth="1"/>
    <col min="3589" max="3589" width="7.7109375" customWidth="1"/>
    <col min="3817" max="3817" width="2.85546875" customWidth="1"/>
    <col min="3818" max="3818" width="4.42578125" customWidth="1"/>
    <col min="3819" max="3819" width="61" customWidth="1"/>
    <col min="3820" max="3820" width="6.7109375" customWidth="1"/>
    <col min="3821" max="3824" width="16.85546875" customWidth="1"/>
    <col min="3825" max="3825" width="13.42578125" customWidth="1"/>
    <col min="3826" max="3826" width="16.85546875" customWidth="1"/>
    <col min="3827" max="3827" width="12.28515625" customWidth="1"/>
    <col min="3828" max="3830" width="14.85546875" customWidth="1"/>
    <col min="3831" max="3831" width="10.42578125" customWidth="1"/>
    <col min="3832" max="3832" width="14.85546875" customWidth="1"/>
    <col min="3833" max="3834" width="13.42578125" customWidth="1"/>
    <col min="3835" max="3835" width="8.7109375" customWidth="1"/>
    <col min="3836" max="3836" width="10.7109375" customWidth="1"/>
    <col min="3837" max="3837" width="19.85546875" customWidth="1"/>
    <col min="3838" max="3839" width="4.42578125" customWidth="1"/>
    <col min="3840" max="3840" width="3.42578125" customWidth="1"/>
    <col min="3841" max="3841" width="52.85546875" customWidth="1"/>
    <col min="3842" max="3842" width="11" customWidth="1"/>
    <col min="3843" max="3843" width="11.5703125" customWidth="1"/>
    <col min="3844" max="3844" width="33.7109375" customWidth="1"/>
    <col min="3845" max="3845" width="7.7109375" customWidth="1"/>
    <col min="4073" max="4073" width="2.85546875" customWidth="1"/>
    <col min="4074" max="4074" width="4.42578125" customWidth="1"/>
    <col min="4075" max="4075" width="61" customWidth="1"/>
    <col min="4076" max="4076" width="6.7109375" customWidth="1"/>
    <col min="4077" max="4080" width="16.85546875" customWidth="1"/>
    <col min="4081" max="4081" width="13.42578125" customWidth="1"/>
    <col min="4082" max="4082" width="16.85546875" customWidth="1"/>
    <col min="4083" max="4083" width="12.28515625" customWidth="1"/>
    <col min="4084" max="4086" width="14.85546875" customWidth="1"/>
    <col min="4087" max="4087" width="10.42578125" customWidth="1"/>
    <col min="4088" max="4088" width="14.85546875" customWidth="1"/>
    <col min="4089" max="4090" width="13.42578125" customWidth="1"/>
    <col min="4091" max="4091" width="8.7109375" customWidth="1"/>
    <col min="4092" max="4092" width="10.7109375" customWidth="1"/>
    <col min="4093" max="4093" width="19.85546875" customWidth="1"/>
    <col min="4094" max="4095" width="4.42578125" customWidth="1"/>
    <col min="4096" max="4096" width="3.42578125" customWidth="1"/>
    <col min="4097" max="4097" width="52.85546875" customWidth="1"/>
    <col min="4098" max="4098" width="11" customWidth="1"/>
    <col min="4099" max="4099" width="11.5703125" customWidth="1"/>
    <col min="4100" max="4100" width="33.7109375" customWidth="1"/>
    <col min="4101" max="4101" width="7.7109375" customWidth="1"/>
    <col min="4329" max="4329" width="2.85546875" customWidth="1"/>
    <col min="4330" max="4330" width="4.42578125" customWidth="1"/>
    <col min="4331" max="4331" width="61" customWidth="1"/>
    <col min="4332" max="4332" width="6.7109375" customWidth="1"/>
    <col min="4333" max="4336" width="16.85546875" customWidth="1"/>
    <col min="4337" max="4337" width="13.42578125" customWidth="1"/>
    <col min="4338" max="4338" width="16.85546875" customWidth="1"/>
    <col min="4339" max="4339" width="12.28515625" customWidth="1"/>
    <col min="4340" max="4342" width="14.85546875" customWidth="1"/>
    <col min="4343" max="4343" width="10.42578125" customWidth="1"/>
    <col min="4344" max="4344" width="14.85546875" customWidth="1"/>
    <col min="4345" max="4346" width="13.42578125" customWidth="1"/>
    <col min="4347" max="4347" width="8.7109375" customWidth="1"/>
    <col min="4348" max="4348" width="10.7109375" customWidth="1"/>
    <col min="4349" max="4349" width="19.85546875" customWidth="1"/>
    <col min="4350" max="4351" width="4.42578125" customWidth="1"/>
    <col min="4352" max="4352" width="3.42578125" customWidth="1"/>
    <col min="4353" max="4353" width="52.85546875" customWidth="1"/>
    <col min="4354" max="4354" width="11" customWidth="1"/>
    <col min="4355" max="4355" width="11.5703125" customWidth="1"/>
    <col min="4356" max="4356" width="33.7109375" customWidth="1"/>
    <col min="4357" max="4357" width="7.7109375" customWidth="1"/>
    <col min="4585" max="4585" width="2.85546875" customWidth="1"/>
    <col min="4586" max="4586" width="4.42578125" customWidth="1"/>
    <col min="4587" max="4587" width="61" customWidth="1"/>
    <col min="4588" max="4588" width="6.7109375" customWidth="1"/>
    <col min="4589" max="4592" width="16.85546875" customWidth="1"/>
    <col min="4593" max="4593" width="13.42578125" customWidth="1"/>
    <col min="4594" max="4594" width="16.85546875" customWidth="1"/>
    <col min="4595" max="4595" width="12.28515625" customWidth="1"/>
    <col min="4596" max="4598" width="14.85546875" customWidth="1"/>
    <col min="4599" max="4599" width="10.42578125" customWidth="1"/>
    <col min="4600" max="4600" width="14.85546875" customWidth="1"/>
    <col min="4601" max="4602" width="13.42578125" customWidth="1"/>
    <col min="4603" max="4603" width="8.7109375" customWidth="1"/>
    <col min="4604" max="4604" width="10.7109375" customWidth="1"/>
    <col min="4605" max="4605" width="19.85546875" customWidth="1"/>
    <col min="4606" max="4607" width="4.42578125" customWidth="1"/>
    <col min="4608" max="4608" width="3.42578125" customWidth="1"/>
    <col min="4609" max="4609" width="52.85546875" customWidth="1"/>
    <col min="4610" max="4610" width="11" customWidth="1"/>
    <col min="4611" max="4611" width="11.5703125" customWidth="1"/>
    <col min="4612" max="4612" width="33.7109375" customWidth="1"/>
    <col min="4613" max="4613" width="7.7109375" customWidth="1"/>
    <col min="4841" max="4841" width="2.85546875" customWidth="1"/>
    <col min="4842" max="4842" width="4.42578125" customWidth="1"/>
    <col min="4843" max="4843" width="61" customWidth="1"/>
    <col min="4844" max="4844" width="6.7109375" customWidth="1"/>
    <col min="4845" max="4848" width="16.85546875" customWidth="1"/>
    <col min="4849" max="4849" width="13.42578125" customWidth="1"/>
    <col min="4850" max="4850" width="16.85546875" customWidth="1"/>
    <col min="4851" max="4851" width="12.28515625" customWidth="1"/>
    <col min="4852" max="4854" width="14.85546875" customWidth="1"/>
    <col min="4855" max="4855" width="10.42578125" customWidth="1"/>
    <col min="4856" max="4856" width="14.85546875" customWidth="1"/>
    <col min="4857" max="4858" width="13.42578125" customWidth="1"/>
    <col min="4859" max="4859" width="8.7109375" customWidth="1"/>
    <col min="4860" max="4860" width="10.7109375" customWidth="1"/>
    <col min="4861" max="4861" width="19.85546875" customWidth="1"/>
    <col min="4862" max="4863" width="4.42578125" customWidth="1"/>
    <col min="4864" max="4864" width="3.42578125" customWidth="1"/>
    <col min="4865" max="4865" width="52.85546875" customWidth="1"/>
    <col min="4866" max="4866" width="11" customWidth="1"/>
    <col min="4867" max="4867" width="11.5703125" customWidth="1"/>
    <col min="4868" max="4868" width="33.7109375" customWidth="1"/>
    <col min="4869" max="4869" width="7.7109375" customWidth="1"/>
    <col min="5097" max="5097" width="2.85546875" customWidth="1"/>
    <col min="5098" max="5098" width="4.42578125" customWidth="1"/>
    <col min="5099" max="5099" width="61" customWidth="1"/>
    <col min="5100" max="5100" width="6.7109375" customWidth="1"/>
    <col min="5101" max="5104" width="16.85546875" customWidth="1"/>
    <col min="5105" max="5105" width="13.42578125" customWidth="1"/>
    <col min="5106" max="5106" width="16.85546875" customWidth="1"/>
    <col min="5107" max="5107" width="12.28515625" customWidth="1"/>
    <col min="5108" max="5110" width="14.85546875" customWidth="1"/>
    <col min="5111" max="5111" width="10.42578125" customWidth="1"/>
    <col min="5112" max="5112" width="14.85546875" customWidth="1"/>
    <col min="5113" max="5114" width="13.42578125" customWidth="1"/>
    <col min="5115" max="5115" width="8.7109375" customWidth="1"/>
    <col min="5116" max="5116" width="10.7109375" customWidth="1"/>
    <col min="5117" max="5117" width="19.85546875" customWidth="1"/>
    <col min="5118" max="5119" width="4.42578125" customWidth="1"/>
    <col min="5120" max="5120" width="3.42578125" customWidth="1"/>
    <col min="5121" max="5121" width="52.85546875" customWidth="1"/>
    <col min="5122" max="5122" width="11" customWidth="1"/>
    <col min="5123" max="5123" width="11.5703125" customWidth="1"/>
    <col min="5124" max="5124" width="33.7109375" customWidth="1"/>
    <col min="5125" max="5125" width="7.7109375" customWidth="1"/>
    <col min="5353" max="5353" width="2.85546875" customWidth="1"/>
    <col min="5354" max="5354" width="4.42578125" customWidth="1"/>
    <col min="5355" max="5355" width="61" customWidth="1"/>
    <col min="5356" max="5356" width="6.7109375" customWidth="1"/>
    <col min="5357" max="5360" width="16.85546875" customWidth="1"/>
    <col min="5361" max="5361" width="13.42578125" customWidth="1"/>
    <col min="5362" max="5362" width="16.85546875" customWidth="1"/>
    <col min="5363" max="5363" width="12.28515625" customWidth="1"/>
    <col min="5364" max="5366" width="14.85546875" customWidth="1"/>
    <col min="5367" max="5367" width="10.42578125" customWidth="1"/>
    <col min="5368" max="5368" width="14.85546875" customWidth="1"/>
    <col min="5369" max="5370" width="13.42578125" customWidth="1"/>
    <col min="5371" max="5371" width="8.7109375" customWidth="1"/>
    <col min="5372" max="5372" width="10.7109375" customWidth="1"/>
    <col min="5373" max="5373" width="19.85546875" customWidth="1"/>
    <col min="5374" max="5375" width="4.42578125" customWidth="1"/>
    <col min="5376" max="5376" width="3.42578125" customWidth="1"/>
    <col min="5377" max="5377" width="52.85546875" customWidth="1"/>
    <col min="5378" max="5378" width="11" customWidth="1"/>
    <col min="5379" max="5379" width="11.5703125" customWidth="1"/>
    <col min="5380" max="5380" width="33.7109375" customWidth="1"/>
    <col min="5381" max="5381" width="7.7109375" customWidth="1"/>
    <col min="5609" max="5609" width="2.85546875" customWidth="1"/>
    <col min="5610" max="5610" width="4.42578125" customWidth="1"/>
    <col min="5611" max="5611" width="61" customWidth="1"/>
    <col min="5612" max="5612" width="6.7109375" customWidth="1"/>
    <col min="5613" max="5616" width="16.85546875" customWidth="1"/>
    <col min="5617" max="5617" width="13.42578125" customWidth="1"/>
    <col min="5618" max="5618" width="16.85546875" customWidth="1"/>
    <col min="5619" max="5619" width="12.28515625" customWidth="1"/>
    <col min="5620" max="5622" width="14.85546875" customWidth="1"/>
    <col min="5623" max="5623" width="10.42578125" customWidth="1"/>
    <col min="5624" max="5624" width="14.85546875" customWidth="1"/>
    <col min="5625" max="5626" width="13.42578125" customWidth="1"/>
    <col min="5627" max="5627" width="8.7109375" customWidth="1"/>
    <col min="5628" max="5628" width="10.7109375" customWidth="1"/>
    <col min="5629" max="5629" width="19.85546875" customWidth="1"/>
    <col min="5630" max="5631" width="4.42578125" customWidth="1"/>
    <col min="5632" max="5632" width="3.42578125" customWidth="1"/>
    <col min="5633" max="5633" width="52.85546875" customWidth="1"/>
    <col min="5634" max="5634" width="11" customWidth="1"/>
    <col min="5635" max="5635" width="11.5703125" customWidth="1"/>
    <col min="5636" max="5636" width="33.7109375" customWidth="1"/>
    <col min="5637" max="5637" width="7.7109375" customWidth="1"/>
    <col min="5865" max="5865" width="2.85546875" customWidth="1"/>
    <col min="5866" max="5866" width="4.42578125" customWidth="1"/>
    <col min="5867" max="5867" width="61" customWidth="1"/>
    <col min="5868" max="5868" width="6.7109375" customWidth="1"/>
    <col min="5869" max="5872" width="16.85546875" customWidth="1"/>
    <col min="5873" max="5873" width="13.42578125" customWidth="1"/>
    <col min="5874" max="5874" width="16.85546875" customWidth="1"/>
    <col min="5875" max="5875" width="12.28515625" customWidth="1"/>
    <col min="5876" max="5878" width="14.85546875" customWidth="1"/>
    <col min="5879" max="5879" width="10.42578125" customWidth="1"/>
    <col min="5880" max="5880" width="14.85546875" customWidth="1"/>
    <col min="5881" max="5882" width="13.42578125" customWidth="1"/>
    <col min="5883" max="5883" width="8.7109375" customWidth="1"/>
    <col min="5884" max="5884" width="10.7109375" customWidth="1"/>
    <col min="5885" max="5885" width="19.85546875" customWidth="1"/>
    <col min="5886" max="5887" width="4.42578125" customWidth="1"/>
    <col min="5888" max="5888" width="3.42578125" customWidth="1"/>
    <col min="5889" max="5889" width="52.85546875" customWidth="1"/>
    <col min="5890" max="5890" width="11" customWidth="1"/>
    <col min="5891" max="5891" width="11.5703125" customWidth="1"/>
    <col min="5892" max="5892" width="33.7109375" customWidth="1"/>
    <col min="5893" max="5893" width="7.7109375" customWidth="1"/>
    <col min="6121" max="6121" width="2.85546875" customWidth="1"/>
    <col min="6122" max="6122" width="4.42578125" customWidth="1"/>
    <col min="6123" max="6123" width="61" customWidth="1"/>
    <col min="6124" max="6124" width="6.7109375" customWidth="1"/>
    <col min="6125" max="6128" width="16.85546875" customWidth="1"/>
    <col min="6129" max="6129" width="13.42578125" customWidth="1"/>
    <col min="6130" max="6130" width="16.85546875" customWidth="1"/>
    <col min="6131" max="6131" width="12.28515625" customWidth="1"/>
    <col min="6132" max="6134" width="14.85546875" customWidth="1"/>
    <col min="6135" max="6135" width="10.42578125" customWidth="1"/>
    <col min="6136" max="6136" width="14.85546875" customWidth="1"/>
    <col min="6137" max="6138" width="13.42578125" customWidth="1"/>
    <col min="6139" max="6139" width="8.7109375" customWidth="1"/>
    <col min="6140" max="6140" width="10.7109375" customWidth="1"/>
    <col min="6141" max="6141" width="19.85546875" customWidth="1"/>
    <col min="6142" max="6143" width="4.42578125" customWidth="1"/>
    <col min="6144" max="6144" width="3.42578125" customWidth="1"/>
    <col min="6145" max="6145" width="52.85546875" customWidth="1"/>
    <col min="6146" max="6146" width="11" customWidth="1"/>
    <col min="6147" max="6147" width="11.5703125" customWidth="1"/>
    <col min="6148" max="6148" width="33.7109375" customWidth="1"/>
    <col min="6149" max="6149" width="7.7109375" customWidth="1"/>
    <col min="6377" max="6377" width="2.85546875" customWidth="1"/>
    <col min="6378" max="6378" width="4.42578125" customWidth="1"/>
    <col min="6379" max="6379" width="61" customWidth="1"/>
    <col min="6380" max="6380" width="6.7109375" customWidth="1"/>
    <col min="6381" max="6384" width="16.85546875" customWidth="1"/>
    <col min="6385" max="6385" width="13.42578125" customWidth="1"/>
    <col min="6386" max="6386" width="16.85546875" customWidth="1"/>
    <col min="6387" max="6387" width="12.28515625" customWidth="1"/>
    <col min="6388" max="6390" width="14.85546875" customWidth="1"/>
    <col min="6391" max="6391" width="10.42578125" customWidth="1"/>
    <col min="6392" max="6392" width="14.85546875" customWidth="1"/>
    <col min="6393" max="6394" width="13.42578125" customWidth="1"/>
    <col min="6395" max="6395" width="8.7109375" customWidth="1"/>
    <col min="6396" max="6396" width="10.7109375" customWidth="1"/>
    <col min="6397" max="6397" width="19.85546875" customWidth="1"/>
    <col min="6398" max="6399" width="4.42578125" customWidth="1"/>
    <col min="6400" max="6400" width="3.42578125" customWidth="1"/>
    <col min="6401" max="6401" width="52.85546875" customWidth="1"/>
    <col min="6402" max="6402" width="11" customWidth="1"/>
    <col min="6403" max="6403" width="11.5703125" customWidth="1"/>
    <col min="6404" max="6404" width="33.7109375" customWidth="1"/>
    <col min="6405" max="6405" width="7.7109375" customWidth="1"/>
    <col min="6633" max="6633" width="2.85546875" customWidth="1"/>
    <col min="6634" max="6634" width="4.42578125" customWidth="1"/>
    <col min="6635" max="6635" width="61" customWidth="1"/>
    <col min="6636" max="6636" width="6.7109375" customWidth="1"/>
    <col min="6637" max="6640" width="16.85546875" customWidth="1"/>
    <col min="6641" max="6641" width="13.42578125" customWidth="1"/>
    <col min="6642" max="6642" width="16.85546875" customWidth="1"/>
    <col min="6643" max="6643" width="12.28515625" customWidth="1"/>
    <col min="6644" max="6646" width="14.85546875" customWidth="1"/>
    <col min="6647" max="6647" width="10.42578125" customWidth="1"/>
    <col min="6648" max="6648" width="14.85546875" customWidth="1"/>
    <col min="6649" max="6650" width="13.42578125" customWidth="1"/>
    <col min="6651" max="6651" width="8.7109375" customWidth="1"/>
    <col min="6652" max="6652" width="10.7109375" customWidth="1"/>
    <col min="6653" max="6653" width="19.85546875" customWidth="1"/>
    <col min="6654" max="6655" width="4.42578125" customWidth="1"/>
    <col min="6656" max="6656" width="3.42578125" customWidth="1"/>
    <col min="6657" max="6657" width="52.85546875" customWidth="1"/>
    <col min="6658" max="6658" width="11" customWidth="1"/>
    <col min="6659" max="6659" width="11.5703125" customWidth="1"/>
    <col min="6660" max="6660" width="33.7109375" customWidth="1"/>
    <col min="6661" max="6661" width="7.7109375" customWidth="1"/>
    <col min="6889" max="6889" width="2.85546875" customWidth="1"/>
    <col min="6890" max="6890" width="4.42578125" customWidth="1"/>
    <col min="6891" max="6891" width="61" customWidth="1"/>
    <col min="6892" max="6892" width="6.7109375" customWidth="1"/>
    <col min="6893" max="6896" width="16.85546875" customWidth="1"/>
    <col min="6897" max="6897" width="13.42578125" customWidth="1"/>
    <col min="6898" max="6898" width="16.85546875" customWidth="1"/>
    <col min="6899" max="6899" width="12.28515625" customWidth="1"/>
    <col min="6900" max="6902" width="14.85546875" customWidth="1"/>
    <col min="6903" max="6903" width="10.42578125" customWidth="1"/>
    <col min="6904" max="6904" width="14.85546875" customWidth="1"/>
    <col min="6905" max="6906" width="13.42578125" customWidth="1"/>
    <col min="6907" max="6907" width="8.7109375" customWidth="1"/>
    <col min="6908" max="6908" width="10.7109375" customWidth="1"/>
    <col min="6909" max="6909" width="19.85546875" customWidth="1"/>
    <col min="6910" max="6911" width="4.42578125" customWidth="1"/>
    <col min="6912" max="6912" width="3.42578125" customWidth="1"/>
    <col min="6913" max="6913" width="52.85546875" customWidth="1"/>
    <col min="6914" max="6914" width="11" customWidth="1"/>
    <col min="6915" max="6915" width="11.5703125" customWidth="1"/>
    <col min="6916" max="6916" width="33.7109375" customWidth="1"/>
    <col min="6917" max="6917" width="7.7109375" customWidth="1"/>
    <col min="7145" max="7145" width="2.85546875" customWidth="1"/>
    <col min="7146" max="7146" width="4.42578125" customWidth="1"/>
    <col min="7147" max="7147" width="61" customWidth="1"/>
    <col min="7148" max="7148" width="6.7109375" customWidth="1"/>
    <col min="7149" max="7152" width="16.85546875" customWidth="1"/>
    <col min="7153" max="7153" width="13.42578125" customWidth="1"/>
    <col min="7154" max="7154" width="16.85546875" customWidth="1"/>
    <col min="7155" max="7155" width="12.28515625" customWidth="1"/>
    <col min="7156" max="7158" width="14.85546875" customWidth="1"/>
    <col min="7159" max="7159" width="10.42578125" customWidth="1"/>
    <col min="7160" max="7160" width="14.85546875" customWidth="1"/>
    <col min="7161" max="7162" width="13.42578125" customWidth="1"/>
    <col min="7163" max="7163" width="8.7109375" customWidth="1"/>
    <col min="7164" max="7164" width="10.7109375" customWidth="1"/>
    <col min="7165" max="7165" width="19.85546875" customWidth="1"/>
    <col min="7166" max="7167" width="4.42578125" customWidth="1"/>
    <col min="7168" max="7168" width="3.42578125" customWidth="1"/>
    <col min="7169" max="7169" width="52.85546875" customWidth="1"/>
    <col min="7170" max="7170" width="11" customWidth="1"/>
    <col min="7171" max="7171" width="11.5703125" customWidth="1"/>
    <col min="7172" max="7172" width="33.7109375" customWidth="1"/>
    <col min="7173" max="7173" width="7.7109375" customWidth="1"/>
    <col min="7401" max="7401" width="2.85546875" customWidth="1"/>
    <col min="7402" max="7402" width="4.42578125" customWidth="1"/>
    <col min="7403" max="7403" width="61" customWidth="1"/>
    <col min="7404" max="7404" width="6.7109375" customWidth="1"/>
    <col min="7405" max="7408" width="16.85546875" customWidth="1"/>
    <col min="7409" max="7409" width="13.42578125" customWidth="1"/>
    <col min="7410" max="7410" width="16.85546875" customWidth="1"/>
    <col min="7411" max="7411" width="12.28515625" customWidth="1"/>
    <col min="7412" max="7414" width="14.85546875" customWidth="1"/>
    <col min="7415" max="7415" width="10.42578125" customWidth="1"/>
    <col min="7416" max="7416" width="14.85546875" customWidth="1"/>
    <col min="7417" max="7418" width="13.42578125" customWidth="1"/>
    <col min="7419" max="7419" width="8.7109375" customWidth="1"/>
    <col min="7420" max="7420" width="10.7109375" customWidth="1"/>
    <col min="7421" max="7421" width="19.85546875" customWidth="1"/>
    <col min="7422" max="7423" width="4.42578125" customWidth="1"/>
    <col min="7424" max="7424" width="3.42578125" customWidth="1"/>
    <col min="7425" max="7425" width="52.85546875" customWidth="1"/>
    <col min="7426" max="7426" width="11" customWidth="1"/>
    <col min="7427" max="7427" width="11.5703125" customWidth="1"/>
    <col min="7428" max="7428" width="33.7109375" customWidth="1"/>
    <col min="7429" max="7429" width="7.7109375" customWidth="1"/>
    <col min="7657" max="7657" width="2.85546875" customWidth="1"/>
    <col min="7658" max="7658" width="4.42578125" customWidth="1"/>
    <col min="7659" max="7659" width="61" customWidth="1"/>
    <col min="7660" max="7660" width="6.7109375" customWidth="1"/>
    <col min="7661" max="7664" width="16.85546875" customWidth="1"/>
    <col min="7665" max="7665" width="13.42578125" customWidth="1"/>
    <col min="7666" max="7666" width="16.85546875" customWidth="1"/>
    <col min="7667" max="7667" width="12.28515625" customWidth="1"/>
    <col min="7668" max="7670" width="14.85546875" customWidth="1"/>
    <col min="7671" max="7671" width="10.42578125" customWidth="1"/>
    <col min="7672" max="7672" width="14.85546875" customWidth="1"/>
    <col min="7673" max="7674" width="13.42578125" customWidth="1"/>
    <col min="7675" max="7675" width="8.7109375" customWidth="1"/>
    <col min="7676" max="7676" width="10.7109375" customWidth="1"/>
    <col min="7677" max="7677" width="19.85546875" customWidth="1"/>
    <col min="7678" max="7679" width="4.42578125" customWidth="1"/>
    <col min="7680" max="7680" width="3.42578125" customWidth="1"/>
    <col min="7681" max="7681" width="52.85546875" customWidth="1"/>
    <col min="7682" max="7682" width="11" customWidth="1"/>
    <col min="7683" max="7683" width="11.5703125" customWidth="1"/>
    <col min="7684" max="7684" width="33.7109375" customWidth="1"/>
    <col min="7685" max="7685" width="7.7109375" customWidth="1"/>
    <col min="7913" max="7913" width="2.85546875" customWidth="1"/>
    <col min="7914" max="7914" width="4.42578125" customWidth="1"/>
    <col min="7915" max="7915" width="61" customWidth="1"/>
    <col min="7916" max="7916" width="6.7109375" customWidth="1"/>
    <col min="7917" max="7920" width="16.85546875" customWidth="1"/>
    <col min="7921" max="7921" width="13.42578125" customWidth="1"/>
    <col min="7922" max="7922" width="16.85546875" customWidth="1"/>
    <col min="7923" max="7923" width="12.28515625" customWidth="1"/>
    <col min="7924" max="7926" width="14.85546875" customWidth="1"/>
    <col min="7927" max="7927" width="10.42578125" customWidth="1"/>
    <col min="7928" max="7928" width="14.85546875" customWidth="1"/>
    <col min="7929" max="7930" width="13.42578125" customWidth="1"/>
    <col min="7931" max="7931" width="8.7109375" customWidth="1"/>
    <col min="7932" max="7932" width="10.7109375" customWidth="1"/>
    <col min="7933" max="7933" width="19.85546875" customWidth="1"/>
    <col min="7934" max="7935" width="4.42578125" customWidth="1"/>
    <col min="7936" max="7936" width="3.42578125" customWidth="1"/>
    <col min="7937" max="7937" width="52.85546875" customWidth="1"/>
    <col min="7938" max="7938" width="11" customWidth="1"/>
    <col min="7939" max="7939" width="11.5703125" customWidth="1"/>
    <col min="7940" max="7940" width="33.7109375" customWidth="1"/>
    <col min="7941" max="7941" width="7.7109375" customWidth="1"/>
    <col min="8169" max="8169" width="2.85546875" customWidth="1"/>
    <col min="8170" max="8170" width="4.42578125" customWidth="1"/>
    <col min="8171" max="8171" width="61" customWidth="1"/>
    <col min="8172" max="8172" width="6.7109375" customWidth="1"/>
    <col min="8173" max="8176" width="16.85546875" customWidth="1"/>
    <col min="8177" max="8177" width="13.42578125" customWidth="1"/>
    <col min="8178" max="8178" width="16.85546875" customWidth="1"/>
    <col min="8179" max="8179" width="12.28515625" customWidth="1"/>
    <col min="8180" max="8182" width="14.85546875" customWidth="1"/>
    <col min="8183" max="8183" width="10.42578125" customWidth="1"/>
    <col min="8184" max="8184" width="14.85546875" customWidth="1"/>
    <col min="8185" max="8186" width="13.42578125" customWidth="1"/>
    <col min="8187" max="8187" width="8.7109375" customWidth="1"/>
    <col min="8188" max="8188" width="10.7109375" customWidth="1"/>
    <col min="8189" max="8189" width="19.85546875" customWidth="1"/>
    <col min="8190" max="8191" width="4.42578125" customWidth="1"/>
    <col min="8192" max="8192" width="3.42578125" customWidth="1"/>
    <col min="8193" max="8193" width="52.85546875" customWidth="1"/>
    <col min="8194" max="8194" width="11" customWidth="1"/>
    <col min="8195" max="8195" width="11.5703125" customWidth="1"/>
    <col min="8196" max="8196" width="33.7109375" customWidth="1"/>
    <col min="8197" max="8197" width="7.7109375" customWidth="1"/>
    <col min="8425" max="8425" width="2.85546875" customWidth="1"/>
    <col min="8426" max="8426" width="4.42578125" customWidth="1"/>
    <col min="8427" max="8427" width="61" customWidth="1"/>
    <col min="8428" max="8428" width="6.7109375" customWidth="1"/>
    <col min="8429" max="8432" width="16.85546875" customWidth="1"/>
    <col min="8433" max="8433" width="13.42578125" customWidth="1"/>
    <col min="8434" max="8434" width="16.85546875" customWidth="1"/>
    <col min="8435" max="8435" width="12.28515625" customWidth="1"/>
    <col min="8436" max="8438" width="14.85546875" customWidth="1"/>
    <col min="8439" max="8439" width="10.42578125" customWidth="1"/>
    <col min="8440" max="8440" width="14.85546875" customWidth="1"/>
    <col min="8441" max="8442" width="13.42578125" customWidth="1"/>
    <col min="8443" max="8443" width="8.7109375" customWidth="1"/>
    <col min="8444" max="8444" width="10.7109375" customWidth="1"/>
    <col min="8445" max="8445" width="19.85546875" customWidth="1"/>
    <col min="8446" max="8447" width="4.42578125" customWidth="1"/>
    <col min="8448" max="8448" width="3.42578125" customWidth="1"/>
    <col min="8449" max="8449" width="52.85546875" customWidth="1"/>
    <col min="8450" max="8450" width="11" customWidth="1"/>
    <col min="8451" max="8451" width="11.5703125" customWidth="1"/>
    <col min="8452" max="8452" width="33.7109375" customWidth="1"/>
    <col min="8453" max="8453" width="7.7109375" customWidth="1"/>
    <col min="8681" max="8681" width="2.85546875" customWidth="1"/>
    <col min="8682" max="8682" width="4.42578125" customWidth="1"/>
    <col min="8683" max="8683" width="61" customWidth="1"/>
    <col min="8684" max="8684" width="6.7109375" customWidth="1"/>
    <col min="8685" max="8688" width="16.85546875" customWidth="1"/>
    <col min="8689" max="8689" width="13.42578125" customWidth="1"/>
    <col min="8690" max="8690" width="16.85546875" customWidth="1"/>
    <col min="8691" max="8691" width="12.28515625" customWidth="1"/>
    <col min="8692" max="8694" width="14.85546875" customWidth="1"/>
    <col min="8695" max="8695" width="10.42578125" customWidth="1"/>
    <col min="8696" max="8696" width="14.85546875" customWidth="1"/>
    <col min="8697" max="8698" width="13.42578125" customWidth="1"/>
    <col min="8699" max="8699" width="8.7109375" customWidth="1"/>
    <col min="8700" max="8700" width="10.7109375" customWidth="1"/>
    <col min="8701" max="8701" width="19.85546875" customWidth="1"/>
    <col min="8702" max="8703" width="4.42578125" customWidth="1"/>
    <col min="8704" max="8704" width="3.42578125" customWidth="1"/>
    <col min="8705" max="8705" width="52.85546875" customWidth="1"/>
    <col min="8706" max="8706" width="11" customWidth="1"/>
    <col min="8707" max="8707" width="11.5703125" customWidth="1"/>
    <col min="8708" max="8708" width="33.7109375" customWidth="1"/>
    <col min="8709" max="8709" width="7.7109375" customWidth="1"/>
    <col min="8937" max="8937" width="2.85546875" customWidth="1"/>
    <col min="8938" max="8938" width="4.42578125" customWidth="1"/>
    <col min="8939" max="8939" width="61" customWidth="1"/>
    <col min="8940" max="8940" width="6.7109375" customWidth="1"/>
    <col min="8941" max="8944" width="16.85546875" customWidth="1"/>
    <col min="8945" max="8945" width="13.42578125" customWidth="1"/>
    <col min="8946" max="8946" width="16.85546875" customWidth="1"/>
    <col min="8947" max="8947" width="12.28515625" customWidth="1"/>
    <col min="8948" max="8950" width="14.85546875" customWidth="1"/>
    <col min="8951" max="8951" width="10.42578125" customWidth="1"/>
    <col min="8952" max="8952" width="14.85546875" customWidth="1"/>
    <col min="8953" max="8954" width="13.42578125" customWidth="1"/>
    <col min="8955" max="8955" width="8.7109375" customWidth="1"/>
    <col min="8956" max="8956" width="10.7109375" customWidth="1"/>
    <col min="8957" max="8957" width="19.85546875" customWidth="1"/>
    <col min="8958" max="8959" width="4.42578125" customWidth="1"/>
    <col min="8960" max="8960" width="3.42578125" customWidth="1"/>
    <col min="8961" max="8961" width="52.85546875" customWidth="1"/>
    <col min="8962" max="8962" width="11" customWidth="1"/>
    <col min="8963" max="8963" width="11.5703125" customWidth="1"/>
    <col min="8964" max="8964" width="33.7109375" customWidth="1"/>
    <col min="8965" max="8965" width="7.7109375" customWidth="1"/>
    <col min="9193" max="9193" width="2.85546875" customWidth="1"/>
    <col min="9194" max="9194" width="4.42578125" customWidth="1"/>
    <col min="9195" max="9195" width="61" customWidth="1"/>
    <col min="9196" max="9196" width="6.7109375" customWidth="1"/>
    <col min="9197" max="9200" width="16.85546875" customWidth="1"/>
    <col min="9201" max="9201" width="13.42578125" customWidth="1"/>
    <col min="9202" max="9202" width="16.85546875" customWidth="1"/>
    <col min="9203" max="9203" width="12.28515625" customWidth="1"/>
    <col min="9204" max="9206" width="14.85546875" customWidth="1"/>
    <col min="9207" max="9207" width="10.42578125" customWidth="1"/>
    <col min="9208" max="9208" width="14.85546875" customWidth="1"/>
    <col min="9209" max="9210" width="13.42578125" customWidth="1"/>
    <col min="9211" max="9211" width="8.7109375" customWidth="1"/>
    <col min="9212" max="9212" width="10.7109375" customWidth="1"/>
    <col min="9213" max="9213" width="19.85546875" customWidth="1"/>
    <col min="9214" max="9215" width="4.42578125" customWidth="1"/>
    <col min="9216" max="9216" width="3.42578125" customWidth="1"/>
    <col min="9217" max="9217" width="52.85546875" customWidth="1"/>
    <col min="9218" max="9218" width="11" customWidth="1"/>
    <col min="9219" max="9219" width="11.5703125" customWidth="1"/>
    <col min="9220" max="9220" width="33.7109375" customWidth="1"/>
    <col min="9221" max="9221" width="7.7109375" customWidth="1"/>
    <col min="9449" max="9449" width="2.85546875" customWidth="1"/>
    <col min="9450" max="9450" width="4.42578125" customWidth="1"/>
    <col min="9451" max="9451" width="61" customWidth="1"/>
    <col min="9452" max="9452" width="6.7109375" customWidth="1"/>
    <col min="9453" max="9456" width="16.85546875" customWidth="1"/>
    <col min="9457" max="9457" width="13.42578125" customWidth="1"/>
    <col min="9458" max="9458" width="16.85546875" customWidth="1"/>
    <col min="9459" max="9459" width="12.28515625" customWidth="1"/>
    <col min="9460" max="9462" width="14.85546875" customWidth="1"/>
    <col min="9463" max="9463" width="10.42578125" customWidth="1"/>
    <col min="9464" max="9464" width="14.85546875" customWidth="1"/>
    <col min="9465" max="9466" width="13.42578125" customWidth="1"/>
    <col min="9467" max="9467" width="8.7109375" customWidth="1"/>
    <col min="9468" max="9468" width="10.7109375" customWidth="1"/>
    <col min="9469" max="9469" width="19.85546875" customWidth="1"/>
    <col min="9470" max="9471" width="4.42578125" customWidth="1"/>
    <col min="9472" max="9472" width="3.42578125" customWidth="1"/>
    <col min="9473" max="9473" width="52.85546875" customWidth="1"/>
    <col min="9474" max="9474" width="11" customWidth="1"/>
    <col min="9475" max="9475" width="11.5703125" customWidth="1"/>
    <col min="9476" max="9476" width="33.7109375" customWidth="1"/>
    <col min="9477" max="9477" width="7.7109375" customWidth="1"/>
    <col min="9705" max="9705" width="2.85546875" customWidth="1"/>
    <col min="9706" max="9706" width="4.42578125" customWidth="1"/>
    <col min="9707" max="9707" width="61" customWidth="1"/>
    <col min="9708" max="9708" width="6.7109375" customWidth="1"/>
    <col min="9709" max="9712" width="16.85546875" customWidth="1"/>
    <col min="9713" max="9713" width="13.42578125" customWidth="1"/>
    <col min="9714" max="9714" width="16.85546875" customWidth="1"/>
    <col min="9715" max="9715" width="12.28515625" customWidth="1"/>
    <col min="9716" max="9718" width="14.85546875" customWidth="1"/>
    <col min="9719" max="9719" width="10.42578125" customWidth="1"/>
    <col min="9720" max="9720" width="14.85546875" customWidth="1"/>
    <col min="9721" max="9722" width="13.42578125" customWidth="1"/>
    <col min="9723" max="9723" width="8.7109375" customWidth="1"/>
    <col min="9724" max="9724" width="10.7109375" customWidth="1"/>
    <col min="9725" max="9725" width="19.85546875" customWidth="1"/>
    <col min="9726" max="9727" width="4.42578125" customWidth="1"/>
    <col min="9728" max="9728" width="3.42578125" customWidth="1"/>
    <col min="9729" max="9729" width="52.85546875" customWidth="1"/>
    <col min="9730" max="9730" width="11" customWidth="1"/>
    <col min="9731" max="9731" width="11.5703125" customWidth="1"/>
    <col min="9732" max="9732" width="33.7109375" customWidth="1"/>
    <col min="9733" max="9733" width="7.7109375" customWidth="1"/>
    <col min="9961" max="9961" width="2.85546875" customWidth="1"/>
    <col min="9962" max="9962" width="4.42578125" customWidth="1"/>
    <col min="9963" max="9963" width="61" customWidth="1"/>
    <col min="9964" max="9964" width="6.7109375" customWidth="1"/>
    <col min="9965" max="9968" width="16.85546875" customWidth="1"/>
    <col min="9969" max="9969" width="13.42578125" customWidth="1"/>
    <col min="9970" max="9970" width="16.85546875" customWidth="1"/>
    <col min="9971" max="9971" width="12.28515625" customWidth="1"/>
    <col min="9972" max="9974" width="14.85546875" customWidth="1"/>
    <col min="9975" max="9975" width="10.42578125" customWidth="1"/>
    <col min="9976" max="9976" width="14.85546875" customWidth="1"/>
    <col min="9977" max="9978" width="13.42578125" customWidth="1"/>
    <col min="9979" max="9979" width="8.7109375" customWidth="1"/>
    <col min="9980" max="9980" width="10.7109375" customWidth="1"/>
    <col min="9981" max="9981" width="19.85546875" customWidth="1"/>
    <col min="9982" max="9983" width="4.42578125" customWidth="1"/>
    <col min="9984" max="9984" width="3.42578125" customWidth="1"/>
    <col min="9985" max="9985" width="52.85546875" customWidth="1"/>
    <col min="9986" max="9986" width="11" customWidth="1"/>
    <col min="9987" max="9987" width="11.5703125" customWidth="1"/>
    <col min="9988" max="9988" width="33.7109375" customWidth="1"/>
    <col min="9989" max="9989" width="7.7109375" customWidth="1"/>
    <col min="10217" max="10217" width="2.85546875" customWidth="1"/>
    <col min="10218" max="10218" width="4.42578125" customWidth="1"/>
    <col min="10219" max="10219" width="61" customWidth="1"/>
    <col min="10220" max="10220" width="6.7109375" customWidth="1"/>
    <col min="10221" max="10224" width="16.85546875" customWidth="1"/>
    <col min="10225" max="10225" width="13.42578125" customWidth="1"/>
    <col min="10226" max="10226" width="16.85546875" customWidth="1"/>
    <col min="10227" max="10227" width="12.28515625" customWidth="1"/>
    <col min="10228" max="10230" width="14.85546875" customWidth="1"/>
    <col min="10231" max="10231" width="10.42578125" customWidth="1"/>
    <col min="10232" max="10232" width="14.85546875" customWidth="1"/>
    <col min="10233" max="10234" width="13.42578125" customWidth="1"/>
    <col min="10235" max="10235" width="8.7109375" customWidth="1"/>
    <col min="10236" max="10236" width="10.7109375" customWidth="1"/>
    <col min="10237" max="10237" width="19.85546875" customWidth="1"/>
    <col min="10238" max="10239" width="4.42578125" customWidth="1"/>
    <col min="10240" max="10240" width="3.42578125" customWidth="1"/>
    <col min="10241" max="10241" width="52.85546875" customWidth="1"/>
    <col min="10242" max="10242" width="11" customWidth="1"/>
    <col min="10243" max="10243" width="11.5703125" customWidth="1"/>
    <col min="10244" max="10244" width="33.7109375" customWidth="1"/>
    <col min="10245" max="10245" width="7.7109375" customWidth="1"/>
    <col min="10473" max="10473" width="2.85546875" customWidth="1"/>
    <col min="10474" max="10474" width="4.42578125" customWidth="1"/>
    <col min="10475" max="10475" width="61" customWidth="1"/>
    <col min="10476" max="10476" width="6.7109375" customWidth="1"/>
    <col min="10477" max="10480" width="16.85546875" customWidth="1"/>
    <col min="10481" max="10481" width="13.42578125" customWidth="1"/>
    <col min="10482" max="10482" width="16.85546875" customWidth="1"/>
    <col min="10483" max="10483" width="12.28515625" customWidth="1"/>
    <col min="10484" max="10486" width="14.85546875" customWidth="1"/>
    <col min="10487" max="10487" width="10.42578125" customWidth="1"/>
    <col min="10488" max="10488" width="14.85546875" customWidth="1"/>
    <col min="10489" max="10490" width="13.42578125" customWidth="1"/>
    <col min="10491" max="10491" width="8.7109375" customWidth="1"/>
    <col min="10492" max="10492" width="10.7109375" customWidth="1"/>
    <col min="10493" max="10493" width="19.85546875" customWidth="1"/>
    <col min="10494" max="10495" width="4.42578125" customWidth="1"/>
    <col min="10496" max="10496" width="3.42578125" customWidth="1"/>
    <col min="10497" max="10497" width="52.85546875" customWidth="1"/>
    <col min="10498" max="10498" width="11" customWidth="1"/>
    <col min="10499" max="10499" width="11.5703125" customWidth="1"/>
    <col min="10500" max="10500" width="33.7109375" customWidth="1"/>
    <col min="10501" max="10501" width="7.7109375" customWidth="1"/>
    <col min="10729" max="10729" width="2.85546875" customWidth="1"/>
    <col min="10730" max="10730" width="4.42578125" customWidth="1"/>
    <col min="10731" max="10731" width="61" customWidth="1"/>
    <col min="10732" max="10732" width="6.7109375" customWidth="1"/>
    <col min="10733" max="10736" width="16.85546875" customWidth="1"/>
    <col min="10737" max="10737" width="13.42578125" customWidth="1"/>
    <col min="10738" max="10738" width="16.85546875" customWidth="1"/>
    <col min="10739" max="10739" width="12.28515625" customWidth="1"/>
    <col min="10740" max="10742" width="14.85546875" customWidth="1"/>
    <col min="10743" max="10743" width="10.42578125" customWidth="1"/>
    <col min="10744" max="10744" width="14.85546875" customWidth="1"/>
    <col min="10745" max="10746" width="13.42578125" customWidth="1"/>
    <col min="10747" max="10747" width="8.7109375" customWidth="1"/>
    <col min="10748" max="10748" width="10.7109375" customWidth="1"/>
    <col min="10749" max="10749" width="19.85546875" customWidth="1"/>
    <col min="10750" max="10751" width="4.42578125" customWidth="1"/>
    <col min="10752" max="10752" width="3.42578125" customWidth="1"/>
    <col min="10753" max="10753" width="52.85546875" customWidth="1"/>
    <col min="10754" max="10754" width="11" customWidth="1"/>
    <col min="10755" max="10755" width="11.5703125" customWidth="1"/>
    <col min="10756" max="10756" width="33.7109375" customWidth="1"/>
    <col min="10757" max="10757" width="7.7109375" customWidth="1"/>
    <col min="10985" max="10985" width="2.85546875" customWidth="1"/>
    <col min="10986" max="10986" width="4.42578125" customWidth="1"/>
    <col min="10987" max="10987" width="61" customWidth="1"/>
    <col min="10988" max="10988" width="6.7109375" customWidth="1"/>
    <col min="10989" max="10992" width="16.85546875" customWidth="1"/>
    <col min="10993" max="10993" width="13.42578125" customWidth="1"/>
    <col min="10994" max="10994" width="16.85546875" customWidth="1"/>
    <col min="10995" max="10995" width="12.28515625" customWidth="1"/>
    <col min="10996" max="10998" width="14.85546875" customWidth="1"/>
    <col min="10999" max="10999" width="10.42578125" customWidth="1"/>
    <col min="11000" max="11000" width="14.85546875" customWidth="1"/>
    <col min="11001" max="11002" width="13.42578125" customWidth="1"/>
    <col min="11003" max="11003" width="8.7109375" customWidth="1"/>
    <col min="11004" max="11004" width="10.7109375" customWidth="1"/>
    <col min="11005" max="11005" width="19.85546875" customWidth="1"/>
    <col min="11006" max="11007" width="4.42578125" customWidth="1"/>
    <col min="11008" max="11008" width="3.42578125" customWidth="1"/>
    <col min="11009" max="11009" width="52.85546875" customWidth="1"/>
    <col min="11010" max="11010" width="11" customWidth="1"/>
    <col min="11011" max="11011" width="11.5703125" customWidth="1"/>
    <col min="11012" max="11012" width="33.7109375" customWidth="1"/>
    <col min="11013" max="11013" width="7.7109375" customWidth="1"/>
    <col min="11241" max="11241" width="2.85546875" customWidth="1"/>
    <col min="11242" max="11242" width="4.42578125" customWidth="1"/>
    <col min="11243" max="11243" width="61" customWidth="1"/>
    <col min="11244" max="11244" width="6.7109375" customWidth="1"/>
    <col min="11245" max="11248" width="16.85546875" customWidth="1"/>
    <col min="11249" max="11249" width="13.42578125" customWidth="1"/>
    <col min="11250" max="11250" width="16.85546875" customWidth="1"/>
    <col min="11251" max="11251" width="12.28515625" customWidth="1"/>
    <col min="11252" max="11254" width="14.85546875" customWidth="1"/>
    <col min="11255" max="11255" width="10.42578125" customWidth="1"/>
    <col min="11256" max="11256" width="14.85546875" customWidth="1"/>
    <col min="11257" max="11258" width="13.42578125" customWidth="1"/>
    <col min="11259" max="11259" width="8.7109375" customWidth="1"/>
    <col min="11260" max="11260" width="10.7109375" customWidth="1"/>
    <col min="11261" max="11261" width="19.85546875" customWidth="1"/>
    <col min="11262" max="11263" width="4.42578125" customWidth="1"/>
    <col min="11264" max="11264" width="3.42578125" customWidth="1"/>
    <col min="11265" max="11265" width="52.85546875" customWidth="1"/>
    <col min="11266" max="11266" width="11" customWidth="1"/>
    <col min="11267" max="11267" width="11.5703125" customWidth="1"/>
    <col min="11268" max="11268" width="33.7109375" customWidth="1"/>
    <col min="11269" max="11269" width="7.7109375" customWidth="1"/>
    <col min="11497" max="11497" width="2.85546875" customWidth="1"/>
    <col min="11498" max="11498" width="4.42578125" customWidth="1"/>
    <col min="11499" max="11499" width="61" customWidth="1"/>
    <col min="11500" max="11500" width="6.7109375" customWidth="1"/>
    <col min="11501" max="11504" width="16.85546875" customWidth="1"/>
    <col min="11505" max="11505" width="13.42578125" customWidth="1"/>
    <col min="11506" max="11506" width="16.85546875" customWidth="1"/>
    <col min="11507" max="11507" width="12.28515625" customWidth="1"/>
    <col min="11508" max="11510" width="14.85546875" customWidth="1"/>
    <col min="11511" max="11511" width="10.42578125" customWidth="1"/>
    <col min="11512" max="11512" width="14.85546875" customWidth="1"/>
    <col min="11513" max="11514" width="13.42578125" customWidth="1"/>
    <col min="11515" max="11515" width="8.7109375" customWidth="1"/>
    <col min="11516" max="11516" width="10.7109375" customWidth="1"/>
    <col min="11517" max="11517" width="19.85546875" customWidth="1"/>
    <col min="11518" max="11519" width="4.42578125" customWidth="1"/>
    <col min="11520" max="11520" width="3.42578125" customWidth="1"/>
    <col min="11521" max="11521" width="52.85546875" customWidth="1"/>
    <col min="11522" max="11522" width="11" customWidth="1"/>
    <col min="11523" max="11523" width="11.5703125" customWidth="1"/>
    <col min="11524" max="11524" width="33.7109375" customWidth="1"/>
    <col min="11525" max="11525" width="7.7109375" customWidth="1"/>
    <col min="11753" max="11753" width="2.85546875" customWidth="1"/>
    <col min="11754" max="11754" width="4.42578125" customWidth="1"/>
    <col min="11755" max="11755" width="61" customWidth="1"/>
    <col min="11756" max="11756" width="6.7109375" customWidth="1"/>
    <col min="11757" max="11760" width="16.85546875" customWidth="1"/>
    <col min="11761" max="11761" width="13.42578125" customWidth="1"/>
    <col min="11762" max="11762" width="16.85546875" customWidth="1"/>
    <col min="11763" max="11763" width="12.28515625" customWidth="1"/>
    <col min="11764" max="11766" width="14.85546875" customWidth="1"/>
    <col min="11767" max="11767" width="10.42578125" customWidth="1"/>
    <col min="11768" max="11768" width="14.85546875" customWidth="1"/>
    <col min="11769" max="11770" width="13.42578125" customWidth="1"/>
    <col min="11771" max="11771" width="8.7109375" customWidth="1"/>
    <col min="11772" max="11772" width="10.7109375" customWidth="1"/>
    <col min="11773" max="11773" width="19.85546875" customWidth="1"/>
    <col min="11774" max="11775" width="4.42578125" customWidth="1"/>
    <col min="11776" max="11776" width="3.42578125" customWidth="1"/>
    <col min="11777" max="11777" width="52.85546875" customWidth="1"/>
    <col min="11778" max="11778" width="11" customWidth="1"/>
    <col min="11779" max="11779" width="11.5703125" customWidth="1"/>
    <col min="11780" max="11780" width="33.7109375" customWidth="1"/>
    <col min="11781" max="11781" width="7.7109375" customWidth="1"/>
    <col min="12009" max="12009" width="2.85546875" customWidth="1"/>
    <col min="12010" max="12010" width="4.42578125" customWidth="1"/>
    <col min="12011" max="12011" width="61" customWidth="1"/>
    <col min="12012" max="12012" width="6.7109375" customWidth="1"/>
    <col min="12013" max="12016" width="16.85546875" customWidth="1"/>
    <col min="12017" max="12017" width="13.42578125" customWidth="1"/>
    <col min="12018" max="12018" width="16.85546875" customWidth="1"/>
    <col min="12019" max="12019" width="12.28515625" customWidth="1"/>
    <col min="12020" max="12022" width="14.85546875" customWidth="1"/>
    <col min="12023" max="12023" width="10.42578125" customWidth="1"/>
    <col min="12024" max="12024" width="14.85546875" customWidth="1"/>
    <col min="12025" max="12026" width="13.42578125" customWidth="1"/>
    <col min="12027" max="12027" width="8.7109375" customWidth="1"/>
    <col min="12028" max="12028" width="10.7109375" customWidth="1"/>
    <col min="12029" max="12029" width="19.85546875" customWidth="1"/>
    <col min="12030" max="12031" width="4.42578125" customWidth="1"/>
    <col min="12032" max="12032" width="3.42578125" customWidth="1"/>
    <col min="12033" max="12033" width="52.85546875" customWidth="1"/>
    <col min="12034" max="12034" width="11" customWidth="1"/>
    <col min="12035" max="12035" width="11.5703125" customWidth="1"/>
    <col min="12036" max="12036" width="33.7109375" customWidth="1"/>
    <col min="12037" max="12037" width="7.7109375" customWidth="1"/>
    <col min="12265" max="12265" width="2.85546875" customWidth="1"/>
    <col min="12266" max="12266" width="4.42578125" customWidth="1"/>
    <col min="12267" max="12267" width="61" customWidth="1"/>
    <col min="12268" max="12268" width="6.7109375" customWidth="1"/>
    <col min="12269" max="12272" width="16.85546875" customWidth="1"/>
    <col min="12273" max="12273" width="13.42578125" customWidth="1"/>
    <col min="12274" max="12274" width="16.85546875" customWidth="1"/>
    <col min="12275" max="12275" width="12.28515625" customWidth="1"/>
    <col min="12276" max="12278" width="14.85546875" customWidth="1"/>
    <col min="12279" max="12279" width="10.42578125" customWidth="1"/>
    <col min="12280" max="12280" width="14.85546875" customWidth="1"/>
    <col min="12281" max="12282" width="13.42578125" customWidth="1"/>
    <col min="12283" max="12283" width="8.7109375" customWidth="1"/>
    <col min="12284" max="12284" width="10.7109375" customWidth="1"/>
    <col min="12285" max="12285" width="19.85546875" customWidth="1"/>
    <col min="12286" max="12287" width="4.42578125" customWidth="1"/>
    <col min="12288" max="12288" width="3.42578125" customWidth="1"/>
    <col min="12289" max="12289" width="52.85546875" customWidth="1"/>
    <col min="12290" max="12290" width="11" customWidth="1"/>
    <col min="12291" max="12291" width="11.5703125" customWidth="1"/>
    <col min="12292" max="12292" width="33.7109375" customWidth="1"/>
    <col min="12293" max="12293" width="7.7109375" customWidth="1"/>
    <col min="12521" max="12521" width="2.85546875" customWidth="1"/>
    <col min="12522" max="12522" width="4.42578125" customWidth="1"/>
    <col min="12523" max="12523" width="61" customWidth="1"/>
    <col min="12524" max="12524" width="6.7109375" customWidth="1"/>
    <col min="12525" max="12528" width="16.85546875" customWidth="1"/>
    <col min="12529" max="12529" width="13.42578125" customWidth="1"/>
    <col min="12530" max="12530" width="16.85546875" customWidth="1"/>
    <col min="12531" max="12531" width="12.28515625" customWidth="1"/>
    <col min="12532" max="12534" width="14.85546875" customWidth="1"/>
    <col min="12535" max="12535" width="10.42578125" customWidth="1"/>
    <col min="12536" max="12536" width="14.85546875" customWidth="1"/>
    <col min="12537" max="12538" width="13.42578125" customWidth="1"/>
    <col min="12539" max="12539" width="8.7109375" customWidth="1"/>
    <col min="12540" max="12540" width="10.7109375" customWidth="1"/>
    <col min="12541" max="12541" width="19.85546875" customWidth="1"/>
    <col min="12542" max="12543" width="4.42578125" customWidth="1"/>
    <col min="12544" max="12544" width="3.42578125" customWidth="1"/>
    <col min="12545" max="12545" width="52.85546875" customWidth="1"/>
    <col min="12546" max="12546" width="11" customWidth="1"/>
    <col min="12547" max="12547" width="11.5703125" customWidth="1"/>
    <col min="12548" max="12548" width="33.7109375" customWidth="1"/>
    <col min="12549" max="12549" width="7.7109375" customWidth="1"/>
    <col min="12777" max="12777" width="2.85546875" customWidth="1"/>
    <col min="12778" max="12778" width="4.42578125" customWidth="1"/>
    <col min="12779" max="12779" width="61" customWidth="1"/>
    <col min="12780" max="12780" width="6.7109375" customWidth="1"/>
    <col min="12781" max="12784" width="16.85546875" customWidth="1"/>
    <col min="12785" max="12785" width="13.42578125" customWidth="1"/>
    <col min="12786" max="12786" width="16.85546875" customWidth="1"/>
    <col min="12787" max="12787" width="12.28515625" customWidth="1"/>
    <col min="12788" max="12790" width="14.85546875" customWidth="1"/>
    <col min="12791" max="12791" width="10.42578125" customWidth="1"/>
    <col min="12792" max="12792" width="14.85546875" customWidth="1"/>
    <col min="12793" max="12794" width="13.42578125" customWidth="1"/>
    <col min="12795" max="12795" width="8.7109375" customWidth="1"/>
    <col min="12796" max="12796" width="10.7109375" customWidth="1"/>
    <col min="12797" max="12797" width="19.85546875" customWidth="1"/>
    <col min="12798" max="12799" width="4.42578125" customWidth="1"/>
    <col min="12800" max="12800" width="3.42578125" customWidth="1"/>
    <col min="12801" max="12801" width="52.85546875" customWidth="1"/>
    <col min="12802" max="12802" width="11" customWidth="1"/>
    <col min="12803" max="12803" width="11.5703125" customWidth="1"/>
    <col min="12804" max="12804" width="33.7109375" customWidth="1"/>
    <col min="12805" max="12805" width="7.7109375" customWidth="1"/>
    <col min="13033" max="13033" width="2.85546875" customWidth="1"/>
    <col min="13034" max="13034" width="4.42578125" customWidth="1"/>
    <col min="13035" max="13035" width="61" customWidth="1"/>
    <col min="13036" max="13036" width="6.7109375" customWidth="1"/>
    <col min="13037" max="13040" width="16.85546875" customWidth="1"/>
    <col min="13041" max="13041" width="13.42578125" customWidth="1"/>
    <col min="13042" max="13042" width="16.85546875" customWidth="1"/>
    <col min="13043" max="13043" width="12.28515625" customWidth="1"/>
    <col min="13044" max="13046" width="14.85546875" customWidth="1"/>
    <col min="13047" max="13047" width="10.42578125" customWidth="1"/>
    <col min="13048" max="13048" width="14.85546875" customWidth="1"/>
    <col min="13049" max="13050" width="13.42578125" customWidth="1"/>
    <col min="13051" max="13051" width="8.7109375" customWidth="1"/>
    <col min="13052" max="13052" width="10.7109375" customWidth="1"/>
    <col min="13053" max="13053" width="19.85546875" customWidth="1"/>
    <col min="13054" max="13055" width="4.42578125" customWidth="1"/>
    <col min="13056" max="13056" width="3.42578125" customWidth="1"/>
    <col min="13057" max="13057" width="52.85546875" customWidth="1"/>
    <col min="13058" max="13058" width="11" customWidth="1"/>
    <col min="13059" max="13059" width="11.5703125" customWidth="1"/>
    <col min="13060" max="13060" width="33.7109375" customWidth="1"/>
    <col min="13061" max="13061" width="7.7109375" customWidth="1"/>
    <col min="13289" max="13289" width="2.85546875" customWidth="1"/>
    <col min="13290" max="13290" width="4.42578125" customWidth="1"/>
    <col min="13291" max="13291" width="61" customWidth="1"/>
    <col min="13292" max="13292" width="6.7109375" customWidth="1"/>
    <col min="13293" max="13296" width="16.85546875" customWidth="1"/>
    <col min="13297" max="13297" width="13.42578125" customWidth="1"/>
    <col min="13298" max="13298" width="16.85546875" customWidth="1"/>
    <col min="13299" max="13299" width="12.28515625" customWidth="1"/>
    <col min="13300" max="13302" width="14.85546875" customWidth="1"/>
    <col min="13303" max="13303" width="10.42578125" customWidth="1"/>
    <col min="13304" max="13304" width="14.85546875" customWidth="1"/>
    <col min="13305" max="13306" width="13.42578125" customWidth="1"/>
    <col min="13307" max="13307" width="8.7109375" customWidth="1"/>
    <col min="13308" max="13308" width="10.7109375" customWidth="1"/>
    <col min="13309" max="13309" width="19.85546875" customWidth="1"/>
    <col min="13310" max="13311" width="4.42578125" customWidth="1"/>
    <col min="13312" max="13312" width="3.42578125" customWidth="1"/>
    <col min="13313" max="13313" width="52.85546875" customWidth="1"/>
    <col min="13314" max="13314" width="11" customWidth="1"/>
    <col min="13315" max="13315" width="11.5703125" customWidth="1"/>
    <col min="13316" max="13316" width="33.7109375" customWidth="1"/>
    <col min="13317" max="13317" width="7.7109375" customWidth="1"/>
    <col min="13545" max="13545" width="2.85546875" customWidth="1"/>
    <col min="13546" max="13546" width="4.42578125" customWidth="1"/>
    <col min="13547" max="13547" width="61" customWidth="1"/>
    <col min="13548" max="13548" width="6.7109375" customWidth="1"/>
    <col min="13549" max="13552" width="16.85546875" customWidth="1"/>
    <col min="13553" max="13553" width="13.42578125" customWidth="1"/>
    <col min="13554" max="13554" width="16.85546875" customWidth="1"/>
    <col min="13555" max="13555" width="12.28515625" customWidth="1"/>
    <col min="13556" max="13558" width="14.85546875" customWidth="1"/>
    <col min="13559" max="13559" width="10.42578125" customWidth="1"/>
    <col min="13560" max="13560" width="14.85546875" customWidth="1"/>
    <col min="13561" max="13562" width="13.42578125" customWidth="1"/>
    <col min="13563" max="13563" width="8.7109375" customWidth="1"/>
    <col min="13564" max="13564" width="10.7109375" customWidth="1"/>
    <col min="13565" max="13565" width="19.85546875" customWidth="1"/>
    <col min="13566" max="13567" width="4.42578125" customWidth="1"/>
    <col min="13568" max="13568" width="3.42578125" customWidth="1"/>
    <col min="13569" max="13569" width="52.85546875" customWidth="1"/>
    <col min="13570" max="13570" width="11" customWidth="1"/>
    <col min="13571" max="13571" width="11.5703125" customWidth="1"/>
    <col min="13572" max="13572" width="33.7109375" customWidth="1"/>
    <col min="13573" max="13573" width="7.7109375" customWidth="1"/>
    <col min="13801" max="13801" width="2.85546875" customWidth="1"/>
    <col min="13802" max="13802" width="4.42578125" customWidth="1"/>
    <col min="13803" max="13803" width="61" customWidth="1"/>
    <col min="13804" max="13804" width="6.7109375" customWidth="1"/>
    <col min="13805" max="13808" width="16.85546875" customWidth="1"/>
    <col min="13809" max="13809" width="13.42578125" customWidth="1"/>
    <col min="13810" max="13810" width="16.85546875" customWidth="1"/>
    <col min="13811" max="13811" width="12.28515625" customWidth="1"/>
    <col min="13812" max="13814" width="14.85546875" customWidth="1"/>
    <col min="13815" max="13815" width="10.42578125" customWidth="1"/>
    <col min="13816" max="13816" width="14.85546875" customWidth="1"/>
    <col min="13817" max="13818" width="13.42578125" customWidth="1"/>
    <col min="13819" max="13819" width="8.7109375" customWidth="1"/>
    <col min="13820" max="13820" width="10.7109375" customWidth="1"/>
    <col min="13821" max="13821" width="19.85546875" customWidth="1"/>
    <col min="13822" max="13823" width="4.42578125" customWidth="1"/>
    <col min="13824" max="13824" width="3.42578125" customWidth="1"/>
    <col min="13825" max="13825" width="52.85546875" customWidth="1"/>
    <col min="13826" max="13826" width="11" customWidth="1"/>
    <col min="13827" max="13827" width="11.5703125" customWidth="1"/>
    <col min="13828" max="13828" width="33.7109375" customWidth="1"/>
    <col min="13829" max="13829" width="7.7109375" customWidth="1"/>
    <col min="14057" max="14057" width="2.85546875" customWidth="1"/>
    <col min="14058" max="14058" width="4.42578125" customWidth="1"/>
    <col min="14059" max="14059" width="61" customWidth="1"/>
    <col min="14060" max="14060" width="6.7109375" customWidth="1"/>
    <col min="14061" max="14064" width="16.85546875" customWidth="1"/>
    <col min="14065" max="14065" width="13.42578125" customWidth="1"/>
    <col min="14066" max="14066" width="16.85546875" customWidth="1"/>
    <col min="14067" max="14067" width="12.28515625" customWidth="1"/>
    <col min="14068" max="14070" width="14.85546875" customWidth="1"/>
    <col min="14071" max="14071" width="10.42578125" customWidth="1"/>
    <col min="14072" max="14072" width="14.85546875" customWidth="1"/>
    <col min="14073" max="14074" width="13.42578125" customWidth="1"/>
    <col min="14075" max="14075" width="8.7109375" customWidth="1"/>
    <col min="14076" max="14076" width="10.7109375" customWidth="1"/>
    <col min="14077" max="14077" width="19.85546875" customWidth="1"/>
    <col min="14078" max="14079" width="4.42578125" customWidth="1"/>
    <col min="14080" max="14080" width="3.42578125" customWidth="1"/>
    <col min="14081" max="14081" width="52.85546875" customWidth="1"/>
    <col min="14082" max="14082" width="11" customWidth="1"/>
    <col min="14083" max="14083" width="11.5703125" customWidth="1"/>
    <col min="14084" max="14084" width="33.7109375" customWidth="1"/>
    <col min="14085" max="14085" width="7.7109375" customWidth="1"/>
    <col min="14313" max="14313" width="2.85546875" customWidth="1"/>
    <col min="14314" max="14314" width="4.42578125" customWidth="1"/>
    <col min="14315" max="14315" width="61" customWidth="1"/>
    <col min="14316" max="14316" width="6.7109375" customWidth="1"/>
    <col min="14317" max="14320" width="16.85546875" customWidth="1"/>
    <col min="14321" max="14321" width="13.42578125" customWidth="1"/>
    <col min="14322" max="14322" width="16.85546875" customWidth="1"/>
    <col min="14323" max="14323" width="12.28515625" customWidth="1"/>
    <col min="14324" max="14326" width="14.85546875" customWidth="1"/>
    <col min="14327" max="14327" width="10.42578125" customWidth="1"/>
    <col min="14328" max="14328" width="14.85546875" customWidth="1"/>
    <col min="14329" max="14330" width="13.42578125" customWidth="1"/>
    <col min="14331" max="14331" width="8.7109375" customWidth="1"/>
    <col min="14332" max="14332" width="10.7109375" customWidth="1"/>
    <col min="14333" max="14333" width="19.85546875" customWidth="1"/>
    <col min="14334" max="14335" width="4.42578125" customWidth="1"/>
    <col min="14336" max="14336" width="3.42578125" customWidth="1"/>
    <col min="14337" max="14337" width="52.85546875" customWidth="1"/>
    <col min="14338" max="14338" width="11" customWidth="1"/>
    <col min="14339" max="14339" width="11.5703125" customWidth="1"/>
    <col min="14340" max="14340" width="33.7109375" customWidth="1"/>
    <col min="14341" max="14341" width="7.7109375" customWidth="1"/>
    <col min="14569" max="14569" width="2.85546875" customWidth="1"/>
    <col min="14570" max="14570" width="4.42578125" customWidth="1"/>
    <col min="14571" max="14571" width="61" customWidth="1"/>
    <col min="14572" max="14572" width="6.7109375" customWidth="1"/>
    <col min="14573" max="14576" width="16.85546875" customWidth="1"/>
    <col min="14577" max="14577" width="13.42578125" customWidth="1"/>
    <col min="14578" max="14578" width="16.85546875" customWidth="1"/>
    <col min="14579" max="14579" width="12.28515625" customWidth="1"/>
    <col min="14580" max="14582" width="14.85546875" customWidth="1"/>
    <col min="14583" max="14583" width="10.42578125" customWidth="1"/>
    <col min="14584" max="14584" width="14.85546875" customWidth="1"/>
    <col min="14585" max="14586" width="13.42578125" customWidth="1"/>
    <col min="14587" max="14587" width="8.7109375" customWidth="1"/>
    <col min="14588" max="14588" width="10.7109375" customWidth="1"/>
    <col min="14589" max="14589" width="19.85546875" customWidth="1"/>
    <col min="14590" max="14591" width="4.42578125" customWidth="1"/>
    <col min="14592" max="14592" width="3.42578125" customWidth="1"/>
    <col min="14593" max="14593" width="52.85546875" customWidth="1"/>
    <col min="14594" max="14594" width="11" customWidth="1"/>
    <col min="14595" max="14595" width="11.5703125" customWidth="1"/>
    <col min="14596" max="14596" width="33.7109375" customWidth="1"/>
    <col min="14597" max="14597" width="7.7109375" customWidth="1"/>
    <col min="14825" max="14825" width="2.85546875" customWidth="1"/>
    <col min="14826" max="14826" width="4.42578125" customWidth="1"/>
    <col min="14827" max="14827" width="61" customWidth="1"/>
    <col min="14828" max="14828" width="6.7109375" customWidth="1"/>
    <col min="14829" max="14832" width="16.85546875" customWidth="1"/>
    <col min="14833" max="14833" width="13.42578125" customWidth="1"/>
    <col min="14834" max="14834" width="16.85546875" customWidth="1"/>
    <col min="14835" max="14835" width="12.28515625" customWidth="1"/>
    <col min="14836" max="14838" width="14.85546875" customWidth="1"/>
    <col min="14839" max="14839" width="10.42578125" customWidth="1"/>
    <col min="14840" max="14840" width="14.85546875" customWidth="1"/>
    <col min="14841" max="14842" width="13.42578125" customWidth="1"/>
    <col min="14843" max="14843" width="8.7109375" customWidth="1"/>
    <col min="14844" max="14844" width="10.7109375" customWidth="1"/>
    <col min="14845" max="14845" width="19.85546875" customWidth="1"/>
    <col min="14846" max="14847" width="4.42578125" customWidth="1"/>
    <col min="14848" max="14848" width="3.42578125" customWidth="1"/>
    <col min="14849" max="14849" width="52.85546875" customWidth="1"/>
    <col min="14850" max="14850" width="11" customWidth="1"/>
    <col min="14851" max="14851" width="11.5703125" customWidth="1"/>
    <col min="14852" max="14852" width="33.7109375" customWidth="1"/>
    <col min="14853" max="14853" width="7.7109375" customWidth="1"/>
    <col min="15081" max="15081" width="2.85546875" customWidth="1"/>
    <col min="15082" max="15082" width="4.42578125" customWidth="1"/>
    <col min="15083" max="15083" width="61" customWidth="1"/>
    <col min="15084" max="15084" width="6.7109375" customWidth="1"/>
    <col min="15085" max="15088" width="16.85546875" customWidth="1"/>
    <col min="15089" max="15089" width="13.42578125" customWidth="1"/>
    <col min="15090" max="15090" width="16.85546875" customWidth="1"/>
    <col min="15091" max="15091" width="12.28515625" customWidth="1"/>
    <col min="15092" max="15094" width="14.85546875" customWidth="1"/>
    <col min="15095" max="15095" width="10.42578125" customWidth="1"/>
    <col min="15096" max="15096" width="14.85546875" customWidth="1"/>
    <col min="15097" max="15098" width="13.42578125" customWidth="1"/>
    <col min="15099" max="15099" width="8.7109375" customWidth="1"/>
    <col min="15100" max="15100" width="10.7109375" customWidth="1"/>
    <col min="15101" max="15101" width="19.85546875" customWidth="1"/>
    <col min="15102" max="15103" width="4.42578125" customWidth="1"/>
    <col min="15104" max="15104" width="3.42578125" customWidth="1"/>
    <col min="15105" max="15105" width="52.85546875" customWidth="1"/>
    <col min="15106" max="15106" width="11" customWidth="1"/>
    <col min="15107" max="15107" width="11.5703125" customWidth="1"/>
    <col min="15108" max="15108" width="33.7109375" customWidth="1"/>
    <col min="15109" max="15109" width="7.7109375" customWidth="1"/>
    <col min="15337" max="15337" width="2.85546875" customWidth="1"/>
    <col min="15338" max="15338" width="4.42578125" customWidth="1"/>
    <col min="15339" max="15339" width="61" customWidth="1"/>
    <col min="15340" max="15340" width="6.7109375" customWidth="1"/>
    <col min="15341" max="15344" width="16.85546875" customWidth="1"/>
    <col min="15345" max="15345" width="13.42578125" customWidth="1"/>
    <col min="15346" max="15346" width="16.85546875" customWidth="1"/>
    <col min="15347" max="15347" width="12.28515625" customWidth="1"/>
    <col min="15348" max="15350" width="14.85546875" customWidth="1"/>
    <col min="15351" max="15351" width="10.42578125" customWidth="1"/>
    <col min="15352" max="15352" width="14.85546875" customWidth="1"/>
    <col min="15353" max="15354" width="13.42578125" customWidth="1"/>
    <col min="15355" max="15355" width="8.7109375" customWidth="1"/>
    <col min="15356" max="15356" width="10.7109375" customWidth="1"/>
    <col min="15357" max="15357" width="19.85546875" customWidth="1"/>
    <col min="15358" max="15359" width="4.42578125" customWidth="1"/>
    <col min="15360" max="15360" width="3.42578125" customWidth="1"/>
    <col min="15361" max="15361" width="52.85546875" customWidth="1"/>
    <col min="15362" max="15362" width="11" customWidth="1"/>
    <col min="15363" max="15363" width="11.5703125" customWidth="1"/>
    <col min="15364" max="15364" width="33.7109375" customWidth="1"/>
    <col min="15365" max="15365" width="7.7109375" customWidth="1"/>
    <col min="15593" max="15593" width="2.85546875" customWidth="1"/>
    <col min="15594" max="15594" width="4.42578125" customWidth="1"/>
    <col min="15595" max="15595" width="61" customWidth="1"/>
    <col min="15596" max="15596" width="6.7109375" customWidth="1"/>
    <col min="15597" max="15600" width="16.85546875" customWidth="1"/>
    <col min="15601" max="15601" width="13.42578125" customWidth="1"/>
    <col min="15602" max="15602" width="16.85546875" customWidth="1"/>
    <col min="15603" max="15603" width="12.28515625" customWidth="1"/>
    <col min="15604" max="15606" width="14.85546875" customWidth="1"/>
    <col min="15607" max="15607" width="10.42578125" customWidth="1"/>
    <col min="15608" max="15608" width="14.85546875" customWidth="1"/>
    <col min="15609" max="15610" width="13.42578125" customWidth="1"/>
    <col min="15611" max="15611" width="8.7109375" customWidth="1"/>
    <col min="15612" max="15612" width="10.7109375" customWidth="1"/>
    <col min="15613" max="15613" width="19.85546875" customWidth="1"/>
    <col min="15614" max="15615" width="4.42578125" customWidth="1"/>
    <col min="15616" max="15616" width="3.42578125" customWidth="1"/>
    <col min="15617" max="15617" width="52.85546875" customWidth="1"/>
    <col min="15618" max="15618" width="11" customWidth="1"/>
    <col min="15619" max="15619" width="11.5703125" customWidth="1"/>
    <col min="15620" max="15620" width="33.7109375" customWidth="1"/>
    <col min="15621" max="15621" width="7.7109375" customWidth="1"/>
    <col min="15849" max="15849" width="2.85546875" customWidth="1"/>
    <col min="15850" max="15850" width="4.42578125" customWidth="1"/>
    <col min="15851" max="15851" width="61" customWidth="1"/>
    <col min="15852" max="15852" width="6.7109375" customWidth="1"/>
    <col min="15853" max="15856" width="16.85546875" customWidth="1"/>
    <col min="15857" max="15857" width="13.42578125" customWidth="1"/>
    <col min="15858" max="15858" width="16.85546875" customWidth="1"/>
    <col min="15859" max="15859" width="12.28515625" customWidth="1"/>
    <col min="15860" max="15862" width="14.85546875" customWidth="1"/>
    <col min="15863" max="15863" width="10.42578125" customWidth="1"/>
    <col min="15864" max="15864" width="14.85546875" customWidth="1"/>
    <col min="15865" max="15866" width="13.42578125" customWidth="1"/>
    <col min="15867" max="15867" width="8.7109375" customWidth="1"/>
    <col min="15868" max="15868" width="10.7109375" customWidth="1"/>
    <col min="15869" max="15869" width="19.85546875" customWidth="1"/>
    <col min="15870" max="15871" width="4.42578125" customWidth="1"/>
    <col min="15872" max="15872" width="3.42578125" customWidth="1"/>
    <col min="15873" max="15873" width="52.85546875" customWidth="1"/>
    <col min="15874" max="15874" width="11" customWidth="1"/>
    <col min="15875" max="15875" width="11.5703125" customWidth="1"/>
    <col min="15876" max="15876" width="33.7109375" customWidth="1"/>
    <col min="15877" max="15877" width="7.7109375" customWidth="1"/>
    <col min="16105" max="16105" width="2.85546875" customWidth="1"/>
    <col min="16106" max="16106" width="4.42578125" customWidth="1"/>
    <col min="16107" max="16107" width="61" customWidth="1"/>
    <col min="16108" max="16108" width="6.7109375" customWidth="1"/>
    <col min="16109" max="16112" width="16.85546875" customWidth="1"/>
    <col min="16113" max="16113" width="13.42578125" customWidth="1"/>
    <col min="16114" max="16114" width="16.85546875" customWidth="1"/>
    <col min="16115" max="16115" width="12.28515625" customWidth="1"/>
    <col min="16116" max="16118" width="14.85546875" customWidth="1"/>
    <col min="16119" max="16119" width="10.42578125" customWidth="1"/>
    <col min="16120" max="16120" width="14.85546875" customWidth="1"/>
    <col min="16121" max="16122" width="13.42578125" customWidth="1"/>
    <col min="16123" max="16123" width="8.7109375" customWidth="1"/>
    <col min="16124" max="16124" width="10.7109375" customWidth="1"/>
    <col min="16125" max="16125" width="19.85546875" customWidth="1"/>
    <col min="16126" max="16127" width="4.42578125" customWidth="1"/>
    <col min="16128" max="16128" width="3.42578125" customWidth="1"/>
    <col min="16129" max="16129" width="52.85546875" customWidth="1"/>
    <col min="16130" max="16130" width="11" customWidth="1"/>
    <col min="16131" max="16131" width="11.5703125" customWidth="1"/>
    <col min="16132" max="16132" width="33.7109375" customWidth="1"/>
    <col min="16133" max="16133" width="7.7109375" customWidth="1"/>
  </cols>
  <sheetData>
    <row r="1" spans="1:12" ht="33" x14ac:dyDescent="0.45">
      <c r="A1" s="1"/>
      <c r="B1" s="140" t="s">
        <v>0</v>
      </c>
      <c r="C1" s="141"/>
      <c r="D1" s="141"/>
      <c r="E1" s="141"/>
      <c r="F1" s="141"/>
      <c r="G1" s="141"/>
      <c r="H1" s="141"/>
      <c r="I1" s="141"/>
      <c r="J1" s="141"/>
      <c r="K1" s="142"/>
      <c r="L1" s="142"/>
    </row>
    <row r="2" spans="1:12" ht="25.5" x14ac:dyDescent="0.35">
      <c r="A2" s="1"/>
      <c r="B2" s="143" t="s">
        <v>1</v>
      </c>
      <c r="C2" s="144"/>
      <c r="D2" s="144"/>
      <c r="E2" s="144"/>
      <c r="F2" s="144"/>
      <c r="G2" s="144"/>
      <c r="H2" s="144"/>
      <c r="I2" s="144"/>
      <c r="J2" s="144"/>
      <c r="K2" s="142"/>
      <c r="L2" s="142"/>
    </row>
    <row r="3" spans="1:12" ht="23.25" x14ac:dyDescent="0.35">
      <c r="A3" s="1"/>
      <c r="B3" s="145" t="s">
        <v>2</v>
      </c>
      <c r="C3" s="146"/>
      <c r="D3" s="146"/>
      <c r="E3" s="146"/>
      <c r="F3" s="146"/>
      <c r="G3" s="146"/>
      <c r="H3" s="146"/>
      <c r="I3" s="146"/>
      <c r="J3" s="146"/>
      <c r="K3" s="147"/>
      <c r="L3" s="147"/>
    </row>
    <row r="4" spans="1:12" ht="23.25" x14ac:dyDescent="0.35">
      <c r="A4" s="1"/>
      <c r="B4" s="145" t="s">
        <v>3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</row>
    <row r="5" spans="1:12" ht="23.25" x14ac:dyDescent="0.35">
      <c r="A5" s="1"/>
      <c r="B5" s="148" t="s">
        <v>4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</row>
    <row r="6" spans="1:12" ht="19.5" thickBot="1" x14ac:dyDescent="0.35">
      <c r="A6" s="1"/>
      <c r="B6" s="2"/>
      <c r="C6" s="3"/>
      <c r="D6" s="4"/>
      <c r="E6" s="5"/>
      <c r="F6" s="5"/>
      <c r="G6" s="6"/>
      <c r="H6" s="6"/>
      <c r="I6" s="6"/>
      <c r="J6" s="2"/>
      <c r="K6" s="7"/>
      <c r="L6" s="7" t="s">
        <v>5</v>
      </c>
    </row>
    <row r="7" spans="1:12" ht="18.75" customHeight="1" thickBot="1" x14ac:dyDescent="0.3">
      <c r="A7" s="1"/>
      <c r="B7" s="165" t="s">
        <v>6</v>
      </c>
      <c r="C7" s="169" t="s">
        <v>7</v>
      </c>
      <c r="D7" s="172" t="s">
        <v>8</v>
      </c>
      <c r="E7" s="176">
        <v>2015</v>
      </c>
      <c r="F7" s="177"/>
      <c r="G7" s="177"/>
      <c r="H7" s="177"/>
      <c r="I7" s="177"/>
      <c r="J7" s="178"/>
      <c r="K7" s="149" t="s">
        <v>9</v>
      </c>
      <c r="L7" s="179"/>
    </row>
    <row r="8" spans="1:12" ht="15.75" customHeight="1" thickBot="1" x14ac:dyDescent="0.3">
      <c r="A8" s="1"/>
      <c r="B8" s="166"/>
      <c r="C8" s="170"/>
      <c r="D8" s="173"/>
      <c r="E8" s="149" t="s">
        <v>10</v>
      </c>
      <c r="F8" s="150"/>
      <c r="G8" s="150"/>
      <c r="H8" s="150"/>
      <c r="I8" s="150"/>
      <c r="J8" s="151" t="s">
        <v>11</v>
      </c>
      <c r="K8" s="180"/>
      <c r="L8" s="181"/>
    </row>
    <row r="9" spans="1:12" ht="15.75" customHeight="1" x14ac:dyDescent="0.25">
      <c r="A9" s="1"/>
      <c r="B9" s="167"/>
      <c r="C9" s="170"/>
      <c r="D9" s="174"/>
      <c r="E9" s="154" t="s">
        <v>12</v>
      </c>
      <c r="F9" s="156" t="s">
        <v>13</v>
      </c>
      <c r="G9" s="158" t="s">
        <v>14</v>
      </c>
      <c r="H9" s="160" t="s">
        <v>15</v>
      </c>
      <c r="I9" s="161"/>
      <c r="J9" s="152"/>
      <c r="K9" s="182" t="s">
        <v>16</v>
      </c>
      <c r="L9" s="184" t="s">
        <v>17</v>
      </c>
    </row>
    <row r="10" spans="1:12" ht="67.5" customHeight="1" thickBot="1" x14ac:dyDescent="0.3">
      <c r="A10" s="1"/>
      <c r="B10" s="168"/>
      <c r="C10" s="171"/>
      <c r="D10" s="175"/>
      <c r="E10" s="155"/>
      <c r="F10" s="157"/>
      <c r="G10" s="159"/>
      <c r="H10" s="8" t="s">
        <v>18</v>
      </c>
      <c r="I10" s="9" t="s">
        <v>19</v>
      </c>
      <c r="J10" s="153"/>
      <c r="K10" s="183"/>
      <c r="L10" s="185"/>
    </row>
    <row r="11" spans="1:12" ht="15.75" thickBot="1" x14ac:dyDescent="0.3">
      <c r="A11" s="1"/>
      <c r="B11" s="10">
        <v>1</v>
      </c>
      <c r="C11" s="11">
        <v>2</v>
      </c>
      <c r="D11" s="12">
        <v>3</v>
      </c>
      <c r="E11" s="13">
        <v>4</v>
      </c>
      <c r="F11" s="14">
        <v>5</v>
      </c>
      <c r="G11" s="14">
        <v>6</v>
      </c>
      <c r="H11" s="14">
        <v>7</v>
      </c>
      <c r="I11" s="14">
        <v>8</v>
      </c>
      <c r="J11" s="16">
        <v>18</v>
      </c>
      <c r="K11" s="13">
        <v>19</v>
      </c>
      <c r="L11" s="15">
        <v>20</v>
      </c>
    </row>
    <row r="12" spans="1:12" ht="20.25" x14ac:dyDescent="0.25">
      <c r="A12" s="1"/>
      <c r="B12" s="17"/>
      <c r="C12" s="18" t="s">
        <v>20</v>
      </c>
      <c r="D12" s="19"/>
      <c r="E12" s="20">
        <f t="shared" ref="E12:I14" si="0">SUM(E16,E70,E99,E145,E261,E334,E406,E423,E462,E492,E524,E568,E624,E668,E677,E705,E749,E767,E814,E843,E865,E903,E922,E939,E987)</f>
        <v>2900799.9999999995</v>
      </c>
      <c r="F12" s="20">
        <f t="shared" si="0"/>
        <v>2889668.2119999994</v>
      </c>
      <c r="G12" s="20">
        <f t="shared" si="0"/>
        <v>2828314.3416399993</v>
      </c>
      <c r="H12" s="20">
        <f t="shared" si="0"/>
        <v>2377023.3159500002</v>
      </c>
      <c r="I12" s="20">
        <f t="shared" si="0"/>
        <v>31551.399149999994</v>
      </c>
      <c r="J12" s="21"/>
      <c r="K12" s="21"/>
      <c r="L12" s="22"/>
    </row>
    <row r="13" spans="1:12" ht="18.75" x14ac:dyDescent="0.25">
      <c r="A13" s="1"/>
      <c r="B13" s="23"/>
      <c r="C13" s="24" t="s">
        <v>21</v>
      </c>
      <c r="D13" s="25"/>
      <c r="E13" s="26">
        <f t="shared" si="0"/>
        <v>11131.787999999999</v>
      </c>
      <c r="F13" s="26">
        <f t="shared" si="0"/>
        <v>0</v>
      </c>
      <c r="G13" s="27">
        <f t="shared" si="0"/>
        <v>0</v>
      </c>
      <c r="H13" s="26"/>
      <c r="I13" s="26"/>
      <c r="J13" s="28"/>
      <c r="K13" s="28"/>
      <c r="L13" s="29"/>
    </row>
    <row r="14" spans="1:12" ht="17.25" thickBot="1" x14ac:dyDescent="0.3">
      <c r="A14" s="1"/>
      <c r="B14" s="30"/>
      <c r="C14" s="31" t="s">
        <v>22</v>
      </c>
      <c r="D14" s="32"/>
      <c r="E14" s="33">
        <f t="shared" si="0"/>
        <v>2889668.2119999994</v>
      </c>
      <c r="F14" s="33">
        <f t="shared" si="0"/>
        <v>2889668.2119999994</v>
      </c>
      <c r="G14" s="33">
        <f t="shared" si="0"/>
        <v>2828314.3416399993</v>
      </c>
      <c r="H14" s="33">
        <f>SUM(H18,H72,H101,H147,H263,H336,H408,H425,H464,H494,H526,H570,H626,H670,H679,H707,H751,H769,H816,H845,H867,H905,H924,H941,H989)</f>
        <v>2377023.3159500002</v>
      </c>
      <c r="I14" s="33">
        <f>SUM(I18,I72,I101,I147,I263,I336,I408,I425,I464,I494,I526,I570,I626,I670,I679,I707,I751,I769,I816,I845,I867,I905,I924,I941,I989)</f>
        <v>31551.399149999994</v>
      </c>
      <c r="J14" s="34"/>
      <c r="K14" s="34"/>
      <c r="L14" s="35"/>
    </row>
    <row r="15" spans="1:12" ht="15.75" thickBot="1" x14ac:dyDescent="0.3">
      <c r="A15" s="1">
        <v>2</v>
      </c>
      <c r="B15" s="186" t="s">
        <v>23</v>
      </c>
      <c r="C15" s="187"/>
      <c r="D15" s="187"/>
      <c r="E15" s="187"/>
      <c r="F15" s="187"/>
      <c r="G15" s="187"/>
      <c r="H15" s="187"/>
      <c r="I15" s="187"/>
      <c r="J15" s="187"/>
      <c r="K15" s="187"/>
      <c r="L15" s="188"/>
    </row>
    <row r="16" spans="1:12" ht="18.75" x14ac:dyDescent="0.25">
      <c r="A16" s="1">
        <v>2</v>
      </c>
      <c r="B16" s="36"/>
      <c r="C16" s="37" t="s">
        <v>24</v>
      </c>
      <c r="D16" s="38"/>
      <c r="E16" s="39">
        <f t="shared" ref="E16:I16" si="1">SUM(E17,E19:E68)</f>
        <v>148675.639</v>
      </c>
      <c r="F16" s="40">
        <f t="shared" si="1"/>
        <v>148675.639</v>
      </c>
      <c r="G16" s="40">
        <f t="shared" si="1"/>
        <v>148675.639</v>
      </c>
      <c r="H16" s="40">
        <f t="shared" si="1"/>
        <v>127030.49897000002</v>
      </c>
      <c r="I16" s="40">
        <f t="shared" si="1"/>
        <v>4229.2613300000003</v>
      </c>
      <c r="J16" s="43"/>
      <c r="K16" s="44"/>
      <c r="L16" s="45"/>
    </row>
    <row r="17" spans="1:12" ht="18.75" x14ac:dyDescent="0.25">
      <c r="A17" s="1">
        <v>2</v>
      </c>
      <c r="B17" s="46"/>
      <c r="C17" s="24" t="s">
        <v>21</v>
      </c>
      <c r="D17" s="47"/>
      <c r="E17" s="48">
        <v>0</v>
      </c>
      <c r="F17" s="49">
        <v>0</v>
      </c>
      <c r="G17" s="49">
        <v>0</v>
      </c>
      <c r="H17" s="49"/>
      <c r="I17" s="49"/>
      <c r="J17" s="51"/>
      <c r="K17" s="52"/>
      <c r="L17" s="53"/>
    </row>
    <row r="18" spans="1:12" ht="16.5" x14ac:dyDescent="0.25">
      <c r="A18" s="1">
        <v>2</v>
      </c>
      <c r="B18" s="46"/>
      <c r="C18" s="54" t="s">
        <v>22</v>
      </c>
      <c r="D18" s="47"/>
      <c r="E18" s="48">
        <f t="shared" ref="E18:I18" si="2">SUM(E19:E68)</f>
        <v>148675.639</v>
      </c>
      <c r="F18" s="49">
        <f t="shared" si="2"/>
        <v>148675.639</v>
      </c>
      <c r="G18" s="49">
        <f t="shared" si="2"/>
        <v>148675.639</v>
      </c>
      <c r="H18" s="49">
        <f t="shared" si="2"/>
        <v>127030.49897000002</v>
      </c>
      <c r="I18" s="49">
        <f t="shared" si="2"/>
        <v>4229.2613300000003</v>
      </c>
      <c r="J18" s="51"/>
      <c r="K18" s="52"/>
      <c r="L18" s="53"/>
    </row>
    <row r="19" spans="1:12" ht="120.75" x14ac:dyDescent="0.25">
      <c r="A19" s="1">
        <v>2</v>
      </c>
      <c r="B19" s="55">
        <v>1</v>
      </c>
      <c r="C19" s="56" t="s">
        <v>25</v>
      </c>
      <c r="D19" s="57"/>
      <c r="E19" s="58">
        <v>374.84399999999999</v>
      </c>
      <c r="F19" s="59">
        <v>374.84399999999999</v>
      </c>
      <c r="G19" s="59">
        <v>374.84399999999999</v>
      </c>
      <c r="H19" s="60">
        <v>374.84399999999999</v>
      </c>
      <c r="I19" s="60">
        <v>374.84399999999999</v>
      </c>
      <c r="J19" s="61"/>
      <c r="K19" s="62"/>
      <c r="L19" s="63" t="s">
        <v>26</v>
      </c>
    </row>
    <row r="20" spans="1:12" ht="86.25" x14ac:dyDescent="0.25">
      <c r="A20" s="1">
        <v>2</v>
      </c>
      <c r="B20" s="64">
        <f>B19+1</f>
        <v>2</v>
      </c>
      <c r="C20" s="56" t="s">
        <v>27</v>
      </c>
      <c r="D20" s="57" t="s">
        <v>28</v>
      </c>
      <c r="E20" s="58">
        <f>5915.263-390</f>
        <v>5525.2629999999999</v>
      </c>
      <c r="F20" s="59">
        <v>5525.2629999999999</v>
      </c>
      <c r="G20" s="59">
        <v>5525.2629999999999</v>
      </c>
      <c r="H20" s="60">
        <v>5525.2630000000008</v>
      </c>
      <c r="I20" s="60">
        <v>902.46299999999997</v>
      </c>
      <c r="J20" s="61" t="s">
        <v>29</v>
      </c>
      <c r="K20" s="62" t="s">
        <v>30</v>
      </c>
      <c r="L20" s="63" t="s">
        <v>31</v>
      </c>
    </row>
    <row r="21" spans="1:12" ht="103.5" x14ac:dyDescent="0.25">
      <c r="A21" s="1">
        <v>2</v>
      </c>
      <c r="B21" s="55">
        <f t="shared" ref="B21:B68" si="3">B20+1</f>
        <v>3</v>
      </c>
      <c r="C21" s="56" t="s">
        <v>32</v>
      </c>
      <c r="D21" s="57"/>
      <c r="E21" s="58">
        <v>38.436</v>
      </c>
      <c r="F21" s="59">
        <v>38.436</v>
      </c>
      <c r="G21" s="59">
        <v>38.436</v>
      </c>
      <c r="H21" s="60">
        <v>38.436</v>
      </c>
      <c r="I21" s="60">
        <v>38.436</v>
      </c>
      <c r="J21" s="61"/>
      <c r="K21" s="62"/>
      <c r="L21" s="63" t="s">
        <v>33</v>
      </c>
    </row>
    <row r="22" spans="1:12" ht="86.25" x14ac:dyDescent="0.25">
      <c r="A22" s="1">
        <v>2</v>
      </c>
      <c r="B22" s="55">
        <f t="shared" si="3"/>
        <v>4</v>
      </c>
      <c r="C22" s="56" t="s">
        <v>34</v>
      </c>
      <c r="D22" s="57"/>
      <c r="E22" s="58">
        <v>858.78200000000004</v>
      </c>
      <c r="F22" s="59">
        <v>858.78200000000004</v>
      </c>
      <c r="G22" s="59">
        <v>858.78200000000004</v>
      </c>
      <c r="H22" s="60">
        <v>858.78157999999996</v>
      </c>
      <c r="I22" s="60">
        <v>858.78157999999996</v>
      </c>
      <c r="J22" s="61"/>
      <c r="K22" s="62"/>
      <c r="L22" s="63" t="s">
        <v>33</v>
      </c>
    </row>
    <row r="23" spans="1:12" ht="69" x14ac:dyDescent="0.25">
      <c r="A23" s="1">
        <v>2</v>
      </c>
      <c r="B23" s="55">
        <f t="shared" si="3"/>
        <v>5</v>
      </c>
      <c r="C23" s="56" t="s">
        <v>35</v>
      </c>
      <c r="D23" s="57"/>
      <c r="E23" s="58">
        <v>1.0349999999999999</v>
      </c>
      <c r="F23" s="59">
        <v>1.0349999999999999</v>
      </c>
      <c r="G23" s="59">
        <v>1.0349999999999999</v>
      </c>
      <c r="H23" s="60">
        <v>1.0349999999999999</v>
      </c>
      <c r="I23" s="60">
        <v>1.0349999999999999</v>
      </c>
      <c r="J23" s="61"/>
      <c r="K23" s="62"/>
      <c r="L23" s="63" t="s">
        <v>33</v>
      </c>
    </row>
    <row r="24" spans="1:12" ht="86.25" x14ac:dyDescent="0.25">
      <c r="A24" s="1">
        <v>2</v>
      </c>
      <c r="B24" s="55">
        <f t="shared" si="3"/>
        <v>6</v>
      </c>
      <c r="C24" s="56" t="s">
        <v>36</v>
      </c>
      <c r="D24" s="57" t="s">
        <v>37</v>
      </c>
      <c r="E24" s="58">
        <v>702.36</v>
      </c>
      <c r="F24" s="59">
        <v>702.36</v>
      </c>
      <c r="G24" s="59">
        <v>702.36</v>
      </c>
      <c r="H24" s="60">
        <v>702.35955000000001</v>
      </c>
      <c r="I24" s="60">
        <v>373.95954999999998</v>
      </c>
      <c r="J24" s="61" t="s">
        <v>29</v>
      </c>
      <c r="K24" s="62" t="s">
        <v>30</v>
      </c>
      <c r="L24" s="63" t="s">
        <v>38</v>
      </c>
    </row>
    <row r="25" spans="1:12" ht="69" x14ac:dyDescent="0.25">
      <c r="A25" s="1">
        <v>2</v>
      </c>
      <c r="B25" s="55">
        <f t="shared" si="3"/>
        <v>7</v>
      </c>
      <c r="C25" s="56" t="s">
        <v>39</v>
      </c>
      <c r="D25" s="57"/>
      <c r="E25" s="58">
        <v>250.68799999999999</v>
      </c>
      <c r="F25" s="59">
        <v>250.68799999999999</v>
      </c>
      <c r="G25" s="59">
        <v>250.68799999999999</v>
      </c>
      <c r="H25" s="60">
        <v>250.68823</v>
      </c>
      <c r="I25" s="60">
        <v>250.68823</v>
      </c>
      <c r="J25" s="61"/>
      <c r="K25" s="62"/>
      <c r="L25" s="63" t="s">
        <v>33</v>
      </c>
    </row>
    <row r="26" spans="1:12" ht="86.25" x14ac:dyDescent="0.25">
      <c r="A26" s="1">
        <v>2</v>
      </c>
      <c r="B26" s="55">
        <f t="shared" si="3"/>
        <v>8</v>
      </c>
      <c r="C26" s="56" t="s">
        <v>40</v>
      </c>
      <c r="D26" s="57"/>
      <c r="E26" s="58">
        <v>803.07799999999997</v>
      </c>
      <c r="F26" s="59">
        <v>803.07799999999997</v>
      </c>
      <c r="G26" s="59">
        <v>803.07799999999997</v>
      </c>
      <c r="H26" s="60">
        <v>803.07834000000003</v>
      </c>
      <c r="I26" s="60">
        <v>803.07834000000003</v>
      </c>
      <c r="J26" s="61"/>
      <c r="K26" s="62"/>
      <c r="L26" s="63" t="s">
        <v>33</v>
      </c>
    </row>
    <row r="27" spans="1:12" ht="69" x14ac:dyDescent="0.25">
      <c r="A27" s="1">
        <v>2</v>
      </c>
      <c r="B27" s="55">
        <f t="shared" si="3"/>
        <v>9</v>
      </c>
      <c r="C27" s="56" t="s">
        <v>41</v>
      </c>
      <c r="D27" s="57"/>
      <c r="E27" s="58">
        <v>203.637</v>
      </c>
      <c r="F27" s="59">
        <v>203.637</v>
      </c>
      <c r="G27" s="59">
        <v>203.637</v>
      </c>
      <c r="H27" s="60">
        <v>203.63720000000001</v>
      </c>
      <c r="I27" s="60">
        <v>203.63720000000001</v>
      </c>
      <c r="J27" s="61"/>
      <c r="K27" s="62"/>
      <c r="L27" s="63" t="s">
        <v>33</v>
      </c>
    </row>
    <row r="28" spans="1:12" ht="69" x14ac:dyDescent="0.25">
      <c r="A28" s="1">
        <v>2</v>
      </c>
      <c r="B28" s="55">
        <f t="shared" si="3"/>
        <v>10</v>
      </c>
      <c r="C28" s="65" t="s">
        <v>42</v>
      </c>
      <c r="D28" s="66"/>
      <c r="E28" s="67">
        <v>233.624</v>
      </c>
      <c r="F28" s="68">
        <v>233.624</v>
      </c>
      <c r="G28" s="68">
        <v>233.624</v>
      </c>
      <c r="H28" s="69">
        <v>233.62395000000001</v>
      </c>
      <c r="I28" s="69">
        <v>233.62395000000001</v>
      </c>
      <c r="J28" s="61"/>
      <c r="K28" s="62"/>
      <c r="L28" s="63" t="s">
        <v>33</v>
      </c>
    </row>
    <row r="29" spans="1:12" ht="86.25" x14ac:dyDescent="0.25">
      <c r="A29" s="1">
        <v>2</v>
      </c>
      <c r="B29" s="55">
        <f t="shared" si="3"/>
        <v>11</v>
      </c>
      <c r="C29" s="65" t="s">
        <v>43</v>
      </c>
      <c r="D29" s="66" t="s">
        <v>44</v>
      </c>
      <c r="E29" s="67">
        <v>5188.7139999999999</v>
      </c>
      <c r="F29" s="68">
        <v>5188.7139999999999</v>
      </c>
      <c r="G29" s="68">
        <v>5188.7139999999999</v>
      </c>
      <c r="H29" s="69">
        <v>5164.1314300000004</v>
      </c>
      <c r="I29" s="69">
        <v>188.71448000000001</v>
      </c>
      <c r="J29" s="61" t="s">
        <v>45</v>
      </c>
      <c r="K29" s="62"/>
      <c r="L29" s="63"/>
    </row>
    <row r="30" spans="1:12" ht="51.75" x14ac:dyDescent="0.25">
      <c r="A30" s="1">
        <v>2</v>
      </c>
      <c r="B30" s="64">
        <f t="shared" si="3"/>
        <v>12</v>
      </c>
      <c r="C30" s="65" t="s">
        <v>46</v>
      </c>
      <c r="D30" s="66">
        <v>2015</v>
      </c>
      <c r="E30" s="67">
        <f>18762.5-1901</f>
        <v>16861.5</v>
      </c>
      <c r="F30" s="68">
        <v>16861.5</v>
      </c>
      <c r="G30" s="68">
        <v>16861.5</v>
      </c>
      <c r="H30" s="69">
        <v>16861.5</v>
      </c>
      <c r="I30" s="69">
        <v>0</v>
      </c>
      <c r="J30" s="61" t="s">
        <v>29</v>
      </c>
      <c r="K30" s="62" t="s">
        <v>30</v>
      </c>
      <c r="L30" s="63" t="s">
        <v>31</v>
      </c>
    </row>
    <row r="31" spans="1:12" ht="69" x14ac:dyDescent="0.25">
      <c r="A31" s="1">
        <v>2</v>
      </c>
      <c r="B31" s="55">
        <f t="shared" si="3"/>
        <v>13</v>
      </c>
      <c r="C31" s="65" t="s">
        <v>47</v>
      </c>
      <c r="D31" s="66">
        <v>2015</v>
      </c>
      <c r="E31" s="67">
        <v>4497.7</v>
      </c>
      <c r="F31" s="68">
        <v>4497.7</v>
      </c>
      <c r="G31" s="68">
        <v>4497.7</v>
      </c>
      <c r="H31" s="69">
        <v>4497.6621800000012</v>
      </c>
      <c r="I31" s="69">
        <v>0</v>
      </c>
      <c r="J31" s="61" t="s">
        <v>45</v>
      </c>
      <c r="K31" s="62"/>
      <c r="L31" s="63"/>
    </row>
    <row r="32" spans="1:12" ht="51.75" x14ac:dyDescent="0.25">
      <c r="A32" s="1">
        <v>2</v>
      </c>
      <c r="B32" s="55">
        <f t="shared" si="3"/>
        <v>14</v>
      </c>
      <c r="C32" s="65" t="s">
        <v>48</v>
      </c>
      <c r="D32" s="66">
        <v>2015</v>
      </c>
      <c r="E32" s="67">
        <v>9001.2000000000007</v>
      </c>
      <c r="F32" s="68">
        <v>9001.2000000000007</v>
      </c>
      <c r="G32" s="68">
        <v>9001.2000000000007</v>
      </c>
      <c r="H32" s="69">
        <v>8692.2917699999998</v>
      </c>
      <c r="I32" s="69">
        <v>0</v>
      </c>
      <c r="J32" s="61" t="s">
        <v>29</v>
      </c>
      <c r="K32" s="62" t="s">
        <v>30</v>
      </c>
      <c r="L32" s="63" t="s">
        <v>49</v>
      </c>
    </row>
    <row r="33" spans="1:12" ht="69" x14ac:dyDescent="0.25">
      <c r="A33" s="1">
        <v>2</v>
      </c>
      <c r="B33" s="64">
        <f t="shared" si="3"/>
        <v>15</v>
      </c>
      <c r="C33" s="65" t="s">
        <v>50</v>
      </c>
      <c r="D33" s="66">
        <v>2015</v>
      </c>
      <c r="E33" s="67">
        <f>6349.2+2291</f>
        <v>8640.2000000000007</v>
      </c>
      <c r="F33" s="68">
        <v>8640.2000000000007</v>
      </c>
      <c r="G33" s="68">
        <v>8640.2000000000007</v>
      </c>
      <c r="H33" s="69">
        <v>8640.1999999999989</v>
      </c>
      <c r="I33" s="69">
        <v>0</v>
      </c>
      <c r="J33" s="61" t="s">
        <v>29</v>
      </c>
      <c r="K33" s="62" t="s">
        <v>30</v>
      </c>
      <c r="L33" s="63" t="s">
        <v>51</v>
      </c>
    </row>
    <row r="34" spans="1:12" ht="86.25" x14ac:dyDescent="0.25">
      <c r="A34" s="1">
        <v>2</v>
      </c>
      <c r="B34" s="64">
        <f t="shared" si="3"/>
        <v>16</v>
      </c>
      <c r="C34" s="65" t="s">
        <v>52</v>
      </c>
      <c r="D34" s="66" t="s">
        <v>28</v>
      </c>
      <c r="E34" s="67">
        <v>1182</v>
      </c>
      <c r="F34" s="68">
        <v>1182</v>
      </c>
      <c r="G34" s="68">
        <v>1182</v>
      </c>
      <c r="H34" s="69">
        <v>1182</v>
      </c>
      <c r="I34" s="69">
        <v>0</v>
      </c>
      <c r="J34" s="61" t="s">
        <v>45</v>
      </c>
      <c r="K34" s="62"/>
      <c r="L34" s="63"/>
    </row>
    <row r="35" spans="1:12" ht="69" x14ac:dyDescent="0.25">
      <c r="A35" s="1">
        <v>2</v>
      </c>
      <c r="B35" s="55">
        <f t="shared" si="3"/>
        <v>17</v>
      </c>
      <c r="C35" s="65" t="s">
        <v>53</v>
      </c>
      <c r="D35" s="66">
        <v>2015</v>
      </c>
      <c r="E35" s="67">
        <v>500</v>
      </c>
      <c r="F35" s="68">
        <v>500</v>
      </c>
      <c r="G35" s="68">
        <v>500</v>
      </c>
      <c r="H35" s="69">
        <v>500</v>
      </c>
      <c r="I35" s="69">
        <v>0</v>
      </c>
      <c r="J35" s="61" t="s">
        <v>29</v>
      </c>
      <c r="K35" s="62" t="s">
        <v>54</v>
      </c>
      <c r="L35" s="63" t="s">
        <v>55</v>
      </c>
    </row>
    <row r="36" spans="1:12" ht="69" x14ac:dyDescent="0.25">
      <c r="A36" s="1">
        <v>2</v>
      </c>
      <c r="B36" s="64">
        <f t="shared" si="3"/>
        <v>18</v>
      </c>
      <c r="C36" s="65" t="s">
        <v>56</v>
      </c>
      <c r="D36" s="66">
        <v>2015</v>
      </c>
      <c r="E36" s="67">
        <f>400+43.2</f>
        <v>443.2</v>
      </c>
      <c r="F36" s="68">
        <v>443.2</v>
      </c>
      <c r="G36" s="68">
        <v>443.2</v>
      </c>
      <c r="H36" s="69">
        <v>441.52841999999998</v>
      </c>
      <c r="I36" s="69">
        <v>0</v>
      </c>
      <c r="J36" s="61" t="s">
        <v>29</v>
      </c>
      <c r="K36" s="62" t="s">
        <v>30</v>
      </c>
      <c r="L36" s="63" t="s">
        <v>57</v>
      </c>
    </row>
    <row r="37" spans="1:12" ht="51.75" x14ac:dyDescent="0.25">
      <c r="A37" s="1">
        <v>2</v>
      </c>
      <c r="B37" s="55">
        <f t="shared" si="3"/>
        <v>19</v>
      </c>
      <c r="C37" s="65" t="s">
        <v>58</v>
      </c>
      <c r="D37" s="66" t="s">
        <v>59</v>
      </c>
      <c r="E37" s="67">
        <v>2985.3</v>
      </c>
      <c r="F37" s="68">
        <v>2985.3</v>
      </c>
      <c r="G37" s="68">
        <v>2985.3</v>
      </c>
      <c r="H37" s="69">
        <v>1662.27432</v>
      </c>
      <c r="I37" s="69">
        <v>0</v>
      </c>
      <c r="J37" s="61" t="s">
        <v>45</v>
      </c>
      <c r="K37" s="62"/>
      <c r="L37" s="63"/>
    </row>
    <row r="38" spans="1:12" ht="51.75" x14ac:dyDescent="0.25">
      <c r="A38" s="1">
        <v>2</v>
      </c>
      <c r="B38" s="64">
        <f t="shared" si="3"/>
        <v>20</v>
      </c>
      <c r="C38" s="65" t="s">
        <v>60</v>
      </c>
      <c r="D38" s="66" t="s">
        <v>44</v>
      </c>
      <c r="E38" s="67">
        <f>5000+915.778</f>
        <v>5915.7780000000002</v>
      </c>
      <c r="F38" s="68">
        <v>5915.7780000000002</v>
      </c>
      <c r="G38" s="68">
        <v>5915.7780000000002</v>
      </c>
      <c r="H38" s="69">
        <v>5915.7745899999991</v>
      </c>
      <c r="I38" s="69">
        <v>0</v>
      </c>
      <c r="J38" s="61" t="s">
        <v>29</v>
      </c>
      <c r="K38" s="62" t="s">
        <v>30</v>
      </c>
      <c r="L38" s="63" t="s">
        <v>57</v>
      </c>
    </row>
    <row r="39" spans="1:12" ht="51.75" x14ac:dyDescent="0.25">
      <c r="A39" s="1">
        <v>2</v>
      </c>
      <c r="B39" s="55">
        <f t="shared" si="3"/>
        <v>21</v>
      </c>
      <c r="C39" s="65" t="s">
        <v>61</v>
      </c>
      <c r="D39" s="66">
        <v>2015</v>
      </c>
      <c r="E39" s="67">
        <v>408</v>
      </c>
      <c r="F39" s="68">
        <v>408</v>
      </c>
      <c r="G39" s="68">
        <v>408</v>
      </c>
      <c r="H39" s="69">
        <v>341.92987000000005</v>
      </c>
      <c r="I39" s="69">
        <v>0</v>
      </c>
      <c r="J39" s="61" t="s">
        <v>29</v>
      </c>
      <c r="K39" s="62" t="s">
        <v>30</v>
      </c>
      <c r="L39" s="63" t="s">
        <v>62</v>
      </c>
    </row>
    <row r="40" spans="1:12" ht="51.75" x14ac:dyDescent="0.25">
      <c r="A40" s="1">
        <v>2</v>
      </c>
      <c r="B40" s="55">
        <f t="shared" si="3"/>
        <v>22</v>
      </c>
      <c r="C40" s="65" t="s">
        <v>63</v>
      </c>
      <c r="D40" s="66">
        <v>2015</v>
      </c>
      <c r="E40" s="67">
        <v>845.8</v>
      </c>
      <c r="F40" s="68">
        <v>845.8</v>
      </c>
      <c r="G40" s="68">
        <v>845.8</v>
      </c>
      <c r="H40" s="69">
        <v>833.20148999999992</v>
      </c>
      <c r="I40" s="69">
        <v>0</v>
      </c>
      <c r="J40" s="61" t="s">
        <v>29</v>
      </c>
      <c r="K40" s="62" t="s">
        <v>30</v>
      </c>
      <c r="L40" s="63" t="s">
        <v>57</v>
      </c>
    </row>
    <row r="41" spans="1:12" ht="51.75" x14ac:dyDescent="0.25">
      <c r="A41" s="1">
        <v>2</v>
      </c>
      <c r="B41" s="64">
        <f t="shared" si="3"/>
        <v>23</v>
      </c>
      <c r="C41" s="65" t="s">
        <v>64</v>
      </c>
      <c r="D41" s="66">
        <v>2015</v>
      </c>
      <c r="E41" s="67">
        <f>1816+630</f>
        <v>2446</v>
      </c>
      <c r="F41" s="68">
        <v>2446</v>
      </c>
      <c r="G41" s="68">
        <v>2446</v>
      </c>
      <c r="H41" s="69">
        <v>2445.9998699999996</v>
      </c>
      <c r="I41" s="69">
        <v>0</v>
      </c>
      <c r="J41" s="61" t="s">
        <v>29</v>
      </c>
      <c r="K41" s="62" t="s">
        <v>30</v>
      </c>
      <c r="L41" s="63" t="s">
        <v>57</v>
      </c>
    </row>
    <row r="42" spans="1:12" ht="51.75" x14ac:dyDescent="0.25">
      <c r="A42" s="1">
        <v>2</v>
      </c>
      <c r="B42" s="55">
        <f t="shared" si="3"/>
        <v>24</v>
      </c>
      <c r="C42" s="65" t="s">
        <v>65</v>
      </c>
      <c r="D42" s="66" t="s">
        <v>59</v>
      </c>
      <c r="E42" s="67">
        <v>951.8</v>
      </c>
      <c r="F42" s="68">
        <v>951.8</v>
      </c>
      <c r="G42" s="68">
        <v>951.8</v>
      </c>
      <c r="H42" s="69">
        <v>951.8</v>
      </c>
      <c r="I42" s="69">
        <v>0</v>
      </c>
      <c r="J42" s="61" t="s">
        <v>29</v>
      </c>
      <c r="K42" s="62" t="s">
        <v>30</v>
      </c>
      <c r="L42" s="63" t="s">
        <v>57</v>
      </c>
    </row>
    <row r="43" spans="1:12" ht="69" x14ac:dyDescent="0.25">
      <c r="A43" s="1">
        <v>2</v>
      </c>
      <c r="B43" s="55">
        <f t="shared" si="3"/>
        <v>25</v>
      </c>
      <c r="C43" s="65" t="s">
        <v>66</v>
      </c>
      <c r="D43" s="66">
        <v>2015</v>
      </c>
      <c r="E43" s="67">
        <v>621.20000000000005</v>
      </c>
      <c r="F43" s="68">
        <v>621.20000000000005</v>
      </c>
      <c r="G43" s="68">
        <v>621.20000000000005</v>
      </c>
      <c r="H43" s="69">
        <v>591.9162</v>
      </c>
      <c r="I43" s="69">
        <v>0</v>
      </c>
      <c r="J43" s="61" t="s">
        <v>29</v>
      </c>
      <c r="K43" s="62" t="s">
        <v>30</v>
      </c>
      <c r="L43" s="63" t="s">
        <v>67</v>
      </c>
    </row>
    <row r="44" spans="1:12" ht="69" x14ac:dyDescent="0.25">
      <c r="A44" s="1">
        <v>2</v>
      </c>
      <c r="B44" s="64">
        <f t="shared" si="3"/>
        <v>26</v>
      </c>
      <c r="C44" s="65" t="s">
        <v>68</v>
      </c>
      <c r="D44" s="66" t="s">
        <v>69</v>
      </c>
      <c r="E44" s="67">
        <f>388+194</f>
        <v>582</v>
      </c>
      <c r="F44" s="68">
        <v>582</v>
      </c>
      <c r="G44" s="68">
        <v>582</v>
      </c>
      <c r="H44" s="69">
        <v>559.99694</v>
      </c>
      <c r="I44" s="69">
        <v>0</v>
      </c>
      <c r="J44" s="61" t="s">
        <v>29</v>
      </c>
      <c r="K44" s="62" t="s">
        <v>30</v>
      </c>
      <c r="L44" s="63" t="s">
        <v>70</v>
      </c>
    </row>
    <row r="45" spans="1:12" ht="51.75" x14ac:dyDescent="0.25">
      <c r="A45" s="1">
        <v>2</v>
      </c>
      <c r="B45" s="55">
        <f t="shared" si="3"/>
        <v>27</v>
      </c>
      <c r="C45" s="65" t="s">
        <v>71</v>
      </c>
      <c r="D45" s="66" t="s">
        <v>72</v>
      </c>
      <c r="E45" s="67">
        <v>1900</v>
      </c>
      <c r="F45" s="68">
        <v>1900</v>
      </c>
      <c r="G45" s="68">
        <v>1900</v>
      </c>
      <c r="H45" s="69">
        <v>1689.4535900000001</v>
      </c>
      <c r="I45" s="69">
        <v>0</v>
      </c>
      <c r="J45" s="61" t="s">
        <v>45</v>
      </c>
      <c r="K45" s="62"/>
      <c r="L45" s="63"/>
    </row>
    <row r="46" spans="1:12" ht="51.75" x14ac:dyDescent="0.25">
      <c r="A46" s="1">
        <v>2</v>
      </c>
      <c r="B46" s="55">
        <f t="shared" si="3"/>
        <v>28</v>
      </c>
      <c r="C46" s="65" t="s">
        <v>73</v>
      </c>
      <c r="D46" s="66">
        <v>2015</v>
      </c>
      <c r="E46" s="67">
        <v>1692.8</v>
      </c>
      <c r="F46" s="68">
        <v>1692.8</v>
      </c>
      <c r="G46" s="68">
        <v>1692.8</v>
      </c>
      <c r="H46" s="69">
        <v>1692.8</v>
      </c>
      <c r="I46" s="69">
        <v>0</v>
      </c>
      <c r="J46" s="61" t="s">
        <v>29</v>
      </c>
      <c r="K46" s="62" t="s">
        <v>30</v>
      </c>
      <c r="L46" s="63" t="s">
        <v>57</v>
      </c>
    </row>
    <row r="47" spans="1:12" ht="86.25" x14ac:dyDescent="0.25">
      <c r="A47" s="1">
        <v>2</v>
      </c>
      <c r="B47" s="55">
        <f t="shared" si="3"/>
        <v>29</v>
      </c>
      <c r="C47" s="65" t="s">
        <v>74</v>
      </c>
      <c r="D47" s="66">
        <v>2015</v>
      </c>
      <c r="E47" s="67">
        <v>100</v>
      </c>
      <c r="F47" s="68">
        <v>100</v>
      </c>
      <c r="G47" s="68">
        <v>100</v>
      </c>
      <c r="H47" s="69">
        <v>100</v>
      </c>
      <c r="I47" s="69">
        <v>0</v>
      </c>
      <c r="J47" s="61" t="s">
        <v>29</v>
      </c>
      <c r="K47" s="62"/>
      <c r="L47" s="63" t="s">
        <v>75</v>
      </c>
    </row>
    <row r="48" spans="1:12" ht="69" x14ac:dyDescent="0.25">
      <c r="A48" s="1">
        <v>2</v>
      </c>
      <c r="B48" s="55">
        <f t="shared" si="3"/>
        <v>30</v>
      </c>
      <c r="C48" s="65" t="s">
        <v>76</v>
      </c>
      <c r="D48" s="66">
        <v>2015</v>
      </c>
      <c r="E48" s="67">
        <v>100</v>
      </c>
      <c r="F48" s="68">
        <v>100</v>
      </c>
      <c r="G48" s="68">
        <v>100</v>
      </c>
      <c r="H48" s="69">
        <v>100</v>
      </c>
      <c r="I48" s="69">
        <v>0</v>
      </c>
      <c r="J48" s="61" t="s">
        <v>29</v>
      </c>
      <c r="K48" s="62" t="s">
        <v>30</v>
      </c>
      <c r="L48" s="63" t="s">
        <v>57</v>
      </c>
    </row>
    <row r="49" spans="1:12" ht="86.25" x14ac:dyDescent="0.25">
      <c r="A49" s="1">
        <v>2</v>
      </c>
      <c r="B49" s="55">
        <f t="shared" si="3"/>
        <v>31</v>
      </c>
      <c r="C49" s="65" t="s">
        <v>77</v>
      </c>
      <c r="D49" s="66">
        <v>2015</v>
      </c>
      <c r="E49" s="67">
        <v>200</v>
      </c>
      <c r="F49" s="68">
        <v>200</v>
      </c>
      <c r="G49" s="68">
        <v>200</v>
      </c>
      <c r="H49" s="69">
        <v>200</v>
      </c>
      <c r="I49" s="69">
        <v>0</v>
      </c>
      <c r="J49" s="61" t="s">
        <v>29</v>
      </c>
      <c r="K49" s="62" t="s">
        <v>78</v>
      </c>
      <c r="L49" s="63" t="s">
        <v>57</v>
      </c>
    </row>
    <row r="50" spans="1:12" ht="86.25" x14ac:dyDescent="0.25">
      <c r="A50" s="1">
        <v>2</v>
      </c>
      <c r="B50" s="55">
        <f t="shared" si="3"/>
        <v>32</v>
      </c>
      <c r="C50" s="65" t="s">
        <v>79</v>
      </c>
      <c r="D50" s="66">
        <v>2015</v>
      </c>
      <c r="E50" s="67">
        <v>436.8</v>
      </c>
      <c r="F50" s="68">
        <v>436.8</v>
      </c>
      <c r="G50" s="68">
        <v>436.8</v>
      </c>
      <c r="H50" s="69">
        <v>436.8</v>
      </c>
      <c r="I50" s="69">
        <v>0</v>
      </c>
      <c r="J50" s="61" t="s">
        <v>29</v>
      </c>
      <c r="K50" s="62" t="s">
        <v>30</v>
      </c>
      <c r="L50" s="63" t="s">
        <v>57</v>
      </c>
    </row>
    <row r="51" spans="1:12" ht="51.75" x14ac:dyDescent="0.25">
      <c r="A51" s="1">
        <v>2</v>
      </c>
      <c r="B51" s="55">
        <f t="shared" si="3"/>
        <v>33</v>
      </c>
      <c r="C51" s="65" t="s">
        <v>80</v>
      </c>
      <c r="D51" s="66" t="s">
        <v>69</v>
      </c>
      <c r="E51" s="67">
        <v>200</v>
      </c>
      <c r="F51" s="68">
        <v>200</v>
      </c>
      <c r="G51" s="68">
        <v>200</v>
      </c>
      <c r="H51" s="69">
        <v>200</v>
      </c>
      <c r="I51" s="69">
        <v>0</v>
      </c>
      <c r="J51" s="61" t="s">
        <v>29</v>
      </c>
      <c r="K51" s="71" t="s">
        <v>30</v>
      </c>
      <c r="L51" s="63"/>
    </row>
    <row r="52" spans="1:12" ht="51.75" x14ac:dyDescent="0.25">
      <c r="A52" s="1">
        <v>2</v>
      </c>
      <c r="B52" s="55">
        <f t="shared" si="3"/>
        <v>34</v>
      </c>
      <c r="C52" s="65" t="s">
        <v>81</v>
      </c>
      <c r="D52" s="66">
        <v>2015</v>
      </c>
      <c r="E52" s="67">
        <v>100</v>
      </c>
      <c r="F52" s="68">
        <v>100</v>
      </c>
      <c r="G52" s="68">
        <v>100</v>
      </c>
      <c r="H52" s="69">
        <v>100</v>
      </c>
      <c r="I52" s="69">
        <v>0</v>
      </c>
      <c r="J52" s="61" t="s">
        <v>29</v>
      </c>
      <c r="K52" s="62" t="s">
        <v>30</v>
      </c>
      <c r="L52" s="63" t="s">
        <v>82</v>
      </c>
    </row>
    <row r="53" spans="1:12" ht="51.75" x14ac:dyDescent="0.25">
      <c r="A53" s="1">
        <v>2</v>
      </c>
      <c r="B53" s="55">
        <f t="shared" si="3"/>
        <v>35</v>
      </c>
      <c r="C53" s="65" t="s">
        <v>83</v>
      </c>
      <c r="D53" s="66">
        <v>2015</v>
      </c>
      <c r="E53" s="67">
        <v>100</v>
      </c>
      <c r="F53" s="68">
        <v>100</v>
      </c>
      <c r="G53" s="68">
        <v>100</v>
      </c>
      <c r="H53" s="69">
        <v>100</v>
      </c>
      <c r="I53" s="69">
        <v>0</v>
      </c>
      <c r="J53" s="61" t="s">
        <v>29</v>
      </c>
      <c r="K53" s="62" t="s">
        <v>30</v>
      </c>
      <c r="L53" s="63" t="s">
        <v>57</v>
      </c>
    </row>
    <row r="54" spans="1:12" ht="51.75" x14ac:dyDescent="0.25">
      <c r="A54" s="1">
        <v>2</v>
      </c>
      <c r="B54" s="55">
        <f t="shared" si="3"/>
        <v>36</v>
      </c>
      <c r="C54" s="65" t="s">
        <v>84</v>
      </c>
      <c r="D54" s="66">
        <v>2015</v>
      </c>
      <c r="E54" s="67">
        <v>6532.6</v>
      </c>
      <c r="F54" s="68">
        <v>6532.6</v>
      </c>
      <c r="G54" s="68">
        <v>6532.6</v>
      </c>
      <c r="H54" s="69">
        <v>6237.3991599999999</v>
      </c>
      <c r="I54" s="69">
        <v>0</v>
      </c>
      <c r="J54" s="61" t="s">
        <v>45</v>
      </c>
      <c r="K54" s="62"/>
      <c r="L54" s="63"/>
    </row>
    <row r="55" spans="1:12" ht="51.75" x14ac:dyDescent="0.25">
      <c r="A55" s="1">
        <v>2</v>
      </c>
      <c r="B55" s="55">
        <f t="shared" si="3"/>
        <v>37</v>
      </c>
      <c r="C55" s="65" t="s">
        <v>85</v>
      </c>
      <c r="D55" s="66" t="s">
        <v>44</v>
      </c>
      <c r="E55" s="67">
        <v>20277.099999999999</v>
      </c>
      <c r="F55" s="68">
        <v>20277.099999999999</v>
      </c>
      <c r="G55" s="68">
        <v>20277.099999999999</v>
      </c>
      <c r="H55" s="69">
        <v>13581.45498</v>
      </c>
      <c r="I55" s="69">
        <v>0</v>
      </c>
      <c r="J55" s="61" t="s">
        <v>45</v>
      </c>
      <c r="K55" s="62"/>
      <c r="L55" s="63"/>
    </row>
    <row r="56" spans="1:12" ht="51.75" x14ac:dyDescent="0.25">
      <c r="A56" s="1">
        <v>2</v>
      </c>
      <c r="B56" s="64">
        <f t="shared" si="3"/>
        <v>38</v>
      </c>
      <c r="C56" s="65" t="s">
        <v>86</v>
      </c>
      <c r="D56" s="66" t="s">
        <v>87</v>
      </c>
      <c r="E56" s="67">
        <f>14245.8-867.2-3378.6</f>
        <v>9999.9999999999982</v>
      </c>
      <c r="F56" s="68">
        <v>10000</v>
      </c>
      <c r="G56" s="68">
        <v>10000</v>
      </c>
      <c r="H56" s="69">
        <v>8479.70622</v>
      </c>
      <c r="I56" s="69">
        <v>0</v>
      </c>
      <c r="J56" s="61" t="s">
        <v>45</v>
      </c>
      <c r="K56" s="62"/>
      <c r="L56" s="63"/>
    </row>
    <row r="57" spans="1:12" ht="51.75" x14ac:dyDescent="0.25">
      <c r="A57" s="1">
        <v>2</v>
      </c>
      <c r="B57" s="55">
        <f t="shared" si="3"/>
        <v>39</v>
      </c>
      <c r="C57" s="65" t="s">
        <v>88</v>
      </c>
      <c r="D57" s="66">
        <v>2015</v>
      </c>
      <c r="E57" s="67">
        <v>1000</v>
      </c>
      <c r="F57" s="68">
        <v>1000</v>
      </c>
      <c r="G57" s="68">
        <v>1000</v>
      </c>
      <c r="H57" s="69">
        <v>785.02799999999991</v>
      </c>
      <c r="I57" s="69">
        <v>0</v>
      </c>
      <c r="J57" s="61" t="s">
        <v>29</v>
      </c>
      <c r="K57" s="62" t="s">
        <v>30</v>
      </c>
      <c r="L57" s="63" t="s">
        <v>89</v>
      </c>
    </row>
    <row r="58" spans="1:12" ht="86.25" x14ac:dyDescent="0.25">
      <c r="A58" s="1">
        <v>2</v>
      </c>
      <c r="B58" s="55">
        <f t="shared" si="3"/>
        <v>40</v>
      </c>
      <c r="C58" s="65" t="s">
        <v>90</v>
      </c>
      <c r="D58" s="66">
        <v>2015</v>
      </c>
      <c r="E58" s="67">
        <v>4378.5</v>
      </c>
      <c r="F58" s="68">
        <v>4378.5</v>
      </c>
      <c r="G58" s="68">
        <v>4378.5</v>
      </c>
      <c r="H58" s="69">
        <v>4378.5</v>
      </c>
      <c r="I58" s="69">
        <v>0</v>
      </c>
      <c r="J58" s="61" t="s">
        <v>29</v>
      </c>
      <c r="K58" s="62"/>
      <c r="L58" s="63" t="s">
        <v>75</v>
      </c>
    </row>
    <row r="59" spans="1:12" ht="69" x14ac:dyDescent="0.25">
      <c r="A59" s="1">
        <v>2</v>
      </c>
      <c r="B59" s="55">
        <f t="shared" si="3"/>
        <v>41</v>
      </c>
      <c r="C59" s="65" t="s">
        <v>91</v>
      </c>
      <c r="D59" s="66" t="s">
        <v>69</v>
      </c>
      <c r="E59" s="67">
        <v>3247</v>
      </c>
      <c r="F59" s="68">
        <v>3247</v>
      </c>
      <c r="G59" s="68">
        <v>3247</v>
      </c>
      <c r="H59" s="69">
        <v>3246.9153000000001</v>
      </c>
      <c r="I59" s="69">
        <v>0</v>
      </c>
      <c r="J59" s="61" t="s">
        <v>45</v>
      </c>
      <c r="K59" s="62"/>
      <c r="L59" s="63"/>
    </row>
    <row r="60" spans="1:12" ht="51.75" x14ac:dyDescent="0.25">
      <c r="A60" s="1">
        <v>2</v>
      </c>
      <c r="B60" s="55">
        <f t="shared" si="3"/>
        <v>42</v>
      </c>
      <c r="C60" s="65" t="s">
        <v>92</v>
      </c>
      <c r="D60" s="66">
        <v>2015</v>
      </c>
      <c r="E60" s="67">
        <v>348.5</v>
      </c>
      <c r="F60" s="68">
        <v>348.5</v>
      </c>
      <c r="G60" s="68">
        <v>348.5</v>
      </c>
      <c r="H60" s="69">
        <v>192.86527999999998</v>
      </c>
      <c r="I60" s="69">
        <v>0</v>
      </c>
      <c r="J60" s="61" t="s">
        <v>29</v>
      </c>
      <c r="K60" s="62" t="s">
        <v>30</v>
      </c>
      <c r="L60" s="63" t="s">
        <v>57</v>
      </c>
    </row>
    <row r="61" spans="1:12" ht="86.25" x14ac:dyDescent="0.25">
      <c r="A61" s="1">
        <v>2</v>
      </c>
      <c r="B61" s="55">
        <f t="shared" si="3"/>
        <v>43</v>
      </c>
      <c r="C61" s="65" t="s">
        <v>93</v>
      </c>
      <c r="D61" s="66" t="s">
        <v>69</v>
      </c>
      <c r="E61" s="67">
        <v>6152.3</v>
      </c>
      <c r="F61" s="68">
        <v>6152.3</v>
      </c>
      <c r="G61" s="68">
        <v>6152.3</v>
      </c>
      <c r="H61" s="69">
        <v>4535.1047199999994</v>
      </c>
      <c r="I61" s="69">
        <v>0</v>
      </c>
      <c r="J61" s="61" t="s">
        <v>45</v>
      </c>
      <c r="K61" s="62"/>
      <c r="L61" s="63"/>
    </row>
    <row r="62" spans="1:12" ht="86.25" x14ac:dyDescent="0.25">
      <c r="A62" s="1">
        <v>2</v>
      </c>
      <c r="B62" s="55">
        <f t="shared" si="3"/>
        <v>44</v>
      </c>
      <c r="C62" s="65" t="s">
        <v>94</v>
      </c>
      <c r="D62" s="66" t="s">
        <v>95</v>
      </c>
      <c r="E62" s="67">
        <v>1800</v>
      </c>
      <c r="F62" s="68">
        <v>1800</v>
      </c>
      <c r="G62" s="68">
        <v>1800</v>
      </c>
      <c r="H62" s="69">
        <v>1491.44</v>
      </c>
      <c r="I62" s="69">
        <v>0</v>
      </c>
      <c r="J62" s="61" t="s">
        <v>45</v>
      </c>
      <c r="K62" s="62"/>
      <c r="L62" s="63"/>
    </row>
    <row r="63" spans="1:12" ht="69" x14ac:dyDescent="0.25">
      <c r="A63" s="1">
        <v>2</v>
      </c>
      <c r="B63" s="55">
        <f t="shared" si="3"/>
        <v>45</v>
      </c>
      <c r="C63" s="65" t="s">
        <v>96</v>
      </c>
      <c r="D63" s="66">
        <v>2015</v>
      </c>
      <c r="E63" s="67">
        <v>1220.3</v>
      </c>
      <c r="F63" s="68">
        <v>1220.3</v>
      </c>
      <c r="G63" s="68">
        <v>1220.3</v>
      </c>
      <c r="H63" s="69">
        <v>1220.3</v>
      </c>
      <c r="I63" s="69">
        <v>0</v>
      </c>
      <c r="J63" s="61" t="s">
        <v>29</v>
      </c>
      <c r="K63" s="62" t="s">
        <v>30</v>
      </c>
      <c r="L63" s="63" t="s">
        <v>57</v>
      </c>
    </row>
    <row r="64" spans="1:12" ht="51.75" x14ac:dyDescent="0.25">
      <c r="A64" s="1">
        <v>2</v>
      </c>
      <c r="B64" s="55">
        <f t="shared" si="3"/>
        <v>46</v>
      </c>
      <c r="C64" s="65" t="s">
        <v>97</v>
      </c>
      <c r="D64" s="66" t="s">
        <v>28</v>
      </c>
      <c r="E64" s="67">
        <v>3867.4</v>
      </c>
      <c r="F64" s="68">
        <v>3867.4</v>
      </c>
      <c r="G64" s="68">
        <v>3867.4</v>
      </c>
      <c r="H64" s="69">
        <v>3853.5475500000002</v>
      </c>
      <c r="I64" s="69">
        <v>0</v>
      </c>
      <c r="J64" s="61" t="s">
        <v>45</v>
      </c>
      <c r="K64" s="62"/>
      <c r="L64" s="63"/>
    </row>
    <row r="65" spans="1:12" ht="69" x14ac:dyDescent="0.25">
      <c r="A65" s="1">
        <v>2</v>
      </c>
      <c r="B65" s="64">
        <f t="shared" si="3"/>
        <v>47</v>
      </c>
      <c r="C65" s="65" t="s">
        <v>98</v>
      </c>
      <c r="D65" s="66">
        <v>2015</v>
      </c>
      <c r="E65" s="70">
        <f>6283.2-3555.9</f>
        <v>2727.2999999999997</v>
      </c>
      <c r="F65" s="68">
        <v>2727.3</v>
      </c>
      <c r="G65" s="68">
        <v>2727.3</v>
      </c>
      <c r="H65" s="69">
        <v>2532.73056</v>
      </c>
      <c r="I65" s="69">
        <v>0</v>
      </c>
      <c r="J65" s="61" t="s">
        <v>45</v>
      </c>
      <c r="K65" s="62"/>
      <c r="L65" s="63"/>
    </row>
    <row r="66" spans="1:12" ht="86.25" x14ac:dyDescent="0.25">
      <c r="A66" s="1">
        <v>2</v>
      </c>
      <c r="B66" s="55">
        <f t="shared" si="3"/>
        <v>48</v>
      </c>
      <c r="C66" s="65" t="s">
        <v>99</v>
      </c>
      <c r="D66" s="66">
        <v>2015</v>
      </c>
      <c r="E66" s="67">
        <v>2400</v>
      </c>
      <c r="F66" s="68">
        <v>2400</v>
      </c>
      <c r="G66" s="68">
        <v>2400</v>
      </c>
      <c r="H66" s="69">
        <v>2400.0000000000005</v>
      </c>
      <c r="I66" s="69">
        <v>0</v>
      </c>
      <c r="J66" s="61" t="s">
        <v>29</v>
      </c>
      <c r="K66" s="62" t="s">
        <v>30</v>
      </c>
      <c r="L66" s="63" t="s">
        <v>57</v>
      </c>
    </row>
    <row r="67" spans="1:12" ht="51.75" x14ac:dyDescent="0.25">
      <c r="A67" s="1">
        <v>2</v>
      </c>
      <c r="B67" s="72">
        <f t="shared" si="3"/>
        <v>49</v>
      </c>
      <c r="C67" s="73" t="s">
        <v>100</v>
      </c>
      <c r="D67" s="74" t="s">
        <v>101</v>
      </c>
      <c r="E67" s="75">
        <v>100</v>
      </c>
      <c r="F67" s="76">
        <v>100</v>
      </c>
      <c r="G67" s="76">
        <v>100</v>
      </c>
      <c r="H67" s="77">
        <v>99.999679999999984</v>
      </c>
      <c r="I67" s="77">
        <v>0</v>
      </c>
      <c r="J67" s="79" t="s">
        <v>29</v>
      </c>
      <c r="K67" s="80" t="s">
        <v>30</v>
      </c>
      <c r="L67" s="81" t="s">
        <v>57</v>
      </c>
    </row>
    <row r="68" spans="1:12" ht="52.5" thickBot="1" x14ac:dyDescent="0.3">
      <c r="A68" s="1">
        <v>2</v>
      </c>
      <c r="B68" s="82">
        <f t="shared" si="3"/>
        <v>50</v>
      </c>
      <c r="C68" s="83" t="s">
        <v>102</v>
      </c>
      <c r="D68" s="84" t="s">
        <v>101</v>
      </c>
      <c r="E68" s="85">
        <v>9732.9</v>
      </c>
      <c r="F68" s="86">
        <v>9732.9</v>
      </c>
      <c r="G68" s="86">
        <v>9732.9</v>
      </c>
      <c r="H68" s="87">
        <v>1102.5</v>
      </c>
      <c r="I68" s="87">
        <v>0</v>
      </c>
      <c r="J68" s="89" t="s">
        <v>45</v>
      </c>
      <c r="K68" s="90"/>
      <c r="L68" s="91"/>
    </row>
    <row r="69" spans="1:12" ht="15.75" thickBot="1" x14ac:dyDescent="0.3">
      <c r="A69" s="1">
        <v>3</v>
      </c>
      <c r="B69" s="186" t="s">
        <v>103</v>
      </c>
      <c r="C69" s="187"/>
      <c r="D69" s="187"/>
      <c r="E69" s="187"/>
      <c r="F69" s="187"/>
      <c r="G69" s="187"/>
      <c r="H69" s="187"/>
      <c r="I69" s="187"/>
      <c r="J69" s="187"/>
      <c r="K69" s="187"/>
      <c r="L69" s="188"/>
    </row>
    <row r="70" spans="1:12" ht="18.75" x14ac:dyDescent="0.25">
      <c r="A70" s="1">
        <v>3</v>
      </c>
      <c r="B70" s="36"/>
      <c r="C70" s="37" t="s">
        <v>24</v>
      </c>
      <c r="D70" s="38"/>
      <c r="E70" s="39">
        <f>SUM(E71,E73:E97)</f>
        <v>95668.309000000008</v>
      </c>
      <c r="F70" s="40">
        <f t="shared" ref="F70:I70" si="4">SUM(F71,F73:F97)</f>
        <v>95668.309000000008</v>
      </c>
      <c r="G70" s="40">
        <f t="shared" si="4"/>
        <v>86604.217639999988</v>
      </c>
      <c r="H70" s="40">
        <f t="shared" si="4"/>
        <v>86604.217639999988</v>
      </c>
      <c r="I70" s="40">
        <f t="shared" si="4"/>
        <v>46.424999999999997</v>
      </c>
      <c r="J70" s="92"/>
      <c r="K70" s="93"/>
      <c r="L70" s="38"/>
    </row>
    <row r="71" spans="1:12" ht="18.75" x14ac:dyDescent="0.25">
      <c r="A71" s="1">
        <v>3</v>
      </c>
      <c r="B71" s="46"/>
      <c r="C71" s="24" t="s">
        <v>21</v>
      </c>
      <c r="D71" s="47"/>
      <c r="E71" s="94">
        <v>0</v>
      </c>
      <c r="F71" s="49">
        <v>0</v>
      </c>
      <c r="G71" s="49">
        <v>0</v>
      </c>
      <c r="H71" s="49"/>
      <c r="I71" s="49"/>
      <c r="J71" s="95"/>
      <c r="K71" s="25"/>
      <c r="L71" s="47"/>
    </row>
    <row r="72" spans="1:12" ht="16.5" x14ac:dyDescent="0.25">
      <c r="A72" s="1">
        <v>3</v>
      </c>
      <c r="B72" s="46"/>
      <c r="C72" s="54" t="s">
        <v>22</v>
      </c>
      <c r="D72" s="47"/>
      <c r="E72" s="48">
        <f>SUM(E73:E97)</f>
        <v>95668.309000000008</v>
      </c>
      <c r="F72" s="49">
        <f t="shared" ref="F72:I72" si="5">SUM(F73:F97)</f>
        <v>95668.309000000008</v>
      </c>
      <c r="G72" s="49">
        <f t="shared" si="5"/>
        <v>86604.217639999988</v>
      </c>
      <c r="H72" s="49">
        <f t="shared" si="5"/>
        <v>86604.217639999988</v>
      </c>
      <c r="I72" s="49">
        <f t="shared" si="5"/>
        <v>46.424999999999997</v>
      </c>
      <c r="J72" s="95"/>
      <c r="K72" s="25"/>
      <c r="L72" s="47"/>
    </row>
    <row r="73" spans="1:12" ht="103.5" x14ac:dyDescent="0.25">
      <c r="A73" s="1">
        <v>3</v>
      </c>
      <c r="B73" s="55">
        <v>1</v>
      </c>
      <c r="C73" s="65" t="s">
        <v>104</v>
      </c>
      <c r="D73" s="66"/>
      <c r="E73" s="67">
        <v>46.424999999999997</v>
      </c>
      <c r="F73" s="68">
        <v>46.424999999999997</v>
      </c>
      <c r="G73" s="68">
        <v>46.424999999999997</v>
      </c>
      <c r="H73" s="68">
        <v>46.424999999999997</v>
      </c>
      <c r="I73" s="68">
        <v>46.424999999999997</v>
      </c>
      <c r="J73" s="61"/>
      <c r="K73" s="62"/>
      <c r="L73" s="63" t="s">
        <v>33</v>
      </c>
    </row>
    <row r="74" spans="1:12" ht="69" x14ac:dyDescent="0.25">
      <c r="A74" s="1">
        <v>3</v>
      </c>
      <c r="B74" s="55">
        <f>B73+1</f>
        <v>2</v>
      </c>
      <c r="C74" s="65" t="s">
        <v>105</v>
      </c>
      <c r="D74" s="66" t="s">
        <v>28</v>
      </c>
      <c r="E74" s="67">
        <v>990</v>
      </c>
      <c r="F74" s="68">
        <v>990</v>
      </c>
      <c r="G74" s="68">
        <v>977.02800000000002</v>
      </c>
      <c r="H74" s="68">
        <v>977.02800000000002</v>
      </c>
      <c r="I74" s="68">
        <v>0</v>
      </c>
      <c r="J74" s="61" t="s">
        <v>29</v>
      </c>
      <c r="K74" s="62" t="s">
        <v>106</v>
      </c>
      <c r="L74" s="63" t="s">
        <v>57</v>
      </c>
    </row>
    <row r="75" spans="1:12" ht="51.75" x14ac:dyDescent="0.25">
      <c r="A75" s="1">
        <v>3</v>
      </c>
      <c r="B75" s="55">
        <f t="shared" ref="B75:B97" si="6">B74+1</f>
        <v>3</v>
      </c>
      <c r="C75" s="65" t="s">
        <v>107</v>
      </c>
      <c r="D75" s="66">
        <v>2015</v>
      </c>
      <c r="E75" s="67">
        <v>6098.9930000000004</v>
      </c>
      <c r="F75" s="68">
        <v>6098.9930000000004</v>
      </c>
      <c r="G75" s="68">
        <v>4896.4928399999999</v>
      </c>
      <c r="H75" s="68">
        <v>4896.4928399999999</v>
      </c>
      <c r="I75" s="68">
        <v>0</v>
      </c>
      <c r="J75" s="61" t="s">
        <v>29</v>
      </c>
      <c r="K75" s="62" t="s">
        <v>108</v>
      </c>
      <c r="L75" s="63" t="s">
        <v>57</v>
      </c>
    </row>
    <row r="76" spans="1:12" ht="69" x14ac:dyDescent="0.25">
      <c r="A76" s="1">
        <v>3</v>
      </c>
      <c r="B76" s="55">
        <f t="shared" si="6"/>
        <v>4</v>
      </c>
      <c r="C76" s="65" t="s">
        <v>109</v>
      </c>
      <c r="D76" s="66">
        <v>2015</v>
      </c>
      <c r="E76" s="67">
        <v>554.47799999999995</v>
      </c>
      <c r="F76" s="68">
        <v>554.47799999999995</v>
      </c>
      <c r="G76" s="69">
        <v>524.601</v>
      </c>
      <c r="H76" s="69">
        <v>524.601</v>
      </c>
      <c r="I76" s="68">
        <v>0</v>
      </c>
      <c r="J76" s="61" t="s">
        <v>110</v>
      </c>
      <c r="K76" s="62" t="s">
        <v>111</v>
      </c>
      <c r="L76" s="63" t="s">
        <v>57</v>
      </c>
    </row>
    <row r="77" spans="1:12" ht="51.75" x14ac:dyDescent="0.25">
      <c r="A77" s="1">
        <v>3</v>
      </c>
      <c r="B77" s="55">
        <f t="shared" si="6"/>
        <v>5</v>
      </c>
      <c r="C77" s="65" t="s">
        <v>112</v>
      </c>
      <c r="D77" s="66">
        <v>2015</v>
      </c>
      <c r="E77" s="67">
        <v>932.17700000000002</v>
      </c>
      <c r="F77" s="68">
        <v>932.17700000000002</v>
      </c>
      <c r="G77" s="68">
        <v>931.91499999999996</v>
      </c>
      <c r="H77" s="68">
        <v>931.91499999999996</v>
      </c>
      <c r="I77" s="68">
        <v>0</v>
      </c>
      <c r="J77" s="61" t="s">
        <v>29</v>
      </c>
      <c r="K77" s="62" t="s">
        <v>106</v>
      </c>
      <c r="L77" s="63" t="s">
        <v>57</v>
      </c>
    </row>
    <row r="78" spans="1:12" ht="69" x14ac:dyDescent="0.25">
      <c r="A78" s="1">
        <v>3</v>
      </c>
      <c r="B78" s="55">
        <f t="shared" si="6"/>
        <v>6</v>
      </c>
      <c r="C78" s="65" t="s">
        <v>113</v>
      </c>
      <c r="D78" s="66" t="s">
        <v>37</v>
      </c>
      <c r="E78" s="67">
        <v>5106.549</v>
      </c>
      <c r="F78" s="68">
        <v>5106.549</v>
      </c>
      <c r="G78" s="68">
        <v>2325.1696000000002</v>
      </c>
      <c r="H78" s="68">
        <v>2325.1696000000002</v>
      </c>
      <c r="I78" s="68">
        <v>0</v>
      </c>
      <c r="J78" s="61" t="s">
        <v>45</v>
      </c>
      <c r="K78" s="62"/>
      <c r="L78" s="63"/>
    </row>
    <row r="79" spans="1:12" ht="69" x14ac:dyDescent="0.25">
      <c r="A79" s="1">
        <v>3</v>
      </c>
      <c r="B79" s="55">
        <f t="shared" si="6"/>
        <v>7</v>
      </c>
      <c r="C79" s="65" t="s">
        <v>114</v>
      </c>
      <c r="D79" s="66" t="s">
        <v>28</v>
      </c>
      <c r="E79" s="67">
        <v>9124.3330000000005</v>
      </c>
      <c r="F79" s="68">
        <v>9124.3330000000005</v>
      </c>
      <c r="G79" s="68">
        <v>8645.6521400000001</v>
      </c>
      <c r="H79" s="68">
        <v>8645.6521400000001</v>
      </c>
      <c r="I79" s="68">
        <v>0</v>
      </c>
      <c r="J79" s="61" t="s">
        <v>29</v>
      </c>
      <c r="K79" s="62" t="s">
        <v>115</v>
      </c>
      <c r="L79" s="63" t="s">
        <v>57</v>
      </c>
    </row>
    <row r="80" spans="1:12" ht="69" x14ac:dyDescent="0.25">
      <c r="A80" s="1">
        <v>3</v>
      </c>
      <c r="B80" s="55">
        <f t="shared" si="6"/>
        <v>8</v>
      </c>
      <c r="C80" s="65" t="s">
        <v>116</v>
      </c>
      <c r="D80" s="66" t="s">
        <v>28</v>
      </c>
      <c r="E80" s="67">
        <v>8173.3549999999996</v>
      </c>
      <c r="F80" s="68">
        <v>8173.3549999999996</v>
      </c>
      <c r="G80" s="68">
        <v>8081.5478700000003</v>
      </c>
      <c r="H80" s="68">
        <v>8081.5478700000003</v>
      </c>
      <c r="I80" s="68">
        <v>0</v>
      </c>
      <c r="J80" s="61" t="s">
        <v>29</v>
      </c>
      <c r="K80" s="62" t="s">
        <v>115</v>
      </c>
      <c r="L80" s="63" t="s">
        <v>57</v>
      </c>
    </row>
    <row r="81" spans="1:12" ht="69" x14ac:dyDescent="0.25">
      <c r="A81" s="1">
        <v>3</v>
      </c>
      <c r="B81" s="55">
        <f t="shared" si="6"/>
        <v>9</v>
      </c>
      <c r="C81" s="65" t="s">
        <v>117</v>
      </c>
      <c r="D81" s="66" t="s">
        <v>28</v>
      </c>
      <c r="E81" s="67">
        <v>512.90899999999999</v>
      </c>
      <c r="F81" s="68">
        <v>512.90899999999999</v>
      </c>
      <c r="G81" s="68">
        <v>268.52339999999998</v>
      </c>
      <c r="H81" s="68">
        <v>268.52339999999998</v>
      </c>
      <c r="I81" s="68">
        <v>0</v>
      </c>
      <c r="J81" s="61" t="s">
        <v>29</v>
      </c>
      <c r="K81" s="62" t="s">
        <v>115</v>
      </c>
      <c r="L81" s="63" t="s">
        <v>57</v>
      </c>
    </row>
    <row r="82" spans="1:12" ht="69" x14ac:dyDescent="0.25">
      <c r="A82" s="1">
        <v>3</v>
      </c>
      <c r="B82" s="64">
        <f t="shared" si="6"/>
        <v>10</v>
      </c>
      <c r="C82" s="65" t="s">
        <v>118</v>
      </c>
      <c r="D82" s="66" t="s">
        <v>28</v>
      </c>
      <c r="E82" s="67">
        <f>2727.696+5900</f>
        <v>8627.6959999999999</v>
      </c>
      <c r="F82" s="68">
        <v>8627.6959999999999</v>
      </c>
      <c r="G82" s="68">
        <v>8616.0799499999994</v>
      </c>
      <c r="H82" s="68">
        <v>8616.0799499999994</v>
      </c>
      <c r="I82" s="68">
        <v>0</v>
      </c>
      <c r="J82" s="61" t="s">
        <v>45</v>
      </c>
      <c r="K82" s="62"/>
      <c r="L82" s="63"/>
    </row>
    <row r="83" spans="1:12" ht="51.75" x14ac:dyDescent="0.25">
      <c r="A83" s="1">
        <v>3</v>
      </c>
      <c r="B83" s="55">
        <f t="shared" si="6"/>
        <v>11</v>
      </c>
      <c r="C83" s="65" t="s">
        <v>119</v>
      </c>
      <c r="D83" s="66">
        <v>2015</v>
      </c>
      <c r="E83" s="67">
        <v>1002.14</v>
      </c>
      <c r="F83" s="68">
        <v>1002.14</v>
      </c>
      <c r="G83" s="68">
        <v>923.65099999999995</v>
      </c>
      <c r="H83" s="68">
        <v>923.65099999999995</v>
      </c>
      <c r="I83" s="68">
        <v>0</v>
      </c>
      <c r="J83" s="61" t="s">
        <v>29</v>
      </c>
      <c r="K83" s="62" t="s">
        <v>111</v>
      </c>
      <c r="L83" s="63" t="s">
        <v>57</v>
      </c>
    </row>
    <row r="84" spans="1:12" ht="69" x14ac:dyDescent="0.25">
      <c r="A84" s="1">
        <v>3</v>
      </c>
      <c r="B84" s="55">
        <f t="shared" si="6"/>
        <v>12</v>
      </c>
      <c r="C84" s="65" t="s">
        <v>120</v>
      </c>
      <c r="D84" s="66" t="s">
        <v>69</v>
      </c>
      <c r="E84" s="67">
        <v>807.05899999999997</v>
      </c>
      <c r="F84" s="68">
        <v>807.05899999999997</v>
      </c>
      <c r="G84" s="68">
        <v>806.16583000000003</v>
      </c>
      <c r="H84" s="68">
        <v>806.16583000000003</v>
      </c>
      <c r="I84" s="68">
        <v>0</v>
      </c>
      <c r="J84" s="61" t="s">
        <v>29</v>
      </c>
      <c r="K84" s="62" t="s">
        <v>121</v>
      </c>
      <c r="L84" s="63" t="s">
        <v>57</v>
      </c>
    </row>
    <row r="85" spans="1:12" ht="69" x14ac:dyDescent="0.25">
      <c r="A85" s="1">
        <v>3</v>
      </c>
      <c r="B85" s="55">
        <f t="shared" si="6"/>
        <v>13</v>
      </c>
      <c r="C85" s="65" t="s">
        <v>122</v>
      </c>
      <c r="D85" s="66" t="s">
        <v>28</v>
      </c>
      <c r="E85" s="67">
        <v>836.68600000000004</v>
      </c>
      <c r="F85" s="68">
        <v>836.68600000000004</v>
      </c>
      <c r="G85" s="68">
        <v>836.68600000000004</v>
      </c>
      <c r="H85" s="68">
        <v>836.68600000000004</v>
      </c>
      <c r="I85" s="68">
        <v>0</v>
      </c>
      <c r="J85" s="61" t="s">
        <v>29</v>
      </c>
      <c r="K85" s="62" t="s">
        <v>123</v>
      </c>
      <c r="L85" s="63" t="s">
        <v>57</v>
      </c>
    </row>
    <row r="86" spans="1:12" ht="51.75" x14ac:dyDescent="0.25">
      <c r="A86" s="1">
        <v>3</v>
      </c>
      <c r="B86" s="55">
        <f t="shared" si="6"/>
        <v>14</v>
      </c>
      <c r="C86" s="65" t="s">
        <v>124</v>
      </c>
      <c r="D86" s="66" t="s">
        <v>28</v>
      </c>
      <c r="E86" s="67">
        <v>1536.2049999999999</v>
      </c>
      <c r="F86" s="68">
        <v>1536.2049999999999</v>
      </c>
      <c r="G86" s="68">
        <v>1259.9551200000001</v>
      </c>
      <c r="H86" s="68">
        <v>1259.9551200000001</v>
      </c>
      <c r="I86" s="68">
        <v>0</v>
      </c>
      <c r="J86" s="61" t="s">
        <v>29</v>
      </c>
      <c r="K86" s="62" t="s">
        <v>115</v>
      </c>
      <c r="L86" s="63" t="s">
        <v>57</v>
      </c>
    </row>
    <row r="87" spans="1:12" ht="69" x14ac:dyDescent="0.25">
      <c r="A87" s="1">
        <v>3</v>
      </c>
      <c r="B87" s="55">
        <f t="shared" si="6"/>
        <v>15</v>
      </c>
      <c r="C87" s="65" t="s">
        <v>125</v>
      </c>
      <c r="D87" s="66">
        <v>2015</v>
      </c>
      <c r="E87" s="67">
        <v>1282.6569999999999</v>
      </c>
      <c r="F87" s="68">
        <v>1282.6569999999999</v>
      </c>
      <c r="G87" s="68">
        <v>1282.6569999999999</v>
      </c>
      <c r="H87" s="68">
        <v>1282.6569999999999</v>
      </c>
      <c r="I87" s="68">
        <v>0</v>
      </c>
      <c r="J87" s="96" t="s">
        <v>29</v>
      </c>
      <c r="K87" s="71" t="s">
        <v>123</v>
      </c>
      <c r="L87" s="63" t="s">
        <v>126</v>
      </c>
    </row>
    <row r="88" spans="1:12" ht="69" x14ac:dyDescent="0.25">
      <c r="A88" s="1">
        <v>3</v>
      </c>
      <c r="B88" s="55">
        <f t="shared" si="6"/>
        <v>16</v>
      </c>
      <c r="C88" s="65" t="s">
        <v>127</v>
      </c>
      <c r="D88" s="66">
        <v>2015</v>
      </c>
      <c r="E88" s="67">
        <v>1028.0250000000001</v>
      </c>
      <c r="F88" s="68">
        <v>1028.0250000000001</v>
      </c>
      <c r="G88" s="68">
        <v>1027.143</v>
      </c>
      <c r="H88" s="68">
        <v>1027.143</v>
      </c>
      <c r="I88" s="68">
        <v>0</v>
      </c>
      <c r="J88" s="61" t="s">
        <v>29</v>
      </c>
      <c r="K88" s="62" t="s">
        <v>128</v>
      </c>
      <c r="L88" s="63" t="s">
        <v>57</v>
      </c>
    </row>
    <row r="89" spans="1:12" ht="51.75" x14ac:dyDescent="0.25">
      <c r="A89" s="1">
        <v>3</v>
      </c>
      <c r="B89" s="64">
        <f t="shared" si="6"/>
        <v>17</v>
      </c>
      <c r="C89" s="97" t="s">
        <v>129</v>
      </c>
      <c r="D89" s="98">
        <v>2015</v>
      </c>
      <c r="E89" s="70">
        <f>616.866+89.457</f>
        <v>706.32299999999998</v>
      </c>
      <c r="F89" s="69">
        <v>706.32299999999998</v>
      </c>
      <c r="G89" s="69">
        <v>706.00625000000002</v>
      </c>
      <c r="H89" s="69">
        <v>706.00625000000002</v>
      </c>
      <c r="I89" s="69">
        <v>0</v>
      </c>
      <c r="J89" s="96" t="s">
        <v>29</v>
      </c>
      <c r="K89" s="71" t="s">
        <v>130</v>
      </c>
      <c r="L89" s="99" t="s">
        <v>57</v>
      </c>
    </row>
    <row r="90" spans="1:12" ht="51.75" x14ac:dyDescent="0.25">
      <c r="A90" s="1">
        <v>3</v>
      </c>
      <c r="B90" s="55">
        <f t="shared" si="6"/>
        <v>18</v>
      </c>
      <c r="C90" s="65" t="s">
        <v>131</v>
      </c>
      <c r="D90" s="66">
        <v>2015</v>
      </c>
      <c r="E90" s="67">
        <v>8440.4699999999993</v>
      </c>
      <c r="F90" s="68">
        <v>8440.4699999999993</v>
      </c>
      <c r="G90" s="68">
        <v>7775.9668099999999</v>
      </c>
      <c r="H90" s="68">
        <v>7775.9668099999999</v>
      </c>
      <c r="I90" s="68">
        <v>0</v>
      </c>
      <c r="J90" s="61" t="s">
        <v>45</v>
      </c>
      <c r="K90" s="62"/>
      <c r="L90" s="63"/>
    </row>
    <row r="91" spans="1:12" ht="69" x14ac:dyDescent="0.25">
      <c r="A91" s="1">
        <v>3</v>
      </c>
      <c r="B91" s="55">
        <f t="shared" si="6"/>
        <v>19</v>
      </c>
      <c r="C91" s="65" t="s">
        <v>132</v>
      </c>
      <c r="D91" s="66" t="s">
        <v>28</v>
      </c>
      <c r="E91" s="67">
        <v>2152.8290000000002</v>
      </c>
      <c r="F91" s="68">
        <v>2152.8290000000002</v>
      </c>
      <c r="G91" s="68">
        <v>1763.0432699999999</v>
      </c>
      <c r="H91" s="68">
        <v>1763.0432699999999</v>
      </c>
      <c r="I91" s="68">
        <v>0</v>
      </c>
      <c r="J91" s="61" t="s">
        <v>29</v>
      </c>
      <c r="K91" s="62" t="s">
        <v>130</v>
      </c>
      <c r="L91" s="63" t="s">
        <v>57</v>
      </c>
    </row>
    <row r="92" spans="1:12" ht="51.75" x14ac:dyDescent="0.25">
      <c r="A92" s="1">
        <v>3</v>
      </c>
      <c r="B92" s="55">
        <f t="shared" si="6"/>
        <v>20</v>
      </c>
      <c r="C92" s="65" t="s">
        <v>133</v>
      </c>
      <c r="D92" s="66" t="s">
        <v>59</v>
      </c>
      <c r="E92" s="67">
        <v>907.67200000000003</v>
      </c>
      <c r="F92" s="68">
        <v>907.67200000000003</v>
      </c>
      <c r="G92" s="68">
        <v>881.4606</v>
      </c>
      <c r="H92" s="68">
        <v>881.4606</v>
      </c>
      <c r="I92" s="68">
        <v>0</v>
      </c>
      <c r="J92" s="96" t="s">
        <v>110</v>
      </c>
      <c r="K92" s="71"/>
      <c r="L92" s="63" t="s">
        <v>126</v>
      </c>
    </row>
    <row r="93" spans="1:12" ht="51.75" x14ac:dyDescent="0.25">
      <c r="A93" s="1">
        <v>3</v>
      </c>
      <c r="B93" s="55">
        <f t="shared" si="6"/>
        <v>21</v>
      </c>
      <c r="C93" s="65" t="s">
        <v>134</v>
      </c>
      <c r="D93" s="66" t="s">
        <v>59</v>
      </c>
      <c r="E93" s="67">
        <v>2140.2669999999998</v>
      </c>
      <c r="F93" s="68">
        <v>2140.2669999999998</v>
      </c>
      <c r="G93" s="68">
        <v>1755.7518</v>
      </c>
      <c r="H93" s="68">
        <v>1755.7518</v>
      </c>
      <c r="I93" s="68">
        <v>0</v>
      </c>
      <c r="J93" s="61" t="s">
        <v>29</v>
      </c>
      <c r="K93" s="62" t="s">
        <v>115</v>
      </c>
      <c r="L93" s="63" t="s">
        <v>57</v>
      </c>
    </row>
    <row r="94" spans="1:12" ht="69" x14ac:dyDescent="0.25">
      <c r="A94" s="1">
        <v>3</v>
      </c>
      <c r="B94" s="55">
        <f t="shared" si="6"/>
        <v>22</v>
      </c>
      <c r="C94" s="65" t="s">
        <v>135</v>
      </c>
      <c r="D94" s="66">
        <v>2015</v>
      </c>
      <c r="E94" s="67">
        <v>359.26</v>
      </c>
      <c r="F94" s="68">
        <v>359.26</v>
      </c>
      <c r="G94" s="68">
        <v>302.5976</v>
      </c>
      <c r="H94" s="68">
        <v>302.5976</v>
      </c>
      <c r="I94" s="68">
        <v>0</v>
      </c>
      <c r="J94" s="61" t="s">
        <v>29</v>
      </c>
      <c r="K94" s="62" t="s">
        <v>106</v>
      </c>
      <c r="L94" s="63" t="s">
        <v>57</v>
      </c>
    </row>
    <row r="95" spans="1:12" ht="51.75" x14ac:dyDescent="0.25">
      <c r="A95" s="1">
        <v>3</v>
      </c>
      <c r="B95" s="55">
        <f t="shared" si="6"/>
        <v>23</v>
      </c>
      <c r="C95" s="65" t="s">
        <v>136</v>
      </c>
      <c r="D95" s="66" t="s">
        <v>37</v>
      </c>
      <c r="E95" s="67">
        <v>11566.23</v>
      </c>
      <c r="F95" s="68">
        <v>11566.23</v>
      </c>
      <c r="G95" s="68">
        <v>10328.15322</v>
      </c>
      <c r="H95" s="68">
        <v>10328.15322</v>
      </c>
      <c r="I95" s="68">
        <v>0</v>
      </c>
      <c r="J95" s="61" t="s">
        <v>110</v>
      </c>
      <c r="K95" s="62" t="s">
        <v>108</v>
      </c>
      <c r="L95" s="63" t="s">
        <v>137</v>
      </c>
    </row>
    <row r="96" spans="1:12" ht="51.75" x14ac:dyDescent="0.25">
      <c r="A96" s="1">
        <v>3</v>
      </c>
      <c r="B96" s="55">
        <f t="shared" si="6"/>
        <v>24</v>
      </c>
      <c r="C96" s="65" t="s">
        <v>138</v>
      </c>
      <c r="D96" s="66" t="s">
        <v>59</v>
      </c>
      <c r="E96" s="67">
        <v>6195.9059999999999</v>
      </c>
      <c r="F96" s="68">
        <v>6195.9059999999999</v>
      </c>
      <c r="G96" s="68">
        <v>5104.3573399999996</v>
      </c>
      <c r="H96" s="68">
        <v>5104.3573399999996</v>
      </c>
      <c r="I96" s="68">
        <v>0</v>
      </c>
      <c r="J96" s="61" t="s">
        <v>110</v>
      </c>
      <c r="K96" s="62" t="s">
        <v>108</v>
      </c>
      <c r="L96" s="63" t="s">
        <v>139</v>
      </c>
    </row>
    <row r="97" spans="1:12" ht="69.75" thickBot="1" x14ac:dyDescent="0.3">
      <c r="A97" s="1">
        <v>3</v>
      </c>
      <c r="B97" s="100">
        <f t="shared" si="6"/>
        <v>25</v>
      </c>
      <c r="C97" s="83" t="s">
        <v>140</v>
      </c>
      <c r="D97" s="84" t="s">
        <v>37</v>
      </c>
      <c r="E97" s="85">
        <f>22439.668-0.003-5900</f>
        <v>16539.665000000001</v>
      </c>
      <c r="F97" s="86">
        <v>16539.665000000001</v>
      </c>
      <c r="G97" s="86">
        <v>16537.187999999998</v>
      </c>
      <c r="H97" s="86">
        <v>16537.187999999998</v>
      </c>
      <c r="I97" s="86">
        <v>0</v>
      </c>
      <c r="J97" s="89" t="s">
        <v>29</v>
      </c>
      <c r="K97" s="90" t="s">
        <v>141</v>
      </c>
      <c r="L97" s="91" t="s">
        <v>142</v>
      </c>
    </row>
    <row r="98" spans="1:12" ht="15.75" thickBot="1" x14ac:dyDescent="0.3">
      <c r="A98" s="1">
        <v>4</v>
      </c>
      <c r="B98" s="162" t="s">
        <v>143</v>
      </c>
      <c r="C98" s="163"/>
      <c r="D98" s="163"/>
      <c r="E98" s="163"/>
      <c r="F98" s="163"/>
      <c r="G98" s="163"/>
      <c r="H98" s="163"/>
      <c r="I98" s="163"/>
      <c r="J98" s="163"/>
      <c r="K98" s="163"/>
      <c r="L98" s="164"/>
    </row>
    <row r="99" spans="1:12" ht="18.75" x14ac:dyDescent="0.25">
      <c r="A99" s="1">
        <v>4</v>
      </c>
      <c r="B99" s="36"/>
      <c r="C99" s="37" t="s">
        <v>24</v>
      </c>
      <c r="D99" s="38"/>
      <c r="E99" s="39">
        <f t="shared" ref="E99:I99" si="7">SUM(E100,E102:E143)</f>
        <v>177385.50299999991</v>
      </c>
      <c r="F99" s="40">
        <f t="shared" si="7"/>
        <v>177351.02399999992</v>
      </c>
      <c r="G99" s="40">
        <f t="shared" si="7"/>
        <v>177351.02399999992</v>
      </c>
      <c r="H99" s="40">
        <f t="shared" si="7"/>
        <v>169385.51186999999</v>
      </c>
      <c r="I99" s="40">
        <f t="shared" si="7"/>
        <v>6831.2870000000003</v>
      </c>
      <c r="J99" s="92"/>
      <c r="K99" s="93"/>
      <c r="L99" s="38"/>
    </row>
    <row r="100" spans="1:12" ht="18.75" x14ac:dyDescent="0.25">
      <c r="A100" s="1">
        <v>4</v>
      </c>
      <c r="B100" s="46"/>
      <c r="C100" s="24" t="s">
        <v>21</v>
      </c>
      <c r="D100" s="47"/>
      <c r="E100" s="48">
        <v>34.478999999999999</v>
      </c>
      <c r="F100" s="49">
        <v>0</v>
      </c>
      <c r="G100" s="49">
        <v>0</v>
      </c>
      <c r="H100" s="49"/>
      <c r="I100" s="49"/>
      <c r="J100" s="95"/>
      <c r="K100" s="25"/>
      <c r="L100" s="47"/>
    </row>
    <row r="101" spans="1:12" ht="16.5" x14ac:dyDescent="0.25">
      <c r="A101" s="1">
        <v>4</v>
      </c>
      <c r="B101" s="46"/>
      <c r="C101" s="54" t="s">
        <v>22</v>
      </c>
      <c r="D101" s="47"/>
      <c r="E101" s="48">
        <f>SUM(E102:E143)</f>
        <v>177351.02399999992</v>
      </c>
      <c r="F101" s="49">
        <f t="shared" ref="F101:I101" si="8">SUM(F102:F143)</f>
        <v>177351.02399999992</v>
      </c>
      <c r="G101" s="49">
        <f t="shared" si="8"/>
        <v>177351.02399999992</v>
      </c>
      <c r="H101" s="49">
        <f t="shared" si="8"/>
        <v>169385.51186999999</v>
      </c>
      <c r="I101" s="49">
        <f t="shared" si="8"/>
        <v>6831.2870000000003</v>
      </c>
      <c r="J101" s="95"/>
      <c r="K101" s="25"/>
      <c r="L101" s="47"/>
    </row>
    <row r="102" spans="1:12" ht="103.5" x14ac:dyDescent="0.25">
      <c r="A102" s="1">
        <v>4</v>
      </c>
      <c r="B102" s="101">
        <v>1</v>
      </c>
      <c r="C102" s="97" t="s">
        <v>144</v>
      </c>
      <c r="D102" s="98"/>
      <c r="E102" s="70">
        <v>1581.8</v>
      </c>
      <c r="F102" s="69">
        <v>1581.8</v>
      </c>
      <c r="G102" s="69">
        <v>1581.8</v>
      </c>
      <c r="H102" s="69">
        <v>1581.8</v>
      </c>
      <c r="I102" s="69">
        <v>1581.8</v>
      </c>
      <c r="J102" s="61"/>
      <c r="K102" s="62"/>
      <c r="L102" s="63" t="s">
        <v>33</v>
      </c>
    </row>
    <row r="103" spans="1:12" ht="69" x14ac:dyDescent="0.25">
      <c r="A103" s="1">
        <v>4</v>
      </c>
      <c r="B103" s="101">
        <f>B102+1</f>
        <v>2</v>
      </c>
      <c r="C103" s="97" t="s">
        <v>145</v>
      </c>
      <c r="D103" s="98"/>
      <c r="E103" s="70">
        <v>3678.4409999999998</v>
      </c>
      <c r="F103" s="69">
        <v>3678.4409999999998</v>
      </c>
      <c r="G103" s="69">
        <v>3678.4409999999998</v>
      </c>
      <c r="H103" s="69">
        <v>3678.4409999999998</v>
      </c>
      <c r="I103" s="69">
        <v>3678.4409999999998</v>
      </c>
      <c r="J103" s="61"/>
      <c r="K103" s="62"/>
      <c r="L103" s="63" t="s">
        <v>33</v>
      </c>
    </row>
    <row r="104" spans="1:12" ht="103.5" x14ac:dyDescent="0.25">
      <c r="A104" s="1">
        <v>4</v>
      </c>
      <c r="B104" s="101">
        <f t="shared" ref="B104:B143" si="9">B103+1</f>
        <v>3</v>
      </c>
      <c r="C104" s="97" t="s">
        <v>146</v>
      </c>
      <c r="D104" s="98"/>
      <c r="E104" s="70">
        <v>72.418000000000006</v>
      </c>
      <c r="F104" s="69">
        <v>72.418000000000006</v>
      </c>
      <c r="G104" s="69">
        <v>72.418000000000006</v>
      </c>
      <c r="H104" s="69">
        <v>72.418000000000006</v>
      </c>
      <c r="I104" s="69">
        <v>72.418000000000006</v>
      </c>
      <c r="J104" s="61"/>
      <c r="K104" s="62"/>
      <c r="L104" s="63" t="s">
        <v>33</v>
      </c>
    </row>
    <row r="105" spans="1:12" ht="51.75" x14ac:dyDescent="0.25">
      <c r="A105" s="1">
        <v>4</v>
      </c>
      <c r="B105" s="101">
        <f t="shared" si="9"/>
        <v>4</v>
      </c>
      <c r="C105" s="97" t="s">
        <v>147</v>
      </c>
      <c r="D105" s="98"/>
      <c r="E105" s="70">
        <v>1397.25</v>
      </c>
      <c r="F105" s="69">
        <v>1397.25</v>
      </c>
      <c r="G105" s="69">
        <v>1397.25</v>
      </c>
      <c r="H105" s="69">
        <v>1397.25</v>
      </c>
      <c r="I105" s="69">
        <v>1397.25</v>
      </c>
      <c r="J105" s="61"/>
      <c r="K105" s="62"/>
      <c r="L105" s="63" t="s">
        <v>33</v>
      </c>
    </row>
    <row r="106" spans="1:12" ht="69" x14ac:dyDescent="0.25">
      <c r="A106" s="1">
        <v>4</v>
      </c>
      <c r="B106" s="101">
        <f t="shared" si="9"/>
        <v>5</v>
      </c>
      <c r="C106" s="97" t="s">
        <v>148</v>
      </c>
      <c r="D106" s="98"/>
      <c r="E106" s="70">
        <v>97.117999999999995</v>
      </c>
      <c r="F106" s="69">
        <v>97.117999999999995</v>
      </c>
      <c r="G106" s="69">
        <v>97.117999999999995</v>
      </c>
      <c r="H106" s="69">
        <v>97.117999999999995</v>
      </c>
      <c r="I106" s="69">
        <v>97.117999999999995</v>
      </c>
      <c r="J106" s="61"/>
      <c r="K106" s="62"/>
      <c r="L106" s="63" t="s">
        <v>33</v>
      </c>
    </row>
    <row r="107" spans="1:12" ht="86.25" x14ac:dyDescent="0.25">
      <c r="A107" s="1">
        <v>4</v>
      </c>
      <c r="B107" s="101">
        <f t="shared" si="9"/>
        <v>6</v>
      </c>
      <c r="C107" s="97" t="s">
        <v>149</v>
      </c>
      <c r="D107" s="98"/>
      <c r="E107" s="70">
        <v>4.26</v>
      </c>
      <c r="F107" s="69">
        <v>4.26</v>
      </c>
      <c r="G107" s="69">
        <v>4.26</v>
      </c>
      <c r="H107" s="69">
        <v>4.26</v>
      </c>
      <c r="I107" s="69">
        <v>4.26</v>
      </c>
      <c r="J107" s="61"/>
      <c r="K107" s="62"/>
      <c r="L107" s="63" t="s">
        <v>33</v>
      </c>
    </row>
    <row r="108" spans="1:12" ht="45" x14ac:dyDescent="0.25">
      <c r="A108" s="1">
        <v>4</v>
      </c>
      <c r="B108" s="101">
        <f t="shared" si="9"/>
        <v>7</v>
      </c>
      <c r="C108" s="97" t="s">
        <v>150</v>
      </c>
      <c r="D108" s="98">
        <v>2015</v>
      </c>
      <c r="E108" s="70">
        <v>40500.69</v>
      </c>
      <c r="F108" s="69">
        <v>40500.69</v>
      </c>
      <c r="G108" s="69">
        <v>40500.69</v>
      </c>
      <c r="H108" s="69">
        <v>40500.69</v>
      </c>
      <c r="I108" s="69">
        <v>0</v>
      </c>
      <c r="J108" s="61" t="s">
        <v>29</v>
      </c>
      <c r="K108" s="62" t="s">
        <v>151</v>
      </c>
      <c r="L108" s="63" t="s">
        <v>75</v>
      </c>
    </row>
    <row r="109" spans="1:12" ht="86.25" x14ac:dyDescent="0.25">
      <c r="A109" s="1">
        <v>4</v>
      </c>
      <c r="B109" s="101">
        <f t="shared" si="9"/>
        <v>8</v>
      </c>
      <c r="C109" s="97" t="s">
        <v>152</v>
      </c>
      <c r="D109" s="98" t="s">
        <v>153</v>
      </c>
      <c r="E109" s="70">
        <f>56099.777-5151.054</f>
        <v>50948.722999999998</v>
      </c>
      <c r="F109" s="69">
        <v>50948.722999999998</v>
      </c>
      <c r="G109" s="69">
        <v>50948.722999999998</v>
      </c>
      <c r="H109" s="69">
        <v>48752.388290000003</v>
      </c>
      <c r="I109" s="69">
        <v>0</v>
      </c>
      <c r="J109" s="61" t="s">
        <v>29</v>
      </c>
      <c r="K109" s="62" t="s">
        <v>30</v>
      </c>
      <c r="L109" s="63"/>
    </row>
    <row r="110" spans="1:12" ht="51.75" x14ac:dyDescent="0.25">
      <c r="A110" s="1">
        <v>4</v>
      </c>
      <c r="B110" s="101">
        <f t="shared" si="9"/>
        <v>9</v>
      </c>
      <c r="C110" s="97" t="s">
        <v>154</v>
      </c>
      <c r="D110" s="98" t="s">
        <v>28</v>
      </c>
      <c r="E110" s="70">
        <f>7593.131-4438.746</f>
        <v>3154.3850000000002</v>
      </c>
      <c r="F110" s="69">
        <v>3154.3850000000002</v>
      </c>
      <c r="G110" s="69">
        <v>3154.3850000000002</v>
      </c>
      <c r="H110" s="69">
        <v>3154.3850000000002</v>
      </c>
      <c r="I110" s="69">
        <v>0</v>
      </c>
      <c r="J110" s="61" t="s">
        <v>45</v>
      </c>
      <c r="K110" s="62"/>
      <c r="L110" s="57" t="s">
        <v>126</v>
      </c>
    </row>
    <row r="111" spans="1:12" ht="51.75" x14ac:dyDescent="0.25">
      <c r="A111" s="1">
        <v>4</v>
      </c>
      <c r="B111" s="101">
        <f t="shared" si="9"/>
        <v>10</v>
      </c>
      <c r="C111" s="97" t="s">
        <v>155</v>
      </c>
      <c r="D111" s="98" t="s">
        <v>153</v>
      </c>
      <c r="E111" s="70">
        <v>4380</v>
      </c>
      <c r="F111" s="69">
        <v>4380</v>
      </c>
      <c r="G111" s="69">
        <v>4380</v>
      </c>
      <c r="H111" s="69">
        <v>4380</v>
      </c>
      <c r="I111" s="69">
        <v>0</v>
      </c>
      <c r="J111" s="61" t="s">
        <v>29</v>
      </c>
      <c r="K111" s="62" t="s">
        <v>30</v>
      </c>
      <c r="L111" s="63"/>
    </row>
    <row r="112" spans="1:12" ht="51.75" x14ac:dyDescent="0.25">
      <c r="A112" s="1">
        <v>4</v>
      </c>
      <c r="B112" s="101">
        <f t="shared" si="9"/>
        <v>11</v>
      </c>
      <c r="C112" s="97" t="s">
        <v>156</v>
      </c>
      <c r="D112" s="98" t="s">
        <v>59</v>
      </c>
      <c r="E112" s="70">
        <v>4291.5590000000002</v>
      </c>
      <c r="F112" s="69">
        <v>4291.5590000000002</v>
      </c>
      <c r="G112" s="69">
        <v>4291.5590000000002</v>
      </c>
      <c r="H112" s="69">
        <v>3731.7939200000001</v>
      </c>
      <c r="I112" s="69">
        <v>0</v>
      </c>
      <c r="J112" s="61" t="s">
        <v>29</v>
      </c>
      <c r="K112" s="62"/>
      <c r="L112" s="63" t="s">
        <v>126</v>
      </c>
    </row>
    <row r="113" spans="1:12" ht="69" x14ac:dyDescent="0.25">
      <c r="A113" s="1">
        <v>4</v>
      </c>
      <c r="B113" s="101">
        <f t="shared" si="9"/>
        <v>12</v>
      </c>
      <c r="C113" s="97" t="s">
        <v>157</v>
      </c>
      <c r="D113" s="98" t="s">
        <v>59</v>
      </c>
      <c r="E113" s="70">
        <v>9100</v>
      </c>
      <c r="F113" s="69">
        <v>9100</v>
      </c>
      <c r="G113" s="69">
        <v>9100</v>
      </c>
      <c r="H113" s="69">
        <v>9100</v>
      </c>
      <c r="I113" s="69">
        <v>0</v>
      </c>
      <c r="J113" s="61" t="s">
        <v>110</v>
      </c>
      <c r="K113" s="62"/>
      <c r="L113" s="63" t="s">
        <v>126</v>
      </c>
    </row>
    <row r="114" spans="1:12" ht="120.75" x14ac:dyDescent="0.25">
      <c r="A114" s="1">
        <v>4</v>
      </c>
      <c r="B114" s="101">
        <f t="shared" si="9"/>
        <v>13</v>
      </c>
      <c r="C114" s="102" t="s">
        <v>158</v>
      </c>
      <c r="D114" s="98" t="s">
        <v>59</v>
      </c>
      <c r="E114" s="70">
        <v>8324.8970000000008</v>
      </c>
      <c r="F114" s="69">
        <v>8324.8970000000008</v>
      </c>
      <c r="G114" s="69">
        <v>8324.8970000000008</v>
      </c>
      <c r="H114" s="69">
        <v>8324.8967500000017</v>
      </c>
      <c r="I114" s="69">
        <v>0</v>
      </c>
      <c r="J114" s="61" t="s">
        <v>29</v>
      </c>
      <c r="K114" s="62" t="s">
        <v>30</v>
      </c>
      <c r="L114" s="63" t="s">
        <v>57</v>
      </c>
    </row>
    <row r="115" spans="1:12" ht="69" x14ac:dyDescent="0.25">
      <c r="A115" s="1">
        <v>4</v>
      </c>
      <c r="B115" s="101">
        <f t="shared" si="9"/>
        <v>14</v>
      </c>
      <c r="C115" s="97" t="s">
        <v>159</v>
      </c>
      <c r="D115" s="98" t="s">
        <v>153</v>
      </c>
      <c r="E115" s="70">
        <f>11848.422+7741.399</f>
        <v>19589.821</v>
      </c>
      <c r="F115" s="69">
        <v>19589.821</v>
      </c>
      <c r="G115" s="69">
        <v>19589.821</v>
      </c>
      <c r="H115" s="69">
        <v>17532.554399999997</v>
      </c>
      <c r="I115" s="69">
        <v>0</v>
      </c>
      <c r="J115" s="61" t="s">
        <v>29</v>
      </c>
      <c r="K115" s="62" t="s">
        <v>30</v>
      </c>
      <c r="L115" s="63"/>
    </row>
    <row r="116" spans="1:12" ht="69" x14ac:dyDescent="0.25">
      <c r="A116" s="1">
        <v>4</v>
      </c>
      <c r="B116" s="101">
        <f t="shared" si="9"/>
        <v>15</v>
      </c>
      <c r="C116" s="97" t="s">
        <v>160</v>
      </c>
      <c r="D116" s="98" t="s">
        <v>37</v>
      </c>
      <c r="E116" s="70">
        <v>3112.5010000000002</v>
      </c>
      <c r="F116" s="69">
        <v>3112.5010000000002</v>
      </c>
      <c r="G116" s="69">
        <v>3112.5010000000002</v>
      </c>
      <c r="H116" s="69">
        <v>3112.4991</v>
      </c>
      <c r="I116" s="69">
        <v>0</v>
      </c>
      <c r="J116" s="61" t="s">
        <v>45</v>
      </c>
      <c r="K116" s="62"/>
      <c r="L116" s="57" t="s">
        <v>126</v>
      </c>
    </row>
    <row r="117" spans="1:12" ht="69" x14ac:dyDescent="0.25">
      <c r="A117" s="1">
        <v>4</v>
      </c>
      <c r="B117" s="101">
        <f t="shared" si="9"/>
        <v>16</v>
      </c>
      <c r="C117" s="97" t="s">
        <v>161</v>
      </c>
      <c r="D117" s="98" t="s">
        <v>28</v>
      </c>
      <c r="E117" s="70">
        <v>4924.6750000000002</v>
      </c>
      <c r="F117" s="69">
        <v>4924.6750000000002</v>
      </c>
      <c r="G117" s="69">
        <v>4924.6750000000002</v>
      </c>
      <c r="H117" s="69">
        <v>4924.6745099999998</v>
      </c>
      <c r="I117" s="69">
        <v>0</v>
      </c>
      <c r="J117" s="61" t="s">
        <v>45</v>
      </c>
      <c r="K117" s="62"/>
      <c r="L117" s="63"/>
    </row>
    <row r="118" spans="1:12" ht="120.75" x14ac:dyDescent="0.25">
      <c r="A118" s="1">
        <v>4</v>
      </c>
      <c r="B118" s="101">
        <f t="shared" si="9"/>
        <v>17</v>
      </c>
      <c r="C118" s="102" t="s">
        <v>162</v>
      </c>
      <c r="D118" s="98" t="s">
        <v>153</v>
      </c>
      <c r="E118" s="70">
        <v>400</v>
      </c>
      <c r="F118" s="69">
        <v>400</v>
      </c>
      <c r="G118" s="69">
        <v>400</v>
      </c>
      <c r="H118" s="69">
        <v>400</v>
      </c>
      <c r="I118" s="69">
        <v>0</v>
      </c>
      <c r="J118" s="61" t="s">
        <v>29</v>
      </c>
      <c r="K118" s="62"/>
      <c r="L118" s="63" t="s">
        <v>75</v>
      </c>
    </row>
    <row r="119" spans="1:12" ht="103.5" x14ac:dyDescent="0.25">
      <c r="A119" s="1">
        <v>4</v>
      </c>
      <c r="B119" s="101">
        <f t="shared" si="9"/>
        <v>18</v>
      </c>
      <c r="C119" s="97" t="s">
        <v>163</v>
      </c>
      <c r="D119" s="98" t="s">
        <v>153</v>
      </c>
      <c r="E119" s="70">
        <v>100</v>
      </c>
      <c r="F119" s="69">
        <v>100</v>
      </c>
      <c r="G119" s="69">
        <v>100</v>
      </c>
      <c r="H119" s="69">
        <v>100</v>
      </c>
      <c r="I119" s="69">
        <v>0</v>
      </c>
      <c r="J119" s="61" t="s">
        <v>29</v>
      </c>
      <c r="K119" s="62"/>
      <c r="L119" s="63" t="s">
        <v>75</v>
      </c>
    </row>
    <row r="120" spans="1:12" ht="86.25" x14ac:dyDescent="0.25">
      <c r="A120" s="1">
        <v>4</v>
      </c>
      <c r="B120" s="101">
        <f t="shared" si="9"/>
        <v>19</v>
      </c>
      <c r="C120" s="97" t="s">
        <v>164</v>
      </c>
      <c r="D120" s="98" t="s">
        <v>153</v>
      </c>
      <c r="E120" s="70">
        <v>191</v>
      </c>
      <c r="F120" s="69">
        <v>191</v>
      </c>
      <c r="G120" s="69">
        <v>191</v>
      </c>
      <c r="H120" s="69">
        <v>191</v>
      </c>
      <c r="I120" s="69">
        <v>0</v>
      </c>
      <c r="J120" s="61" t="s">
        <v>29</v>
      </c>
      <c r="K120" s="62"/>
      <c r="L120" s="63" t="s">
        <v>75</v>
      </c>
    </row>
    <row r="121" spans="1:12" ht="86.25" x14ac:dyDescent="0.25">
      <c r="A121" s="1">
        <v>4</v>
      </c>
      <c r="B121" s="101">
        <f t="shared" si="9"/>
        <v>20</v>
      </c>
      <c r="C121" s="97" t="s">
        <v>165</v>
      </c>
      <c r="D121" s="98" t="s">
        <v>153</v>
      </c>
      <c r="E121" s="70">
        <v>76.8</v>
      </c>
      <c r="F121" s="69">
        <v>76.8</v>
      </c>
      <c r="G121" s="69">
        <v>76.8</v>
      </c>
      <c r="H121" s="69">
        <v>76.8</v>
      </c>
      <c r="I121" s="69">
        <v>0</v>
      </c>
      <c r="J121" s="61" t="s">
        <v>29</v>
      </c>
      <c r="K121" s="62"/>
      <c r="L121" s="63" t="s">
        <v>75</v>
      </c>
    </row>
    <row r="122" spans="1:12" ht="69" x14ac:dyDescent="0.25">
      <c r="A122" s="1">
        <v>4</v>
      </c>
      <c r="B122" s="101">
        <f t="shared" si="9"/>
        <v>21</v>
      </c>
      <c r="C122" s="97" t="s">
        <v>166</v>
      </c>
      <c r="D122" s="98" t="s">
        <v>153</v>
      </c>
      <c r="E122" s="70">
        <v>157.1</v>
      </c>
      <c r="F122" s="69">
        <v>157.1</v>
      </c>
      <c r="G122" s="69">
        <v>157.1</v>
      </c>
      <c r="H122" s="69">
        <v>15.038399999999999</v>
      </c>
      <c r="I122" s="69">
        <v>0</v>
      </c>
      <c r="J122" s="61" t="s">
        <v>29</v>
      </c>
      <c r="K122" s="62"/>
      <c r="L122" s="63" t="s">
        <v>75</v>
      </c>
    </row>
    <row r="123" spans="1:12" ht="103.5" x14ac:dyDescent="0.25">
      <c r="A123" s="1">
        <v>4</v>
      </c>
      <c r="B123" s="101">
        <f t="shared" si="9"/>
        <v>22</v>
      </c>
      <c r="C123" s="97" t="s">
        <v>167</v>
      </c>
      <c r="D123" s="98" t="s">
        <v>153</v>
      </c>
      <c r="E123" s="70">
        <v>440</v>
      </c>
      <c r="F123" s="69">
        <v>440</v>
      </c>
      <c r="G123" s="69">
        <v>440</v>
      </c>
      <c r="H123" s="69">
        <v>437.84899999999999</v>
      </c>
      <c r="I123" s="69">
        <v>0</v>
      </c>
      <c r="J123" s="61" t="s">
        <v>29</v>
      </c>
      <c r="K123" s="62"/>
      <c r="L123" s="63" t="s">
        <v>75</v>
      </c>
    </row>
    <row r="124" spans="1:12" ht="103.5" x14ac:dyDescent="0.25">
      <c r="A124" s="1">
        <v>4</v>
      </c>
      <c r="B124" s="101">
        <f t="shared" si="9"/>
        <v>23</v>
      </c>
      <c r="C124" s="97" t="s">
        <v>168</v>
      </c>
      <c r="D124" s="98" t="s">
        <v>153</v>
      </c>
      <c r="E124" s="70">
        <v>200</v>
      </c>
      <c r="F124" s="69">
        <v>200</v>
      </c>
      <c r="G124" s="69">
        <v>200</v>
      </c>
      <c r="H124" s="69">
        <v>0</v>
      </c>
      <c r="I124" s="69">
        <v>0</v>
      </c>
      <c r="J124" s="61" t="s">
        <v>45</v>
      </c>
      <c r="K124" s="62"/>
      <c r="L124" s="63"/>
    </row>
    <row r="125" spans="1:12" ht="120.75" x14ac:dyDescent="0.25">
      <c r="A125" s="1">
        <v>4</v>
      </c>
      <c r="B125" s="101">
        <f t="shared" si="9"/>
        <v>24</v>
      </c>
      <c r="C125" s="97" t="s">
        <v>169</v>
      </c>
      <c r="D125" s="98" t="s">
        <v>153</v>
      </c>
      <c r="E125" s="70">
        <v>162</v>
      </c>
      <c r="F125" s="69">
        <v>162</v>
      </c>
      <c r="G125" s="69">
        <v>162</v>
      </c>
      <c r="H125" s="69">
        <v>162</v>
      </c>
      <c r="I125" s="69">
        <v>0</v>
      </c>
      <c r="J125" s="61" t="s">
        <v>29</v>
      </c>
      <c r="K125" s="62"/>
      <c r="L125" s="63" t="s">
        <v>75</v>
      </c>
    </row>
    <row r="126" spans="1:12" ht="86.25" x14ac:dyDescent="0.25">
      <c r="A126" s="1">
        <v>4</v>
      </c>
      <c r="B126" s="101">
        <f t="shared" si="9"/>
        <v>25</v>
      </c>
      <c r="C126" s="97" t="s">
        <v>170</v>
      </c>
      <c r="D126" s="98" t="s">
        <v>153</v>
      </c>
      <c r="E126" s="70">
        <v>1572.373</v>
      </c>
      <c r="F126" s="69">
        <v>1572.373</v>
      </c>
      <c r="G126" s="69">
        <v>1572.373</v>
      </c>
      <c r="H126" s="69">
        <v>1572.0666899999999</v>
      </c>
      <c r="I126" s="69">
        <v>0</v>
      </c>
      <c r="J126" s="61" t="s">
        <v>29</v>
      </c>
      <c r="K126" s="62" t="s">
        <v>30</v>
      </c>
      <c r="L126" s="63" t="s">
        <v>57</v>
      </c>
    </row>
    <row r="127" spans="1:12" ht="51.75" x14ac:dyDescent="0.25">
      <c r="A127" s="1">
        <v>4</v>
      </c>
      <c r="B127" s="101">
        <f t="shared" si="9"/>
        <v>26</v>
      </c>
      <c r="C127" s="97" t="s">
        <v>171</v>
      </c>
      <c r="D127" s="98" t="s">
        <v>153</v>
      </c>
      <c r="E127" s="70">
        <v>807.09900000000005</v>
      </c>
      <c r="F127" s="69">
        <v>807.09900000000005</v>
      </c>
      <c r="G127" s="69">
        <v>807.09900000000005</v>
      </c>
      <c r="H127" s="69">
        <v>807.09878000000003</v>
      </c>
      <c r="I127" s="69">
        <v>0</v>
      </c>
      <c r="J127" s="61" t="s">
        <v>29</v>
      </c>
      <c r="K127" s="62" t="s">
        <v>30</v>
      </c>
      <c r="L127" s="63" t="s">
        <v>57</v>
      </c>
    </row>
    <row r="128" spans="1:12" ht="51.75" x14ac:dyDescent="0.25">
      <c r="A128" s="1">
        <v>4</v>
      </c>
      <c r="B128" s="101">
        <f t="shared" si="9"/>
        <v>27</v>
      </c>
      <c r="C128" s="97" t="s">
        <v>172</v>
      </c>
      <c r="D128" s="98" t="s">
        <v>153</v>
      </c>
      <c r="E128" s="70">
        <f>4234.6+1848.401</f>
        <v>6083.0010000000002</v>
      </c>
      <c r="F128" s="69">
        <v>6083.0010000000002</v>
      </c>
      <c r="G128" s="69">
        <v>6083.0010000000002</v>
      </c>
      <c r="H128" s="69">
        <v>5481.7087799999999</v>
      </c>
      <c r="I128" s="69">
        <v>0</v>
      </c>
      <c r="J128" s="61" t="s">
        <v>29</v>
      </c>
      <c r="K128" s="62" t="s">
        <v>30</v>
      </c>
      <c r="L128" s="63"/>
    </row>
    <row r="129" spans="1:12" ht="51.75" x14ac:dyDescent="0.25">
      <c r="A129" s="1">
        <v>4</v>
      </c>
      <c r="B129" s="101">
        <f t="shared" si="9"/>
        <v>28</v>
      </c>
      <c r="C129" s="97" t="s">
        <v>173</v>
      </c>
      <c r="D129" s="98" t="s">
        <v>28</v>
      </c>
      <c r="E129" s="70">
        <v>1546.5119999999999</v>
      </c>
      <c r="F129" s="69">
        <v>1546.5119999999999</v>
      </c>
      <c r="G129" s="69">
        <v>1546.5119999999999</v>
      </c>
      <c r="H129" s="69">
        <v>1343.63672</v>
      </c>
      <c r="I129" s="69">
        <v>0</v>
      </c>
      <c r="J129" s="61" t="s">
        <v>110</v>
      </c>
      <c r="K129" s="62"/>
      <c r="L129" s="63" t="s">
        <v>126</v>
      </c>
    </row>
    <row r="130" spans="1:12" ht="69" x14ac:dyDescent="0.25">
      <c r="A130" s="1">
        <v>4</v>
      </c>
      <c r="B130" s="101">
        <f t="shared" si="9"/>
        <v>29</v>
      </c>
      <c r="C130" s="97" t="s">
        <v>174</v>
      </c>
      <c r="D130" s="98" t="s">
        <v>153</v>
      </c>
      <c r="E130" s="70">
        <v>7351.0680000000002</v>
      </c>
      <c r="F130" s="69">
        <v>7351.0680000000002</v>
      </c>
      <c r="G130" s="69">
        <v>7351.0680000000002</v>
      </c>
      <c r="H130" s="69">
        <v>7351.0652300000002</v>
      </c>
      <c r="I130" s="69">
        <v>0</v>
      </c>
      <c r="J130" s="61" t="s">
        <v>45</v>
      </c>
      <c r="K130" s="62"/>
      <c r="L130" s="63"/>
    </row>
    <row r="131" spans="1:12" ht="86.25" x14ac:dyDescent="0.25">
      <c r="A131" s="1">
        <v>4</v>
      </c>
      <c r="B131" s="101">
        <f t="shared" si="9"/>
        <v>30</v>
      </c>
      <c r="C131" s="97" t="s">
        <v>175</v>
      </c>
      <c r="D131" s="98" t="s">
        <v>153</v>
      </c>
      <c r="E131" s="70">
        <v>401.2</v>
      </c>
      <c r="F131" s="69">
        <v>401.2</v>
      </c>
      <c r="G131" s="69">
        <v>401.2</v>
      </c>
      <c r="H131" s="69">
        <v>0</v>
      </c>
      <c r="I131" s="69">
        <v>0</v>
      </c>
      <c r="J131" s="61" t="s">
        <v>45</v>
      </c>
      <c r="K131" s="62"/>
      <c r="L131" s="63"/>
    </row>
    <row r="132" spans="1:12" ht="86.25" x14ac:dyDescent="0.25">
      <c r="A132" s="1">
        <v>4</v>
      </c>
      <c r="B132" s="101">
        <f t="shared" si="9"/>
        <v>31</v>
      </c>
      <c r="C132" s="97" t="s">
        <v>176</v>
      </c>
      <c r="D132" s="98" t="s">
        <v>153</v>
      </c>
      <c r="E132" s="70">
        <v>100</v>
      </c>
      <c r="F132" s="69">
        <v>100</v>
      </c>
      <c r="G132" s="69">
        <v>100</v>
      </c>
      <c r="H132" s="69">
        <v>100</v>
      </c>
      <c r="I132" s="69">
        <v>0</v>
      </c>
      <c r="J132" s="61" t="s">
        <v>29</v>
      </c>
      <c r="K132" s="62"/>
      <c r="L132" s="63" t="s">
        <v>75</v>
      </c>
    </row>
    <row r="133" spans="1:12" ht="86.25" x14ac:dyDescent="0.25">
      <c r="A133" s="1">
        <v>4</v>
      </c>
      <c r="B133" s="101">
        <f t="shared" si="9"/>
        <v>32</v>
      </c>
      <c r="C133" s="97" t="s">
        <v>177</v>
      </c>
      <c r="D133" s="98" t="s">
        <v>153</v>
      </c>
      <c r="E133" s="70">
        <v>40</v>
      </c>
      <c r="F133" s="69">
        <v>40</v>
      </c>
      <c r="G133" s="69">
        <v>40</v>
      </c>
      <c r="H133" s="69">
        <v>0</v>
      </c>
      <c r="I133" s="69">
        <v>0</v>
      </c>
      <c r="J133" s="61" t="s">
        <v>45</v>
      </c>
      <c r="K133" s="62"/>
      <c r="L133" s="63"/>
    </row>
    <row r="134" spans="1:12" ht="51.75" x14ac:dyDescent="0.25">
      <c r="A134" s="1">
        <v>4</v>
      </c>
      <c r="B134" s="101">
        <f t="shared" si="9"/>
        <v>33</v>
      </c>
      <c r="C134" s="97" t="s">
        <v>178</v>
      </c>
      <c r="D134" s="98" t="s">
        <v>153</v>
      </c>
      <c r="E134" s="70">
        <v>43.4</v>
      </c>
      <c r="F134" s="69">
        <v>43.4</v>
      </c>
      <c r="G134" s="69">
        <v>43.4</v>
      </c>
      <c r="H134" s="69">
        <v>0</v>
      </c>
      <c r="I134" s="69">
        <v>0</v>
      </c>
      <c r="J134" s="61" t="s">
        <v>45</v>
      </c>
      <c r="K134" s="62"/>
      <c r="L134" s="63"/>
    </row>
    <row r="135" spans="1:12" ht="86.25" x14ac:dyDescent="0.25">
      <c r="A135" s="1">
        <v>4</v>
      </c>
      <c r="B135" s="101">
        <f t="shared" si="9"/>
        <v>34</v>
      </c>
      <c r="C135" s="97" t="s">
        <v>179</v>
      </c>
      <c r="D135" s="98" t="s">
        <v>153</v>
      </c>
      <c r="E135" s="70">
        <v>84.2</v>
      </c>
      <c r="F135" s="69">
        <v>84.2</v>
      </c>
      <c r="G135" s="69">
        <v>84.2</v>
      </c>
      <c r="H135" s="69">
        <v>84.2</v>
      </c>
      <c r="I135" s="69">
        <v>0</v>
      </c>
      <c r="J135" s="61" t="s">
        <v>29</v>
      </c>
      <c r="K135" s="62"/>
      <c r="L135" s="63" t="s">
        <v>75</v>
      </c>
    </row>
    <row r="136" spans="1:12" ht="103.5" x14ac:dyDescent="0.25">
      <c r="A136" s="1">
        <v>4</v>
      </c>
      <c r="B136" s="101">
        <f t="shared" si="9"/>
        <v>35</v>
      </c>
      <c r="C136" s="97" t="s">
        <v>180</v>
      </c>
      <c r="D136" s="98" t="s">
        <v>153</v>
      </c>
      <c r="E136" s="70">
        <v>47.5</v>
      </c>
      <c r="F136" s="69">
        <v>47.5</v>
      </c>
      <c r="G136" s="69">
        <v>47.5</v>
      </c>
      <c r="H136" s="69">
        <v>0</v>
      </c>
      <c r="I136" s="69">
        <v>0</v>
      </c>
      <c r="J136" s="61" t="s">
        <v>45</v>
      </c>
      <c r="K136" s="62"/>
      <c r="L136" s="63"/>
    </row>
    <row r="137" spans="1:12" ht="69" x14ac:dyDescent="0.25">
      <c r="A137" s="1">
        <v>4</v>
      </c>
      <c r="B137" s="101">
        <f t="shared" si="9"/>
        <v>36</v>
      </c>
      <c r="C137" s="97" t="s">
        <v>181</v>
      </c>
      <c r="D137" s="98" t="s">
        <v>153</v>
      </c>
      <c r="E137" s="70">
        <v>85</v>
      </c>
      <c r="F137" s="69">
        <v>85</v>
      </c>
      <c r="G137" s="69">
        <v>85</v>
      </c>
      <c r="H137" s="69">
        <v>85</v>
      </c>
      <c r="I137" s="69">
        <v>0</v>
      </c>
      <c r="J137" s="61" t="s">
        <v>29</v>
      </c>
      <c r="K137" s="62"/>
      <c r="L137" s="63" t="s">
        <v>75</v>
      </c>
    </row>
    <row r="138" spans="1:12" ht="69" x14ac:dyDescent="0.25">
      <c r="A138" s="1">
        <v>4</v>
      </c>
      <c r="B138" s="101">
        <f t="shared" si="9"/>
        <v>37</v>
      </c>
      <c r="C138" s="97" t="s">
        <v>182</v>
      </c>
      <c r="D138" s="98" t="s">
        <v>153</v>
      </c>
      <c r="E138" s="70">
        <v>185</v>
      </c>
      <c r="F138" s="69">
        <v>185</v>
      </c>
      <c r="G138" s="69">
        <v>185</v>
      </c>
      <c r="H138" s="69">
        <v>178.64673999999999</v>
      </c>
      <c r="I138" s="69">
        <v>0</v>
      </c>
      <c r="J138" s="61" t="s">
        <v>29</v>
      </c>
      <c r="K138" s="62"/>
      <c r="L138" s="63" t="s">
        <v>75</v>
      </c>
    </row>
    <row r="139" spans="1:12" ht="86.25" x14ac:dyDescent="0.25">
      <c r="A139" s="1">
        <v>4</v>
      </c>
      <c r="B139" s="101">
        <f t="shared" si="9"/>
        <v>38</v>
      </c>
      <c r="C139" s="97" t="s">
        <v>183</v>
      </c>
      <c r="D139" s="98" t="s">
        <v>153</v>
      </c>
      <c r="E139" s="70">
        <v>200</v>
      </c>
      <c r="F139" s="69">
        <v>200</v>
      </c>
      <c r="G139" s="69">
        <v>200</v>
      </c>
      <c r="H139" s="69">
        <v>200</v>
      </c>
      <c r="I139" s="69">
        <v>0</v>
      </c>
      <c r="J139" s="61" t="s">
        <v>29</v>
      </c>
      <c r="K139" s="62"/>
      <c r="L139" s="63" t="s">
        <v>75</v>
      </c>
    </row>
    <row r="140" spans="1:12" ht="86.25" x14ac:dyDescent="0.25">
      <c r="A140" s="1">
        <v>4</v>
      </c>
      <c r="B140" s="101">
        <f t="shared" si="9"/>
        <v>39</v>
      </c>
      <c r="C140" s="97" t="s">
        <v>184</v>
      </c>
      <c r="D140" s="98" t="s">
        <v>153</v>
      </c>
      <c r="E140" s="70">
        <v>200</v>
      </c>
      <c r="F140" s="69">
        <v>200</v>
      </c>
      <c r="G140" s="69">
        <v>200</v>
      </c>
      <c r="H140" s="69">
        <v>123.60756000000001</v>
      </c>
      <c r="I140" s="69">
        <v>0</v>
      </c>
      <c r="J140" s="61" t="s">
        <v>29</v>
      </c>
      <c r="K140" s="62"/>
      <c r="L140" s="63" t="s">
        <v>75</v>
      </c>
    </row>
    <row r="141" spans="1:12" ht="120.75" x14ac:dyDescent="0.25">
      <c r="A141" s="1">
        <v>4</v>
      </c>
      <c r="B141" s="101">
        <f t="shared" si="9"/>
        <v>40</v>
      </c>
      <c r="C141" s="97" t="s">
        <v>185</v>
      </c>
      <c r="D141" s="98" t="s">
        <v>153</v>
      </c>
      <c r="E141" s="70">
        <v>23.8</v>
      </c>
      <c r="F141" s="69">
        <v>23.8</v>
      </c>
      <c r="G141" s="69">
        <v>23.8</v>
      </c>
      <c r="H141" s="69">
        <v>23.8</v>
      </c>
      <c r="I141" s="69">
        <v>0</v>
      </c>
      <c r="J141" s="61" t="s">
        <v>29</v>
      </c>
      <c r="K141" s="62"/>
      <c r="L141" s="63" t="s">
        <v>75</v>
      </c>
    </row>
    <row r="142" spans="1:12" ht="51.75" x14ac:dyDescent="0.25">
      <c r="A142" s="1">
        <v>4</v>
      </c>
      <c r="B142" s="101">
        <f t="shared" si="9"/>
        <v>41</v>
      </c>
      <c r="C142" s="97" t="s">
        <v>186</v>
      </c>
      <c r="D142" s="98" t="s">
        <v>153</v>
      </c>
      <c r="E142" s="70">
        <v>400</v>
      </c>
      <c r="F142" s="69">
        <v>400</v>
      </c>
      <c r="G142" s="69">
        <v>400</v>
      </c>
      <c r="H142" s="69">
        <v>306.82499999999999</v>
      </c>
      <c r="I142" s="69">
        <v>0</v>
      </c>
      <c r="J142" s="61" t="s">
        <v>29</v>
      </c>
      <c r="K142" s="62"/>
      <c r="L142" s="63" t="s">
        <v>75</v>
      </c>
    </row>
    <row r="143" spans="1:12" ht="52.5" thickBot="1" x14ac:dyDescent="0.3">
      <c r="A143" s="1">
        <v>4</v>
      </c>
      <c r="B143" s="103">
        <f t="shared" si="9"/>
        <v>42</v>
      </c>
      <c r="C143" s="104" t="s">
        <v>187</v>
      </c>
      <c r="D143" s="105" t="s">
        <v>153</v>
      </c>
      <c r="E143" s="88">
        <v>1295.433</v>
      </c>
      <c r="F143" s="87">
        <v>1295.433</v>
      </c>
      <c r="G143" s="87">
        <v>1295.433</v>
      </c>
      <c r="H143" s="87">
        <v>0</v>
      </c>
      <c r="I143" s="87">
        <v>0</v>
      </c>
      <c r="J143" s="89" t="s">
        <v>45</v>
      </c>
      <c r="K143" s="90"/>
      <c r="L143" s="91"/>
    </row>
    <row r="144" spans="1:12" ht="15.75" thickBot="1" x14ac:dyDescent="0.3">
      <c r="A144" s="1">
        <v>5</v>
      </c>
      <c r="B144" s="189" t="s">
        <v>188</v>
      </c>
      <c r="C144" s="190"/>
      <c r="D144" s="190"/>
      <c r="E144" s="190"/>
      <c r="F144" s="190"/>
      <c r="G144" s="190"/>
      <c r="H144" s="190"/>
      <c r="I144" s="190"/>
      <c r="J144" s="190"/>
      <c r="K144" s="190"/>
      <c r="L144" s="191"/>
    </row>
    <row r="145" spans="1:12" ht="18.75" x14ac:dyDescent="0.25">
      <c r="A145" s="1">
        <v>5</v>
      </c>
      <c r="B145" s="36"/>
      <c r="C145" s="37" t="s">
        <v>24</v>
      </c>
      <c r="D145" s="38"/>
      <c r="E145" s="39">
        <f t="shared" ref="E145:I145" si="10">SUM(E146,E148:E259)</f>
        <v>234034.27299999993</v>
      </c>
      <c r="F145" s="40">
        <f t="shared" si="10"/>
        <v>234034.27299999993</v>
      </c>
      <c r="G145" s="40">
        <f t="shared" si="10"/>
        <v>234034.27299999993</v>
      </c>
      <c r="H145" s="40">
        <f t="shared" si="10"/>
        <v>141319.51967999997</v>
      </c>
      <c r="I145" s="40">
        <f t="shared" si="10"/>
        <v>33.686999999999998</v>
      </c>
      <c r="J145" s="92"/>
      <c r="K145" s="93"/>
      <c r="L145" s="38"/>
    </row>
    <row r="146" spans="1:12" ht="18.75" x14ac:dyDescent="0.25">
      <c r="A146" s="1">
        <v>5</v>
      </c>
      <c r="B146" s="46"/>
      <c r="C146" s="24" t="s">
        <v>21</v>
      </c>
      <c r="D146" s="47"/>
      <c r="E146" s="48">
        <v>0</v>
      </c>
      <c r="F146" s="49">
        <v>0</v>
      </c>
      <c r="G146" s="49">
        <v>0</v>
      </c>
      <c r="H146" s="49"/>
      <c r="I146" s="49"/>
      <c r="J146" s="95"/>
      <c r="K146" s="25"/>
      <c r="L146" s="47"/>
    </row>
    <row r="147" spans="1:12" ht="16.5" x14ac:dyDescent="0.25">
      <c r="A147" s="1">
        <v>5</v>
      </c>
      <c r="B147" s="46"/>
      <c r="C147" s="54" t="s">
        <v>22</v>
      </c>
      <c r="D147" s="47"/>
      <c r="E147" s="48">
        <f t="shared" ref="E147:I147" si="11">SUM(E148:E259)</f>
        <v>234034.27299999993</v>
      </c>
      <c r="F147" s="49">
        <f t="shared" si="11"/>
        <v>234034.27299999993</v>
      </c>
      <c r="G147" s="49">
        <f t="shared" si="11"/>
        <v>234034.27299999993</v>
      </c>
      <c r="H147" s="106">
        <f t="shared" si="11"/>
        <v>141319.51967999997</v>
      </c>
      <c r="I147" s="49">
        <f t="shared" si="11"/>
        <v>33.686999999999998</v>
      </c>
      <c r="J147" s="95"/>
      <c r="K147" s="25"/>
      <c r="L147" s="47"/>
    </row>
    <row r="148" spans="1:12" ht="103.5" x14ac:dyDescent="0.25">
      <c r="A148" s="1">
        <v>5</v>
      </c>
      <c r="B148" s="55">
        <v>1</v>
      </c>
      <c r="C148" s="65" t="s">
        <v>189</v>
      </c>
      <c r="D148" s="66" t="s">
        <v>190</v>
      </c>
      <c r="E148" s="70">
        <v>2907.2310000000002</v>
      </c>
      <c r="F148" s="69">
        <v>2907.2310000000002</v>
      </c>
      <c r="G148" s="69">
        <v>2907.2310000000002</v>
      </c>
      <c r="H148" s="69">
        <v>2178.288</v>
      </c>
      <c r="I148" s="69">
        <v>28.628</v>
      </c>
      <c r="J148" s="61" t="s">
        <v>45</v>
      </c>
      <c r="K148" s="62"/>
      <c r="L148" s="63"/>
    </row>
    <row r="149" spans="1:12" ht="120.75" x14ac:dyDescent="0.25">
      <c r="A149" s="1">
        <v>5</v>
      </c>
      <c r="B149" s="55">
        <f>B148+1</f>
        <v>2</v>
      </c>
      <c r="C149" s="65" t="s">
        <v>191</v>
      </c>
      <c r="D149" s="66" t="s">
        <v>59</v>
      </c>
      <c r="E149" s="70">
        <v>18712.188999999998</v>
      </c>
      <c r="F149" s="69">
        <v>18712.188999999998</v>
      </c>
      <c r="G149" s="69">
        <v>18712.188999999998</v>
      </c>
      <c r="H149" s="69">
        <v>18126.572</v>
      </c>
      <c r="I149" s="69">
        <v>5.0590000000000002</v>
      </c>
      <c r="J149" s="61" t="s">
        <v>45</v>
      </c>
      <c r="K149" s="62"/>
      <c r="L149" s="63"/>
    </row>
    <row r="150" spans="1:12" ht="69" x14ac:dyDescent="0.25">
      <c r="A150" s="1">
        <v>5</v>
      </c>
      <c r="B150" s="55">
        <f t="shared" ref="B150:B213" si="12">B149+1</f>
        <v>3</v>
      </c>
      <c r="C150" s="65" t="s">
        <v>192</v>
      </c>
      <c r="D150" s="66">
        <v>2015</v>
      </c>
      <c r="E150" s="70">
        <v>5079.3339999999998</v>
      </c>
      <c r="F150" s="69">
        <v>5079.3339999999998</v>
      </c>
      <c r="G150" s="69">
        <v>5079.3339999999998</v>
      </c>
      <c r="H150" s="69">
        <v>3787.0859999999998</v>
      </c>
      <c r="I150" s="69">
        <v>0</v>
      </c>
      <c r="J150" s="61" t="s">
        <v>45</v>
      </c>
      <c r="K150" s="62"/>
      <c r="L150" s="63"/>
    </row>
    <row r="151" spans="1:12" ht="69" x14ac:dyDescent="0.25">
      <c r="A151" s="1">
        <v>5</v>
      </c>
      <c r="B151" s="55">
        <f t="shared" si="12"/>
        <v>4</v>
      </c>
      <c r="C151" s="65" t="s">
        <v>193</v>
      </c>
      <c r="D151" s="66">
        <v>2015</v>
      </c>
      <c r="E151" s="70">
        <v>13419.833000000001</v>
      </c>
      <c r="F151" s="69">
        <v>13419.833000000001</v>
      </c>
      <c r="G151" s="69">
        <v>13419.833000000001</v>
      </c>
      <c r="H151" s="69">
        <v>7291.0829999999996</v>
      </c>
      <c r="I151" s="69">
        <v>0</v>
      </c>
      <c r="J151" s="61" t="s">
        <v>45</v>
      </c>
      <c r="K151" s="62"/>
      <c r="L151" s="63"/>
    </row>
    <row r="152" spans="1:12" ht="103.5" x14ac:dyDescent="0.25">
      <c r="A152" s="1">
        <v>5</v>
      </c>
      <c r="B152" s="55">
        <f t="shared" si="12"/>
        <v>5</v>
      </c>
      <c r="C152" s="65" t="s">
        <v>194</v>
      </c>
      <c r="D152" s="66">
        <v>2015</v>
      </c>
      <c r="E152" s="70">
        <v>11521.937</v>
      </c>
      <c r="F152" s="69">
        <v>11521.937</v>
      </c>
      <c r="G152" s="69">
        <v>11521.937</v>
      </c>
      <c r="H152" s="69">
        <v>9310.9349999999995</v>
      </c>
      <c r="I152" s="69">
        <v>0</v>
      </c>
      <c r="J152" s="61" t="s">
        <v>45</v>
      </c>
      <c r="K152" s="62"/>
      <c r="L152" s="63"/>
    </row>
    <row r="153" spans="1:12" ht="103.5" x14ac:dyDescent="0.25">
      <c r="A153" s="1">
        <v>5</v>
      </c>
      <c r="B153" s="55">
        <f t="shared" si="12"/>
        <v>6</v>
      </c>
      <c r="C153" s="65" t="s">
        <v>195</v>
      </c>
      <c r="D153" s="66">
        <v>2015</v>
      </c>
      <c r="E153" s="70">
        <v>10116.572</v>
      </c>
      <c r="F153" s="69">
        <v>10116.572</v>
      </c>
      <c r="G153" s="69">
        <v>10116.572</v>
      </c>
      <c r="H153" s="69">
        <v>7559.4</v>
      </c>
      <c r="I153" s="69">
        <v>0</v>
      </c>
      <c r="J153" s="61" t="s">
        <v>45</v>
      </c>
      <c r="K153" s="62"/>
      <c r="L153" s="63"/>
    </row>
    <row r="154" spans="1:12" ht="86.25" x14ac:dyDescent="0.25">
      <c r="A154" s="1">
        <v>5</v>
      </c>
      <c r="B154" s="55">
        <f t="shared" si="12"/>
        <v>7</v>
      </c>
      <c r="C154" s="65" t="s">
        <v>196</v>
      </c>
      <c r="D154" s="66">
        <v>2015</v>
      </c>
      <c r="E154" s="70">
        <v>14371.29</v>
      </c>
      <c r="F154" s="69">
        <v>14371.29</v>
      </c>
      <c r="G154" s="69">
        <v>14371.29</v>
      </c>
      <c r="H154" s="69">
        <v>12257.5</v>
      </c>
      <c r="I154" s="69">
        <v>0</v>
      </c>
      <c r="J154" s="61" t="s">
        <v>29</v>
      </c>
      <c r="K154" s="62" t="s">
        <v>197</v>
      </c>
      <c r="L154" s="63" t="s">
        <v>198</v>
      </c>
    </row>
    <row r="155" spans="1:12" ht="69" x14ac:dyDescent="0.25">
      <c r="A155" s="1">
        <v>5</v>
      </c>
      <c r="B155" s="55">
        <f t="shared" si="12"/>
        <v>8</v>
      </c>
      <c r="C155" s="65" t="s">
        <v>199</v>
      </c>
      <c r="D155" s="66">
        <v>2015</v>
      </c>
      <c r="E155" s="70">
        <v>17716.503000000001</v>
      </c>
      <c r="F155" s="69">
        <v>17716.503000000001</v>
      </c>
      <c r="G155" s="69">
        <v>17716.503000000001</v>
      </c>
      <c r="H155" s="69">
        <v>0</v>
      </c>
      <c r="I155" s="69">
        <v>0</v>
      </c>
      <c r="J155" s="61" t="s">
        <v>45</v>
      </c>
      <c r="K155" s="62"/>
      <c r="L155" s="63"/>
    </row>
    <row r="156" spans="1:12" ht="120.75" x14ac:dyDescent="0.25">
      <c r="A156" s="1">
        <v>5</v>
      </c>
      <c r="B156" s="55">
        <f t="shared" si="12"/>
        <v>9</v>
      </c>
      <c r="C156" s="65" t="s">
        <v>200</v>
      </c>
      <c r="D156" s="66" t="s">
        <v>59</v>
      </c>
      <c r="E156" s="70">
        <v>1741.05</v>
      </c>
      <c r="F156" s="69">
        <v>1741.05</v>
      </c>
      <c r="G156" s="69">
        <v>1741.05</v>
      </c>
      <c r="H156" s="69">
        <v>1741.05</v>
      </c>
      <c r="I156" s="69">
        <v>0</v>
      </c>
      <c r="J156" s="61" t="s">
        <v>110</v>
      </c>
      <c r="K156" s="62"/>
      <c r="L156" s="63" t="s">
        <v>126</v>
      </c>
    </row>
    <row r="157" spans="1:12" ht="69" x14ac:dyDescent="0.25">
      <c r="A157" s="1">
        <v>5</v>
      </c>
      <c r="B157" s="55">
        <f t="shared" si="12"/>
        <v>10</v>
      </c>
      <c r="C157" s="65" t="s">
        <v>201</v>
      </c>
      <c r="D157" s="66">
        <v>2015</v>
      </c>
      <c r="E157" s="70">
        <v>11191.5</v>
      </c>
      <c r="F157" s="69">
        <v>11191.5</v>
      </c>
      <c r="G157" s="69">
        <v>11191.5</v>
      </c>
      <c r="H157" s="69">
        <v>7869.6080000000002</v>
      </c>
      <c r="I157" s="69">
        <v>0</v>
      </c>
      <c r="J157" s="61" t="s">
        <v>45</v>
      </c>
      <c r="K157" s="62"/>
      <c r="L157" s="63"/>
    </row>
    <row r="158" spans="1:12" ht="69" x14ac:dyDescent="0.25">
      <c r="A158" s="1">
        <v>5</v>
      </c>
      <c r="B158" s="55">
        <f t="shared" si="12"/>
        <v>11</v>
      </c>
      <c r="C158" s="65" t="s">
        <v>202</v>
      </c>
      <c r="D158" s="66">
        <v>2015</v>
      </c>
      <c r="E158" s="70">
        <v>7015.79</v>
      </c>
      <c r="F158" s="69">
        <v>7015.79</v>
      </c>
      <c r="G158" s="69">
        <v>7015.79</v>
      </c>
      <c r="H158" s="69">
        <v>3056.7950000000001</v>
      </c>
      <c r="I158" s="69">
        <v>0</v>
      </c>
      <c r="J158" s="61" t="s">
        <v>45</v>
      </c>
      <c r="K158" s="62"/>
      <c r="L158" s="63"/>
    </row>
    <row r="159" spans="1:12" ht="69" x14ac:dyDescent="0.25">
      <c r="A159" s="1">
        <v>5</v>
      </c>
      <c r="B159" s="55">
        <f t="shared" si="12"/>
        <v>12</v>
      </c>
      <c r="C159" s="65" t="s">
        <v>203</v>
      </c>
      <c r="D159" s="66">
        <v>2015</v>
      </c>
      <c r="E159" s="70">
        <v>2471.1439999999998</v>
      </c>
      <c r="F159" s="69">
        <v>2471.1439999999998</v>
      </c>
      <c r="G159" s="69">
        <v>2471.1439999999998</v>
      </c>
      <c r="H159" s="69">
        <v>1542.6959999999999</v>
      </c>
      <c r="I159" s="69">
        <v>0</v>
      </c>
      <c r="J159" s="61" t="s">
        <v>45</v>
      </c>
      <c r="K159" s="62"/>
      <c r="L159" s="63"/>
    </row>
    <row r="160" spans="1:12" ht="103.5" x14ac:dyDescent="0.25">
      <c r="A160" s="1">
        <v>5</v>
      </c>
      <c r="B160" s="55">
        <f t="shared" si="12"/>
        <v>13</v>
      </c>
      <c r="C160" s="65" t="s">
        <v>204</v>
      </c>
      <c r="D160" s="66">
        <v>2015</v>
      </c>
      <c r="E160" s="70">
        <v>120.23</v>
      </c>
      <c r="F160" s="69">
        <v>120.22999999999999</v>
      </c>
      <c r="G160" s="69">
        <v>120.22999999999999</v>
      </c>
      <c r="H160" s="69">
        <v>110.9879</v>
      </c>
      <c r="I160" s="69">
        <v>0</v>
      </c>
      <c r="J160" s="61" t="s">
        <v>29</v>
      </c>
      <c r="K160" s="62" t="s">
        <v>205</v>
      </c>
      <c r="L160" s="63" t="s">
        <v>57</v>
      </c>
    </row>
    <row r="161" spans="1:12" ht="103.5" x14ac:dyDescent="0.25">
      <c r="A161" s="1">
        <v>5</v>
      </c>
      <c r="B161" s="55">
        <f t="shared" si="12"/>
        <v>14</v>
      </c>
      <c r="C161" s="65" t="s">
        <v>206</v>
      </c>
      <c r="D161" s="66">
        <v>2015</v>
      </c>
      <c r="E161" s="70">
        <v>407.63200000000001</v>
      </c>
      <c r="F161" s="69">
        <v>407.63200000000001</v>
      </c>
      <c r="G161" s="69">
        <v>407.63200000000001</v>
      </c>
      <c r="H161" s="69">
        <v>384.31909999999999</v>
      </c>
      <c r="I161" s="69">
        <v>0</v>
      </c>
      <c r="J161" s="61" t="s">
        <v>29</v>
      </c>
      <c r="K161" s="62" t="s">
        <v>205</v>
      </c>
      <c r="L161" s="63" t="s">
        <v>57</v>
      </c>
    </row>
    <row r="162" spans="1:12" ht="103.5" x14ac:dyDescent="0.25">
      <c r="A162" s="1">
        <v>5</v>
      </c>
      <c r="B162" s="55">
        <f t="shared" si="12"/>
        <v>15</v>
      </c>
      <c r="C162" s="65" t="s">
        <v>207</v>
      </c>
      <c r="D162" s="66">
        <v>2015</v>
      </c>
      <c r="E162" s="70">
        <v>390.76499999999999</v>
      </c>
      <c r="F162" s="69">
        <v>390.76499999999999</v>
      </c>
      <c r="G162" s="69">
        <v>390.76499999999999</v>
      </c>
      <c r="H162" s="69">
        <v>298.64373000000001</v>
      </c>
      <c r="I162" s="69">
        <v>0</v>
      </c>
      <c r="J162" s="61" t="s">
        <v>29</v>
      </c>
      <c r="K162" s="62" t="s">
        <v>208</v>
      </c>
      <c r="L162" s="63" t="s">
        <v>57</v>
      </c>
    </row>
    <row r="163" spans="1:12" ht="103.5" x14ac:dyDescent="0.25">
      <c r="A163" s="1">
        <v>5</v>
      </c>
      <c r="B163" s="55">
        <f t="shared" si="12"/>
        <v>16</v>
      </c>
      <c r="C163" s="65" t="s">
        <v>209</v>
      </c>
      <c r="D163" s="66">
        <v>2015</v>
      </c>
      <c r="E163" s="70">
        <v>355.27600000000001</v>
      </c>
      <c r="F163" s="69">
        <v>355.27599999999995</v>
      </c>
      <c r="G163" s="69">
        <v>355.27599999999995</v>
      </c>
      <c r="H163" s="69">
        <v>300.00682</v>
      </c>
      <c r="I163" s="69">
        <v>0</v>
      </c>
      <c r="J163" s="61" t="s">
        <v>29</v>
      </c>
      <c r="K163" s="62" t="s">
        <v>208</v>
      </c>
      <c r="L163" s="63" t="s">
        <v>57</v>
      </c>
    </row>
    <row r="164" spans="1:12" ht="103.5" x14ac:dyDescent="0.25">
      <c r="A164" s="1">
        <v>5</v>
      </c>
      <c r="B164" s="55">
        <f t="shared" si="12"/>
        <v>17</v>
      </c>
      <c r="C164" s="65" t="s">
        <v>210</v>
      </c>
      <c r="D164" s="66">
        <v>2015</v>
      </c>
      <c r="E164" s="70">
        <v>568.14700000000005</v>
      </c>
      <c r="F164" s="69">
        <v>568.14699999999993</v>
      </c>
      <c r="G164" s="69">
        <v>568.14699999999993</v>
      </c>
      <c r="H164" s="69">
        <v>539.64008999999999</v>
      </c>
      <c r="I164" s="69">
        <v>0</v>
      </c>
      <c r="J164" s="61" t="s">
        <v>29</v>
      </c>
      <c r="K164" s="62" t="s">
        <v>211</v>
      </c>
      <c r="L164" s="63" t="s">
        <v>57</v>
      </c>
    </row>
    <row r="165" spans="1:12" ht="103.5" x14ac:dyDescent="0.25">
      <c r="A165" s="1">
        <v>5</v>
      </c>
      <c r="B165" s="55">
        <f t="shared" si="12"/>
        <v>18</v>
      </c>
      <c r="C165" s="65" t="s">
        <v>212</v>
      </c>
      <c r="D165" s="66">
        <v>2015</v>
      </c>
      <c r="E165" s="70">
        <v>601.72799999999995</v>
      </c>
      <c r="F165" s="69">
        <v>601.72800000000007</v>
      </c>
      <c r="G165" s="69">
        <v>601.72800000000007</v>
      </c>
      <c r="H165" s="69">
        <v>571.45537000000002</v>
      </c>
      <c r="I165" s="69">
        <v>0</v>
      </c>
      <c r="J165" s="61" t="s">
        <v>29</v>
      </c>
      <c r="K165" s="62" t="s">
        <v>208</v>
      </c>
      <c r="L165" s="63" t="s">
        <v>57</v>
      </c>
    </row>
    <row r="166" spans="1:12" ht="103.5" x14ac:dyDescent="0.25">
      <c r="A166" s="1">
        <v>5</v>
      </c>
      <c r="B166" s="55">
        <f t="shared" si="12"/>
        <v>19</v>
      </c>
      <c r="C166" s="65" t="s">
        <v>213</v>
      </c>
      <c r="D166" s="66">
        <v>2015</v>
      </c>
      <c r="E166" s="70">
        <v>242.33</v>
      </c>
      <c r="F166" s="69">
        <v>242.32999999999998</v>
      </c>
      <c r="G166" s="69">
        <v>242.32999999999998</v>
      </c>
      <c r="H166" s="69">
        <v>239.99035999999998</v>
      </c>
      <c r="I166" s="69">
        <v>0</v>
      </c>
      <c r="J166" s="61" t="s">
        <v>29</v>
      </c>
      <c r="K166" s="62" t="s">
        <v>205</v>
      </c>
      <c r="L166" s="63" t="s">
        <v>57</v>
      </c>
    </row>
    <row r="167" spans="1:12" ht="69" x14ac:dyDescent="0.25">
      <c r="A167" s="1">
        <v>5</v>
      </c>
      <c r="B167" s="55">
        <f t="shared" si="12"/>
        <v>20</v>
      </c>
      <c r="C167" s="65" t="s">
        <v>214</v>
      </c>
      <c r="D167" s="66">
        <v>2015</v>
      </c>
      <c r="E167" s="70">
        <v>1315.097</v>
      </c>
      <c r="F167" s="69">
        <v>1315.097</v>
      </c>
      <c r="G167" s="69">
        <v>1315.097</v>
      </c>
      <c r="H167" s="69">
        <v>1315.097</v>
      </c>
      <c r="I167" s="69">
        <v>0</v>
      </c>
      <c r="J167" s="61" t="s">
        <v>29</v>
      </c>
      <c r="K167" s="62" t="s">
        <v>215</v>
      </c>
      <c r="L167" s="63" t="s">
        <v>57</v>
      </c>
    </row>
    <row r="168" spans="1:12" ht="69" x14ac:dyDescent="0.25">
      <c r="A168" s="1">
        <v>5</v>
      </c>
      <c r="B168" s="55">
        <f t="shared" si="12"/>
        <v>21</v>
      </c>
      <c r="C168" s="65" t="s">
        <v>216</v>
      </c>
      <c r="D168" s="66">
        <v>2015</v>
      </c>
      <c r="E168" s="70">
        <v>1315.934</v>
      </c>
      <c r="F168" s="69">
        <v>1315.934</v>
      </c>
      <c r="G168" s="69">
        <v>1315.934</v>
      </c>
      <c r="H168" s="69">
        <v>1315.934</v>
      </c>
      <c r="I168" s="69">
        <v>0</v>
      </c>
      <c r="J168" s="61" t="s">
        <v>29</v>
      </c>
      <c r="K168" s="62" t="s">
        <v>217</v>
      </c>
      <c r="L168" s="63" t="s">
        <v>57</v>
      </c>
    </row>
    <row r="169" spans="1:12" ht="69" x14ac:dyDescent="0.25">
      <c r="A169" s="1">
        <v>5</v>
      </c>
      <c r="B169" s="55">
        <f t="shared" si="12"/>
        <v>22</v>
      </c>
      <c r="C169" s="65" t="s">
        <v>218</v>
      </c>
      <c r="D169" s="66">
        <v>2015</v>
      </c>
      <c r="E169" s="70">
        <v>1179.152</v>
      </c>
      <c r="F169" s="69">
        <v>1179.152</v>
      </c>
      <c r="G169" s="69">
        <v>1179.152</v>
      </c>
      <c r="H169" s="69">
        <v>1148.961</v>
      </c>
      <c r="I169" s="69">
        <v>0</v>
      </c>
      <c r="J169" s="61" t="s">
        <v>29</v>
      </c>
      <c r="K169" s="62" t="s">
        <v>219</v>
      </c>
      <c r="L169" s="63" t="s">
        <v>57</v>
      </c>
    </row>
    <row r="170" spans="1:12" ht="51.75" x14ac:dyDescent="0.25">
      <c r="A170" s="1">
        <v>5</v>
      </c>
      <c r="B170" s="55">
        <f t="shared" si="12"/>
        <v>23</v>
      </c>
      <c r="C170" s="65" t="s">
        <v>220</v>
      </c>
      <c r="D170" s="66">
        <v>2015</v>
      </c>
      <c r="E170" s="70">
        <v>1408.1769999999999</v>
      </c>
      <c r="F170" s="69">
        <v>1408.1769999999999</v>
      </c>
      <c r="G170" s="69">
        <v>1408.1769999999999</v>
      </c>
      <c r="H170" s="69">
        <v>1408.1769999999999</v>
      </c>
      <c r="I170" s="69">
        <v>0</v>
      </c>
      <c r="J170" s="61" t="s">
        <v>29</v>
      </c>
      <c r="K170" s="62" t="s">
        <v>221</v>
      </c>
      <c r="L170" s="63" t="s">
        <v>57</v>
      </c>
    </row>
    <row r="171" spans="1:12" ht="51.75" x14ac:dyDescent="0.25">
      <c r="A171" s="1">
        <v>5</v>
      </c>
      <c r="B171" s="55">
        <f t="shared" si="12"/>
        <v>24</v>
      </c>
      <c r="C171" s="65" t="s">
        <v>222</v>
      </c>
      <c r="D171" s="66">
        <v>2015</v>
      </c>
      <c r="E171" s="70">
        <v>1003.343</v>
      </c>
      <c r="F171" s="69">
        <v>1003.343</v>
      </c>
      <c r="G171" s="69">
        <v>1003.343</v>
      </c>
      <c r="H171" s="69">
        <v>968.04300000000001</v>
      </c>
      <c r="I171" s="69">
        <v>0</v>
      </c>
      <c r="J171" s="61" t="s">
        <v>29</v>
      </c>
      <c r="K171" s="62" t="s">
        <v>221</v>
      </c>
      <c r="L171" s="63" t="s">
        <v>57</v>
      </c>
    </row>
    <row r="172" spans="1:12" ht="51.75" x14ac:dyDescent="0.25">
      <c r="A172" s="1">
        <v>5</v>
      </c>
      <c r="B172" s="55">
        <f t="shared" si="12"/>
        <v>25</v>
      </c>
      <c r="C172" s="65" t="s">
        <v>223</v>
      </c>
      <c r="D172" s="66">
        <v>2015</v>
      </c>
      <c r="E172" s="70">
        <v>1170.8309999999999</v>
      </c>
      <c r="F172" s="69">
        <v>1170.8309999999999</v>
      </c>
      <c r="G172" s="69">
        <v>1170.8309999999999</v>
      </c>
      <c r="H172" s="69">
        <v>1170.8309999999999</v>
      </c>
      <c r="I172" s="69">
        <v>0</v>
      </c>
      <c r="J172" s="61" t="s">
        <v>29</v>
      </c>
      <c r="K172" s="62" t="s">
        <v>221</v>
      </c>
      <c r="L172" s="63" t="s">
        <v>57</v>
      </c>
    </row>
    <row r="173" spans="1:12" ht="103.5" x14ac:dyDescent="0.25">
      <c r="A173" s="1">
        <v>5</v>
      </c>
      <c r="B173" s="55">
        <f t="shared" si="12"/>
        <v>26</v>
      </c>
      <c r="C173" s="65" t="s">
        <v>224</v>
      </c>
      <c r="D173" s="66">
        <v>2015</v>
      </c>
      <c r="E173" s="70">
        <v>38347.097000000002</v>
      </c>
      <c r="F173" s="69">
        <v>38347.097000000002</v>
      </c>
      <c r="G173" s="69">
        <v>38347.097000000002</v>
      </c>
      <c r="H173" s="69">
        <v>17514.566999999999</v>
      </c>
      <c r="I173" s="69">
        <v>0</v>
      </c>
      <c r="J173" s="61" t="s">
        <v>29</v>
      </c>
      <c r="K173" s="62" t="s">
        <v>225</v>
      </c>
      <c r="L173" s="63" t="s">
        <v>226</v>
      </c>
    </row>
    <row r="174" spans="1:12" ht="69" x14ac:dyDescent="0.25">
      <c r="A174" s="1">
        <v>5</v>
      </c>
      <c r="B174" s="55">
        <f t="shared" si="12"/>
        <v>27</v>
      </c>
      <c r="C174" s="65" t="s">
        <v>227</v>
      </c>
      <c r="D174" s="66">
        <v>2015</v>
      </c>
      <c r="E174" s="70">
        <v>4677.26</v>
      </c>
      <c r="F174" s="69">
        <v>4677.26</v>
      </c>
      <c r="G174" s="69">
        <v>4677.26</v>
      </c>
      <c r="H174" s="69">
        <v>3156.6239999999998</v>
      </c>
      <c r="I174" s="69">
        <v>0</v>
      </c>
      <c r="J174" s="61" t="s">
        <v>45</v>
      </c>
      <c r="K174" s="62"/>
      <c r="L174" s="63"/>
    </row>
    <row r="175" spans="1:12" ht="69" x14ac:dyDescent="0.25">
      <c r="A175" s="1">
        <v>5</v>
      </c>
      <c r="B175" s="55">
        <f t="shared" si="12"/>
        <v>28</v>
      </c>
      <c r="C175" s="65" t="s">
        <v>228</v>
      </c>
      <c r="D175" s="66">
        <v>2015</v>
      </c>
      <c r="E175" s="70">
        <v>5511.5870000000004</v>
      </c>
      <c r="F175" s="69">
        <v>5511.5870000000004</v>
      </c>
      <c r="G175" s="69">
        <v>5511.5870000000004</v>
      </c>
      <c r="H175" s="69">
        <v>2144.9009999999998</v>
      </c>
      <c r="I175" s="69">
        <v>0</v>
      </c>
      <c r="J175" s="61" t="s">
        <v>45</v>
      </c>
      <c r="K175" s="62"/>
      <c r="L175" s="63"/>
    </row>
    <row r="176" spans="1:12" ht="103.5" x14ac:dyDescent="0.25">
      <c r="A176" s="1">
        <v>5</v>
      </c>
      <c r="B176" s="55">
        <f t="shared" si="12"/>
        <v>29</v>
      </c>
      <c r="C176" s="65" t="s">
        <v>229</v>
      </c>
      <c r="D176" s="66">
        <v>2015</v>
      </c>
      <c r="E176" s="70">
        <v>2222.127</v>
      </c>
      <c r="F176" s="69">
        <v>2222.127</v>
      </c>
      <c r="G176" s="69">
        <v>2222.127</v>
      </c>
      <c r="H176" s="69">
        <v>2140.7750000000001</v>
      </c>
      <c r="I176" s="69">
        <v>0</v>
      </c>
      <c r="J176" s="61" t="s">
        <v>110</v>
      </c>
      <c r="K176" s="62"/>
      <c r="L176" s="63" t="s">
        <v>126</v>
      </c>
    </row>
    <row r="177" spans="1:12" ht="86.25" x14ac:dyDescent="0.25">
      <c r="A177" s="1">
        <v>5</v>
      </c>
      <c r="B177" s="55">
        <f t="shared" si="12"/>
        <v>30</v>
      </c>
      <c r="C177" s="65" t="s">
        <v>230</v>
      </c>
      <c r="D177" s="66">
        <v>2015</v>
      </c>
      <c r="E177" s="70">
        <v>2034.067</v>
      </c>
      <c r="F177" s="69">
        <v>2034.067</v>
      </c>
      <c r="G177" s="69">
        <v>2034.067</v>
      </c>
      <c r="H177" s="69">
        <v>1931.914</v>
      </c>
      <c r="I177" s="69">
        <v>0</v>
      </c>
      <c r="J177" s="61" t="s">
        <v>110</v>
      </c>
      <c r="K177" s="62"/>
      <c r="L177" s="63" t="s">
        <v>126</v>
      </c>
    </row>
    <row r="178" spans="1:12" ht="51.75" x14ac:dyDescent="0.25">
      <c r="A178" s="1">
        <v>5</v>
      </c>
      <c r="B178" s="55">
        <f t="shared" si="12"/>
        <v>31</v>
      </c>
      <c r="C178" s="65" t="s">
        <v>231</v>
      </c>
      <c r="D178" s="66" t="s">
        <v>59</v>
      </c>
      <c r="E178" s="70">
        <v>6465.96</v>
      </c>
      <c r="F178" s="69">
        <v>6465.96</v>
      </c>
      <c r="G178" s="69">
        <v>6465.96</v>
      </c>
      <c r="H178" s="69">
        <v>0</v>
      </c>
      <c r="I178" s="69">
        <v>0</v>
      </c>
      <c r="J178" s="61" t="s">
        <v>45</v>
      </c>
      <c r="K178" s="62"/>
      <c r="L178" s="63"/>
    </row>
    <row r="179" spans="1:12" ht="51.75" x14ac:dyDescent="0.25">
      <c r="A179" s="1">
        <v>5</v>
      </c>
      <c r="B179" s="55">
        <f t="shared" si="12"/>
        <v>32</v>
      </c>
      <c r="C179" s="65" t="s">
        <v>232</v>
      </c>
      <c r="D179" s="66">
        <v>2015</v>
      </c>
      <c r="E179" s="70">
        <v>639.5</v>
      </c>
      <c r="F179" s="69">
        <v>639.5</v>
      </c>
      <c r="G179" s="69">
        <v>639.5</v>
      </c>
      <c r="H179" s="69">
        <v>576.02099999999996</v>
      </c>
      <c r="I179" s="69">
        <v>0</v>
      </c>
      <c r="J179" s="61" t="s">
        <v>110</v>
      </c>
      <c r="K179" s="62"/>
      <c r="L179" s="63" t="s">
        <v>126</v>
      </c>
    </row>
    <row r="180" spans="1:12" ht="51.75" x14ac:dyDescent="0.25">
      <c r="A180" s="1">
        <v>5</v>
      </c>
      <c r="B180" s="55">
        <f t="shared" si="12"/>
        <v>33</v>
      </c>
      <c r="C180" s="65" t="s">
        <v>233</v>
      </c>
      <c r="D180" s="66">
        <v>2015</v>
      </c>
      <c r="E180" s="70">
        <v>817.351</v>
      </c>
      <c r="F180" s="69">
        <v>817.351</v>
      </c>
      <c r="G180" s="69">
        <v>817.351</v>
      </c>
      <c r="H180" s="69">
        <v>490.32535000000001</v>
      </c>
      <c r="I180" s="69">
        <v>0</v>
      </c>
      <c r="J180" s="61" t="s">
        <v>110</v>
      </c>
      <c r="K180" s="62"/>
      <c r="L180" s="63"/>
    </row>
    <row r="181" spans="1:12" ht="86.25" x14ac:dyDescent="0.25">
      <c r="A181" s="1">
        <v>5</v>
      </c>
      <c r="B181" s="55">
        <f t="shared" si="12"/>
        <v>34</v>
      </c>
      <c r="C181" s="65" t="s">
        <v>234</v>
      </c>
      <c r="D181" s="66">
        <v>2015</v>
      </c>
      <c r="E181" s="70">
        <v>1078.796</v>
      </c>
      <c r="F181" s="69">
        <v>1078.796</v>
      </c>
      <c r="G181" s="69">
        <v>1078.796</v>
      </c>
      <c r="H181" s="69">
        <v>1068.6090799999999</v>
      </c>
      <c r="I181" s="69">
        <v>0</v>
      </c>
      <c r="J181" s="61" t="s">
        <v>45</v>
      </c>
      <c r="K181" s="62"/>
      <c r="L181" s="63"/>
    </row>
    <row r="182" spans="1:12" ht="51.75" x14ac:dyDescent="0.25">
      <c r="A182" s="1">
        <v>5</v>
      </c>
      <c r="B182" s="55">
        <f t="shared" si="12"/>
        <v>35</v>
      </c>
      <c r="C182" s="65" t="s">
        <v>235</v>
      </c>
      <c r="D182" s="66">
        <v>2015</v>
      </c>
      <c r="E182" s="70">
        <v>993.49</v>
      </c>
      <c r="F182" s="69">
        <v>993.49</v>
      </c>
      <c r="G182" s="69">
        <v>993.49</v>
      </c>
      <c r="H182" s="69">
        <v>987.08200999999997</v>
      </c>
      <c r="I182" s="69">
        <v>0</v>
      </c>
      <c r="J182" s="61" t="s">
        <v>110</v>
      </c>
      <c r="K182" s="62"/>
      <c r="L182" s="63" t="s">
        <v>126</v>
      </c>
    </row>
    <row r="183" spans="1:12" ht="51.75" x14ac:dyDescent="0.25">
      <c r="A183" s="1">
        <v>5</v>
      </c>
      <c r="B183" s="55">
        <f t="shared" si="12"/>
        <v>36</v>
      </c>
      <c r="C183" s="65" t="s">
        <v>236</v>
      </c>
      <c r="D183" s="66">
        <v>2015</v>
      </c>
      <c r="E183" s="70">
        <v>585.66800000000001</v>
      </c>
      <c r="F183" s="69">
        <v>585.66800000000001</v>
      </c>
      <c r="G183" s="69">
        <v>585.66800000000001</v>
      </c>
      <c r="H183" s="69">
        <v>466.11446000000001</v>
      </c>
      <c r="I183" s="69">
        <v>0</v>
      </c>
      <c r="J183" s="61" t="s">
        <v>110</v>
      </c>
      <c r="K183" s="62"/>
      <c r="L183" s="63" t="s">
        <v>126</v>
      </c>
    </row>
    <row r="184" spans="1:12" ht="86.25" x14ac:dyDescent="0.25">
      <c r="A184" s="1">
        <v>5</v>
      </c>
      <c r="B184" s="55">
        <f t="shared" si="12"/>
        <v>37</v>
      </c>
      <c r="C184" s="65" t="s">
        <v>237</v>
      </c>
      <c r="D184" s="66">
        <v>2015</v>
      </c>
      <c r="E184" s="70">
        <v>578.05799999999999</v>
      </c>
      <c r="F184" s="69">
        <v>578.05799999999999</v>
      </c>
      <c r="G184" s="69">
        <v>578.05799999999999</v>
      </c>
      <c r="H184" s="69">
        <v>443.83308</v>
      </c>
      <c r="I184" s="69">
        <v>0</v>
      </c>
      <c r="J184" s="61" t="s">
        <v>110</v>
      </c>
      <c r="K184" s="62"/>
      <c r="L184" s="63" t="s">
        <v>126</v>
      </c>
    </row>
    <row r="185" spans="1:12" ht="86.25" x14ac:dyDescent="0.25">
      <c r="A185" s="1">
        <v>5</v>
      </c>
      <c r="B185" s="55">
        <f t="shared" si="12"/>
        <v>38</v>
      </c>
      <c r="C185" s="65" t="s">
        <v>238</v>
      </c>
      <c r="D185" s="66">
        <v>2015</v>
      </c>
      <c r="E185" s="70">
        <v>1109.8389999999999</v>
      </c>
      <c r="F185" s="69">
        <v>1109.8389999999999</v>
      </c>
      <c r="G185" s="69">
        <v>1109.8389999999999</v>
      </c>
      <c r="H185" s="69">
        <v>1091.00074</v>
      </c>
      <c r="I185" s="69">
        <v>0</v>
      </c>
      <c r="J185" s="61" t="s">
        <v>110</v>
      </c>
      <c r="K185" s="62"/>
      <c r="L185" s="63" t="s">
        <v>126</v>
      </c>
    </row>
    <row r="186" spans="1:12" ht="86.25" x14ac:dyDescent="0.25">
      <c r="A186" s="1">
        <v>5</v>
      </c>
      <c r="B186" s="55">
        <f t="shared" si="12"/>
        <v>39</v>
      </c>
      <c r="C186" s="65" t="s">
        <v>239</v>
      </c>
      <c r="D186" s="66">
        <v>2015</v>
      </c>
      <c r="E186" s="70">
        <v>288.63400000000001</v>
      </c>
      <c r="F186" s="69">
        <v>288.63400000000001</v>
      </c>
      <c r="G186" s="69">
        <v>288.63400000000001</v>
      </c>
      <c r="H186" s="69">
        <v>277.73511000000002</v>
      </c>
      <c r="I186" s="69">
        <v>0</v>
      </c>
      <c r="J186" s="61" t="s">
        <v>110</v>
      </c>
      <c r="K186" s="62"/>
      <c r="L186" s="63" t="s">
        <v>126</v>
      </c>
    </row>
    <row r="187" spans="1:12" ht="69" x14ac:dyDescent="0.25">
      <c r="A187" s="1">
        <v>5</v>
      </c>
      <c r="B187" s="55">
        <f t="shared" si="12"/>
        <v>40</v>
      </c>
      <c r="C187" s="65" t="s">
        <v>240</v>
      </c>
      <c r="D187" s="66" t="s">
        <v>28</v>
      </c>
      <c r="E187" s="70">
        <v>778.89800000000002</v>
      </c>
      <c r="F187" s="69">
        <v>778.89800000000002</v>
      </c>
      <c r="G187" s="69">
        <v>778.89800000000002</v>
      </c>
      <c r="H187" s="69">
        <v>749.14952999999991</v>
      </c>
      <c r="I187" s="69">
        <v>0</v>
      </c>
      <c r="J187" s="61" t="s">
        <v>29</v>
      </c>
      <c r="K187" s="62" t="s">
        <v>241</v>
      </c>
      <c r="L187" s="63" t="s">
        <v>126</v>
      </c>
    </row>
    <row r="188" spans="1:12" ht="51.75" x14ac:dyDescent="0.25">
      <c r="A188" s="1">
        <v>5</v>
      </c>
      <c r="B188" s="55">
        <f t="shared" si="12"/>
        <v>41</v>
      </c>
      <c r="C188" s="65" t="s">
        <v>242</v>
      </c>
      <c r="D188" s="66">
        <v>2015</v>
      </c>
      <c r="E188" s="70">
        <v>999.12400000000002</v>
      </c>
      <c r="F188" s="69">
        <v>999.12400000000002</v>
      </c>
      <c r="G188" s="69">
        <v>999.12400000000002</v>
      </c>
      <c r="H188" s="69">
        <v>999.03629000000001</v>
      </c>
      <c r="I188" s="69">
        <v>0</v>
      </c>
      <c r="J188" s="61" t="s">
        <v>29</v>
      </c>
      <c r="K188" s="62" t="s">
        <v>243</v>
      </c>
      <c r="L188" s="63" t="s">
        <v>57</v>
      </c>
    </row>
    <row r="189" spans="1:12" ht="103.5" x14ac:dyDescent="0.25">
      <c r="A189" s="1">
        <v>5</v>
      </c>
      <c r="B189" s="55">
        <f t="shared" si="12"/>
        <v>42</v>
      </c>
      <c r="C189" s="65" t="s">
        <v>244</v>
      </c>
      <c r="D189" s="66">
        <v>2015</v>
      </c>
      <c r="E189" s="70">
        <v>884.15800000000002</v>
      </c>
      <c r="F189" s="69">
        <v>884.15800000000002</v>
      </c>
      <c r="G189" s="69">
        <v>884.15800000000002</v>
      </c>
      <c r="H189" s="69">
        <v>0</v>
      </c>
      <c r="I189" s="69">
        <v>0</v>
      </c>
      <c r="J189" s="61" t="s">
        <v>45</v>
      </c>
      <c r="K189" s="62"/>
      <c r="L189" s="63"/>
    </row>
    <row r="190" spans="1:12" ht="69" x14ac:dyDescent="0.25">
      <c r="A190" s="1">
        <v>5</v>
      </c>
      <c r="B190" s="55">
        <f t="shared" si="12"/>
        <v>43</v>
      </c>
      <c r="C190" s="65" t="s">
        <v>245</v>
      </c>
      <c r="D190" s="66">
        <v>2015</v>
      </c>
      <c r="E190" s="70">
        <v>1000.4829999999999</v>
      </c>
      <c r="F190" s="69">
        <v>1000.4829999999999</v>
      </c>
      <c r="G190" s="69">
        <v>1000.4829999999999</v>
      </c>
      <c r="H190" s="69">
        <v>831.15899999999999</v>
      </c>
      <c r="I190" s="69">
        <v>0</v>
      </c>
      <c r="J190" s="61" t="s">
        <v>29</v>
      </c>
      <c r="K190" s="62" t="s">
        <v>246</v>
      </c>
      <c r="L190" s="63" t="s">
        <v>126</v>
      </c>
    </row>
    <row r="191" spans="1:12" ht="69" x14ac:dyDescent="0.25">
      <c r="A191" s="1">
        <v>5</v>
      </c>
      <c r="B191" s="55">
        <f t="shared" si="12"/>
        <v>44</v>
      </c>
      <c r="C191" s="65" t="s">
        <v>247</v>
      </c>
      <c r="D191" s="66">
        <v>2015</v>
      </c>
      <c r="E191" s="70">
        <v>1022.523</v>
      </c>
      <c r="F191" s="69">
        <v>1022.523</v>
      </c>
      <c r="G191" s="69">
        <v>1022.523</v>
      </c>
      <c r="H191" s="69">
        <v>884.41099999999994</v>
      </c>
      <c r="I191" s="69">
        <v>0</v>
      </c>
      <c r="J191" s="61" t="s">
        <v>29</v>
      </c>
      <c r="K191" s="62" t="s">
        <v>248</v>
      </c>
      <c r="L191" s="63" t="s">
        <v>126</v>
      </c>
    </row>
    <row r="192" spans="1:12" ht="86.25" x14ac:dyDescent="0.25">
      <c r="A192" s="1">
        <v>5</v>
      </c>
      <c r="B192" s="55">
        <f t="shared" si="12"/>
        <v>45</v>
      </c>
      <c r="C192" s="65" t="s">
        <v>249</v>
      </c>
      <c r="D192" s="66">
        <v>2015</v>
      </c>
      <c r="E192" s="70">
        <v>1065.6849999999999</v>
      </c>
      <c r="F192" s="69">
        <v>1065.6849999999999</v>
      </c>
      <c r="G192" s="69">
        <v>1065.6849999999999</v>
      </c>
      <c r="H192" s="69">
        <v>840.14499999999998</v>
      </c>
      <c r="I192" s="69">
        <v>0</v>
      </c>
      <c r="J192" s="61" t="s">
        <v>29</v>
      </c>
      <c r="K192" s="62" t="s">
        <v>250</v>
      </c>
      <c r="L192" s="63" t="s">
        <v>126</v>
      </c>
    </row>
    <row r="193" spans="1:12" ht="86.25" x14ac:dyDescent="0.25">
      <c r="A193" s="1">
        <v>5</v>
      </c>
      <c r="B193" s="55">
        <f t="shared" si="12"/>
        <v>46</v>
      </c>
      <c r="C193" s="65" t="s">
        <v>251</v>
      </c>
      <c r="D193" s="66">
        <v>2015</v>
      </c>
      <c r="E193" s="70">
        <v>1473.1420000000001</v>
      </c>
      <c r="F193" s="69">
        <v>1473.1420000000001</v>
      </c>
      <c r="G193" s="69">
        <v>1473.1420000000001</v>
      </c>
      <c r="H193" s="69">
        <v>1349.9929999999999</v>
      </c>
      <c r="I193" s="69">
        <v>0</v>
      </c>
      <c r="J193" s="61" t="s">
        <v>29</v>
      </c>
      <c r="K193" s="62" t="s">
        <v>252</v>
      </c>
      <c r="L193" s="63" t="s">
        <v>57</v>
      </c>
    </row>
    <row r="194" spans="1:12" ht="103.5" x14ac:dyDescent="0.25">
      <c r="A194" s="1">
        <v>5</v>
      </c>
      <c r="B194" s="64">
        <f t="shared" si="12"/>
        <v>47</v>
      </c>
      <c r="C194" s="65" t="s">
        <v>253</v>
      </c>
      <c r="D194" s="66">
        <v>2015</v>
      </c>
      <c r="E194" s="70">
        <v>302.553</v>
      </c>
      <c r="F194" s="69">
        <v>302.553</v>
      </c>
      <c r="G194" s="69">
        <v>302.553</v>
      </c>
      <c r="H194" s="69">
        <v>296.56200000000001</v>
      </c>
      <c r="I194" s="69">
        <v>0</v>
      </c>
      <c r="J194" s="61" t="s">
        <v>29</v>
      </c>
      <c r="K194" s="62"/>
      <c r="L194" s="63" t="s">
        <v>254</v>
      </c>
    </row>
    <row r="195" spans="1:12" ht="103.5" x14ac:dyDescent="0.25">
      <c r="A195" s="1">
        <v>5</v>
      </c>
      <c r="B195" s="55">
        <f t="shared" si="12"/>
        <v>48</v>
      </c>
      <c r="C195" s="65" t="s">
        <v>255</v>
      </c>
      <c r="D195" s="66">
        <v>2015</v>
      </c>
      <c r="E195" s="70">
        <v>351.79199999999997</v>
      </c>
      <c r="F195" s="69">
        <v>351.79199999999997</v>
      </c>
      <c r="G195" s="69">
        <v>351.79199999999997</v>
      </c>
      <c r="H195" s="69">
        <v>351.79199999999997</v>
      </c>
      <c r="I195" s="69">
        <v>0</v>
      </c>
      <c r="J195" s="61" t="s">
        <v>29</v>
      </c>
      <c r="K195" s="62"/>
      <c r="L195" s="63" t="s">
        <v>254</v>
      </c>
    </row>
    <row r="196" spans="1:12" ht="103.5" x14ac:dyDescent="0.25">
      <c r="A196" s="1">
        <v>5</v>
      </c>
      <c r="B196" s="64">
        <f t="shared" si="12"/>
        <v>49</v>
      </c>
      <c r="C196" s="65" t="s">
        <v>256</v>
      </c>
      <c r="D196" s="66">
        <v>2015</v>
      </c>
      <c r="E196" s="70">
        <v>828.54</v>
      </c>
      <c r="F196" s="69">
        <v>828.54</v>
      </c>
      <c r="G196" s="69">
        <v>828.54</v>
      </c>
      <c r="H196" s="69">
        <v>390.738</v>
      </c>
      <c r="I196" s="69">
        <v>0</v>
      </c>
      <c r="J196" s="61" t="s">
        <v>29</v>
      </c>
      <c r="K196" s="62"/>
      <c r="L196" s="63" t="s">
        <v>254</v>
      </c>
    </row>
    <row r="197" spans="1:12" ht="103.5" x14ac:dyDescent="0.25">
      <c r="A197" s="1">
        <v>5</v>
      </c>
      <c r="B197" s="55">
        <f t="shared" si="12"/>
        <v>50</v>
      </c>
      <c r="C197" s="65" t="s">
        <v>257</v>
      </c>
      <c r="D197" s="66">
        <v>2015</v>
      </c>
      <c r="E197" s="70">
        <v>679.428</v>
      </c>
      <c r="F197" s="69">
        <v>679.428</v>
      </c>
      <c r="G197" s="69">
        <v>679.428</v>
      </c>
      <c r="H197" s="69">
        <v>622.14499999999998</v>
      </c>
      <c r="I197" s="69">
        <v>0</v>
      </c>
      <c r="J197" s="61" t="s">
        <v>29</v>
      </c>
      <c r="K197" s="62"/>
      <c r="L197" s="63" t="s">
        <v>254</v>
      </c>
    </row>
    <row r="198" spans="1:12" ht="103.5" x14ac:dyDescent="0.25">
      <c r="A198" s="1">
        <v>5</v>
      </c>
      <c r="B198" s="64">
        <f t="shared" si="12"/>
        <v>51</v>
      </c>
      <c r="C198" s="65" t="s">
        <v>258</v>
      </c>
      <c r="D198" s="66">
        <v>2015</v>
      </c>
      <c r="E198" s="70">
        <v>605.91600000000005</v>
      </c>
      <c r="F198" s="69">
        <v>605.91600000000005</v>
      </c>
      <c r="G198" s="69">
        <v>605.91600000000005</v>
      </c>
      <c r="H198" s="69">
        <v>362.66800000000001</v>
      </c>
      <c r="I198" s="69">
        <v>0</v>
      </c>
      <c r="J198" s="61" t="s">
        <v>29</v>
      </c>
      <c r="K198" s="62"/>
      <c r="L198" s="63" t="s">
        <v>254</v>
      </c>
    </row>
    <row r="199" spans="1:12" ht="103.5" x14ac:dyDescent="0.25">
      <c r="A199" s="1">
        <v>5</v>
      </c>
      <c r="B199" s="55">
        <f t="shared" si="12"/>
        <v>52</v>
      </c>
      <c r="C199" s="65" t="s">
        <v>259</v>
      </c>
      <c r="D199" s="66">
        <v>2015</v>
      </c>
      <c r="E199" s="70">
        <v>635.904</v>
      </c>
      <c r="F199" s="69">
        <v>635.904</v>
      </c>
      <c r="G199" s="69">
        <v>635.904</v>
      </c>
      <c r="H199" s="69">
        <v>441.18599999999998</v>
      </c>
      <c r="I199" s="69">
        <v>0</v>
      </c>
      <c r="J199" s="61" t="s">
        <v>29</v>
      </c>
      <c r="K199" s="62"/>
      <c r="L199" s="63" t="s">
        <v>254</v>
      </c>
    </row>
    <row r="200" spans="1:12" ht="103.5" x14ac:dyDescent="0.25">
      <c r="A200" s="1">
        <v>5</v>
      </c>
      <c r="B200" s="64">
        <f t="shared" si="12"/>
        <v>53</v>
      </c>
      <c r="C200" s="65" t="s">
        <v>260</v>
      </c>
      <c r="D200" s="66">
        <v>2015</v>
      </c>
      <c r="E200" s="70">
        <v>551.673</v>
      </c>
      <c r="F200" s="69">
        <v>551.673</v>
      </c>
      <c r="G200" s="69">
        <v>551.673</v>
      </c>
      <c r="H200" s="69">
        <v>493.673</v>
      </c>
      <c r="I200" s="69">
        <v>0</v>
      </c>
      <c r="J200" s="61" t="s">
        <v>29</v>
      </c>
      <c r="K200" s="62"/>
      <c r="L200" s="63" t="s">
        <v>254</v>
      </c>
    </row>
    <row r="201" spans="1:12" ht="103.5" x14ac:dyDescent="0.25">
      <c r="A201" s="1">
        <v>5</v>
      </c>
      <c r="B201" s="64">
        <f t="shared" si="12"/>
        <v>54</v>
      </c>
      <c r="C201" s="65" t="s">
        <v>261</v>
      </c>
      <c r="D201" s="66">
        <v>2015</v>
      </c>
      <c r="E201" s="70">
        <v>638.04600000000005</v>
      </c>
      <c r="F201" s="69">
        <v>638.04600000000005</v>
      </c>
      <c r="G201" s="69">
        <v>638.04600000000005</v>
      </c>
      <c r="H201" s="69">
        <v>475.2</v>
      </c>
      <c r="I201" s="69">
        <v>0</v>
      </c>
      <c r="J201" s="61" t="s">
        <v>29</v>
      </c>
      <c r="K201" s="62"/>
      <c r="L201" s="63" t="s">
        <v>254</v>
      </c>
    </row>
    <row r="202" spans="1:12" ht="103.5" x14ac:dyDescent="0.25">
      <c r="A202" s="1">
        <v>5</v>
      </c>
      <c r="B202" s="64">
        <f t="shared" si="12"/>
        <v>55</v>
      </c>
      <c r="C202" s="65" t="s">
        <v>262</v>
      </c>
      <c r="D202" s="66">
        <v>2015</v>
      </c>
      <c r="E202" s="70">
        <v>3526.848</v>
      </c>
      <c r="F202" s="69">
        <v>3526.848</v>
      </c>
      <c r="G202" s="69">
        <v>3526.848</v>
      </c>
      <c r="H202" s="69">
        <v>0</v>
      </c>
      <c r="I202" s="69">
        <v>0</v>
      </c>
      <c r="J202" s="61" t="s">
        <v>45</v>
      </c>
      <c r="K202" s="62"/>
      <c r="L202" s="63"/>
    </row>
    <row r="203" spans="1:12" ht="86.25" x14ac:dyDescent="0.25">
      <c r="A203" s="1">
        <v>5</v>
      </c>
      <c r="B203" s="55">
        <f t="shared" si="12"/>
        <v>56</v>
      </c>
      <c r="C203" s="65" t="s">
        <v>263</v>
      </c>
      <c r="D203" s="66">
        <v>2015</v>
      </c>
      <c r="E203" s="70">
        <v>826.40700000000004</v>
      </c>
      <c r="F203" s="69">
        <v>826.40700000000004</v>
      </c>
      <c r="G203" s="69">
        <v>826.40700000000004</v>
      </c>
      <c r="H203" s="69">
        <v>826.40700000000004</v>
      </c>
      <c r="I203" s="69">
        <v>0</v>
      </c>
      <c r="J203" s="61" t="s">
        <v>29</v>
      </c>
      <c r="K203" s="62"/>
      <c r="L203" s="63" t="s">
        <v>254</v>
      </c>
    </row>
    <row r="204" spans="1:12" ht="103.5" x14ac:dyDescent="0.25">
      <c r="A204" s="1">
        <v>5</v>
      </c>
      <c r="B204" s="64">
        <f t="shared" si="12"/>
        <v>57</v>
      </c>
      <c r="C204" s="65" t="s">
        <v>264</v>
      </c>
      <c r="D204" s="66">
        <v>2015</v>
      </c>
      <c r="E204" s="70">
        <v>354.80700000000002</v>
      </c>
      <c r="F204" s="69">
        <v>354.80700000000002</v>
      </c>
      <c r="G204" s="69">
        <v>354.80700000000002</v>
      </c>
      <c r="H204" s="69">
        <v>354.61599999999999</v>
      </c>
      <c r="I204" s="69">
        <v>0</v>
      </c>
      <c r="J204" s="61" t="s">
        <v>29</v>
      </c>
      <c r="K204" s="62" t="s">
        <v>141</v>
      </c>
      <c r="L204" s="63" t="s">
        <v>254</v>
      </c>
    </row>
    <row r="205" spans="1:12" ht="86.25" x14ac:dyDescent="0.25">
      <c r="A205" s="1">
        <v>5</v>
      </c>
      <c r="B205" s="55">
        <f t="shared" si="12"/>
        <v>58</v>
      </c>
      <c r="C205" s="65" t="s">
        <v>265</v>
      </c>
      <c r="D205" s="66">
        <v>2015</v>
      </c>
      <c r="E205" s="70">
        <v>720.59400000000005</v>
      </c>
      <c r="F205" s="69">
        <v>720.59400000000005</v>
      </c>
      <c r="G205" s="69">
        <v>720.59400000000005</v>
      </c>
      <c r="H205" s="69">
        <v>720.59400000000005</v>
      </c>
      <c r="I205" s="69">
        <v>0</v>
      </c>
      <c r="J205" s="61" t="s">
        <v>29</v>
      </c>
      <c r="K205" s="62" t="s">
        <v>266</v>
      </c>
      <c r="L205" s="63" t="s">
        <v>254</v>
      </c>
    </row>
    <row r="206" spans="1:12" ht="103.5" x14ac:dyDescent="0.25">
      <c r="A206" s="1">
        <v>5</v>
      </c>
      <c r="B206" s="55">
        <f t="shared" si="12"/>
        <v>59</v>
      </c>
      <c r="C206" s="65" t="s">
        <v>267</v>
      </c>
      <c r="D206" s="66">
        <v>2015</v>
      </c>
      <c r="E206" s="70">
        <v>404.10899999999998</v>
      </c>
      <c r="F206" s="69">
        <v>404.10899999999998</v>
      </c>
      <c r="G206" s="69">
        <v>404.10899999999998</v>
      </c>
      <c r="H206" s="69">
        <v>404.10899999999998</v>
      </c>
      <c r="I206" s="69">
        <v>0</v>
      </c>
      <c r="J206" s="61" t="s">
        <v>29</v>
      </c>
      <c r="K206" s="62" t="s">
        <v>268</v>
      </c>
      <c r="L206" s="63" t="s">
        <v>254</v>
      </c>
    </row>
    <row r="207" spans="1:12" ht="103.5" x14ac:dyDescent="0.25">
      <c r="A207" s="1">
        <v>5</v>
      </c>
      <c r="B207" s="64">
        <f t="shared" si="12"/>
        <v>60</v>
      </c>
      <c r="C207" s="65" t="s">
        <v>269</v>
      </c>
      <c r="D207" s="66">
        <v>2015</v>
      </c>
      <c r="E207" s="70">
        <v>742.40099999999995</v>
      </c>
      <c r="F207" s="69">
        <v>742.40099999999995</v>
      </c>
      <c r="G207" s="69">
        <v>742.40099999999995</v>
      </c>
      <c r="H207" s="69">
        <v>742.40099999999995</v>
      </c>
      <c r="I207" s="69">
        <v>0</v>
      </c>
      <c r="J207" s="61" t="s">
        <v>29</v>
      </c>
      <c r="K207" s="62" t="s">
        <v>268</v>
      </c>
      <c r="L207" s="63" t="s">
        <v>254</v>
      </c>
    </row>
    <row r="208" spans="1:12" ht="69" x14ac:dyDescent="0.25">
      <c r="A208" s="1">
        <v>5</v>
      </c>
      <c r="B208" s="55">
        <f t="shared" si="12"/>
        <v>61</v>
      </c>
      <c r="C208" s="65" t="s">
        <v>270</v>
      </c>
      <c r="D208" s="66">
        <v>2015</v>
      </c>
      <c r="E208" s="70">
        <v>282.20400000000001</v>
      </c>
      <c r="F208" s="69">
        <v>282.20400000000001</v>
      </c>
      <c r="G208" s="69">
        <v>282.20400000000001</v>
      </c>
      <c r="H208" s="69">
        <v>281.85899999999998</v>
      </c>
      <c r="I208" s="69">
        <v>0</v>
      </c>
      <c r="J208" s="61" t="s">
        <v>29</v>
      </c>
      <c r="K208" s="62" t="s">
        <v>106</v>
      </c>
      <c r="L208" s="63" t="s">
        <v>254</v>
      </c>
    </row>
    <row r="209" spans="1:12" ht="69" x14ac:dyDescent="0.25">
      <c r="A209" s="1">
        <v>5</v>
      </c>
      <c r="B209" s="55">
        <f t="shared" si="12"/>
        <v>62</v>
      </c>
      <c r="C209" s="65" t="s">
        <v>271</v>
      </c>
      <c r="D209" s="66">
        <v>2015</v>
      </c>
      <c r="E209" s="70">
        <v>83.546999999999997</v>
      </c>
      <c r="F209" s="69">
        <v>83.546999999999997</v>
      </c>
      <c r="G209" s="69">
        <v>83.546999999999997</v>
      </c>
      <c r="H209" s="69">
        <v>78.903999999999996</v>
      </c>
      <c r="I209" s="69">
        <v>0</v>
      </c>
      <c r="J209" s="61" t="s">
        <v>29</v>
      </c>
      <c r="K209" s="62" t="s">
        <v>272</v>
      </c>
      <c r="L209" s="63" t="s">
        <v>254</v>
      </c>
    </row>
    <row r="210" spans="1:12" ht="86.25" x14ac:dyDescent="0.25">
      <c r="A210" s="1">
        <v>5</v>
      </c>
      <c r="B210" s="55">
        <f t="shared" si="12"/>
        <v>63</v>
      </c>
      <c r="C210" s="65" t="s">
        <v>273</v>
      </c>
      <c r="D210" s="66">
        <v>2015</v>
      </c>
      <c r="E210" s="70">
        <v>167.85</v>
      </c>
      <c r="F210" s="69">
        <v>167.85</v>
      </c>
      <c r="G210" s="69">
        <v>167.85</v>
      </c>
      <c r="H210" s="69">
        <v>167.85</v>
      </c>
      <c r="I210" s="69">
        <v>0</v>
      </c>
      <c r="J210" s="61" t="s">
        <v>29</v>
      </c>
      <c r="K210" s="62" t="s">
        <v>274</v>
      </c>
      <c r="L210" s="63" t="s">
        <v>254</v>
      </c>
    </row>
    <row r="211" spans="1:12" ht="69" x14ac:dyDescent="0.25">
      <c r="A211" s="1">
        <v>5</v>
      </c>
      <c r="B211" s="55">
        <f t="shared" si="12"/>
        <v>64</v>
      </c>
      <c r="C211" s="65" t="s">
        <v>275</v>
      </c>
      <c r="D211" s="66">
        <v>2015</v>
      </c>
      <c r="E211" s="70">
        <v>566.93700000000001</v>
      </c>
      <c r="F211" s="69">
        <v>566.93700000000001</v>
      </c>
      <c r="G211" s="69">
        <v>566.93700000000001</v>
      </c>
      <c r="H211" s="69">
        <v>481.07600000000002</v>
      </c>
      <c r="I211" s="69">
        <v>0</v>
      </c>
      <c r="J211" s="61" t="s">
        <v>29</v>
      </c>
      <c r="K211" s="62" t="s">
        <v>106</v>
      </c>
      <c r="L211" s="63" t="s">
        <v>254</v>
      </c>
    </row>
    <row r="212" spans="1:12" ht="69" x14ac:dyDescent="0.25">
      <c r="A212" s="1">
        <v>5</v>
      </c>
      <c r="B212" s="55">
        <f t="shared" si="12"/>
        <v>65</v>
      </c>
      <c r="C212" s="65" t="s">
        <v>276</v>
      </c>
      <c r="D212" s="66">
        <v>2015</v>
      </c>
      <c r="E212" s="70">
        <v>167.91300000000001</v>
      </c>
      <c r="F212" s="69">
        <v>167.91300000000001</v>
      </c>
      <c r="G212" s="69">
        <v>167.91300000000001</v>
      </c>
      <c r="H212" s="69">
        <v>167.91300000000001</v>
      </c>
      <c r="I212" s="69">
        <v>0</v>
      </c>
      <c r="J212" s="61" t="s">
        <v>110</v>
      </c>
      <c r="K212" s="62" t="s">
        <v>277</v>
      </c>
      <c r="L212" s="63" t="s">
        <v>254</v>
      </c>
    </row>
    <row r="213" spans="1:12" ht="69" x14ac:dyDescent="0.25">
      <c r="A213" s="1">
        <v>5</v>
      </c>
      <c r="B213" s="55">
        <f t="shared" si="12"/>
        <v>66</v>
      </c>
      <c r="C213" s="65" t="s">
        <v>278</v>
      </c>
      <c r="D213" s="66">
        <v>2015</v>
      </c>
      <c r="E213" s="70">
        <v>4386.933</v>
      </c>
      <c r="F213" s="69">
        <v>4386.933</v>
      </c>
      <c r="G213" s="69">
        <v>4386.933</v>
      </c>
      <c r="H213" s="69">
        <v>0</v>
      </c>
      <c r="I213" s="69">
        <v>0</v>
      </c>
      <c r="J213" s="61" t="s">
        <v>45</v>
      </c>
      <c r="K213" s="62"/>
      <c r="L213" s="63"/>
    </row>
    <row r="214" spans="1:12" ht="103.5" x14ac:dyDescent="0.25">
      <c r="A214" s="1">
        <v>5</v>
      </c>
      <c r="B214" s="55">
        <f t="shared" ref="B214:B259" si="13">B213+1</f>
        <v>67</v>
      </c>
      <c r="C214" s="65" t="s">
        <v>279</v>
      </c>
      <c r="D214" s="66">
        <v>2015</v>
      </c>
      <c r="E214" s="70">
        <v>192.93299999999999</v>
      </c>
      <c r="F214" s="69">
        <v>192.93299999999999</v>
      </c>
      <c r="G214" s="69">
        <v>192.93299999999999</v>
      </c>
      <c r="H214" s="69">
        <v>192.93285999999998</v>
      </c>
      <c r="I214" s="69">
        <v>0</v>
      </c>
      <c r="J214" s="61" t="s">
        <v>29</v>
      </c>
      <c r="K214" s="62"/>
      <c r="L214" s="63" t="s">
        <v>254</v>
      </c>
    </row>
    <row r="215" spans="1:12" ht="120.75" x14ac:dyDescent="0.25">
      <c r="A215" s="1">
        <v>5</v>
      </c>
      <c r="B215" s="55">
        <f t="shared" si="13"/>
        <v>68</v>
      </c>
      <c r="C215" s="65" t="s">
        <v>280</v>
      </c>
      <c r="D215" s="66">
        <v>2015</v>
      </c>
      <c r="E215" s="70">
        <v>180.04499999999999</v>
      </c>
      <c r="F215" s="69">
        <v>180.04499999999999</v>
      </c>
      <c r="G215" s="69">
        <v>180.04499999999999</v>
      </c>
      <c r="H215" s="69">
        <v>177.804</v>
      </c>
      <c r="I215" s="69">
        <v>0</v>
      </c>
      <c r="J215" s="61" t="s">
        <v>29</v>
      </c>
      <c r="K215" s="62"/>
      <c r="L215" s="63" t="s">
        <v>254</v>
      </c>
    </row>
    <row r="216" spans="1:12" ht="86.25" x14ac:dyDescent="0.25">
      <c r="A216" s="1">
        <v>5</v>
      </c>
      <c r="B216" s="55">
        <f t="shared" si="13"/>
        <v>69</v>
      </c>
      <c r="C216" s="65" t="s">
        <v>281</v>
      </c>
      <c r="D216" s="66">
        <v>2015</v>
      </c>
      <c r="E216" s="70">
        <v>130.30199999999999</v>
      </c>
      <c r="F216" s="69">
        <v>130.30199999999999</v>
      </c>
      <c r="G216" s="69">
        <v>130.30199999999999</v>
      </c>
      <c r="H216" s="69">
        <v>0</v>
      </c>
      <c r="I216" s="69">
        <v>0</v>
      </c>
      <c r="J216" s="61" t="s">
        <v>45</v>
      </c>
      <c r="K216" s="62"/>
      <c r="L216" s="63"/>
    </row>
    <row r="217" spans="1:12" ht="69" x14ac:dyDescent="0.25">
      <c r="A217" s="1">
        <v>5</v>
      </c>
      <c r="B217" s="55">
        <f t="shared" si="13"/>
        <v>70</v>
      </c>
      <c r="C217" s="65" t="s">
        <v>282</v>
      </c>
      <c r="D217" s="66">
        <v>2015</v>
      </c>
      <c r="E217" s="70">
        <v>281.16899999999998</v>
      </c>
      <c r="F217" s="69">
        <v>281.16899999999998</v>
      </c>
      <c r="G217" s="69">
        <v>281.16899999999998</v>
      </c>
      <c r="H217" s="69">
        <v>0</v>
      </c>
      <c r="I217" s="69">
        <v>0</v>
      </c>
      <c r="J217" s="61" t="s">
        <v>45</v>
      </c>
      <c r="K217" s="62"/>
      <c r="L217" s="63"/>
    </row>
    <row r="218" spans="1:12" ht="69" x14ac:dyDescent="0.25">
      <c r="A218" s="1">
        <v>5</v>
      </c>
      <c r="B218" s="55">
        <f t="shared" si="13"/>
        <v>71</v>
      </c>
      <c r="C218" s="65" t="s">
        <v>283</v>
      </c>
      <c r="D218" s="66">
        <v>2015</v>
      </c>
      <c r="E218" s="70">
        <v>198.76499999999999</v>
      </c>
      <c r="F218" s="69">
        <v>198.76499999999999</v>
      </c>
      <c r="G218" s="69">
        <v>198.76499999999999</v>
      </c>
      <c r="H218" s="69">
        <v>198.76499999999999</v>
      </c>
      <c r="I218" s="69">
        <v>0</v>
      </c>
      <c r="J218" s="61" t="s">
        <v>29</v>
      </c>
      <c r="K218" s="62" t="s">
        <v>141</v>
      </c>
      <c r="L218" s="63" t="s">
        <v>254</v>
      </c>
    </row>
    <row r="219" spans="1:12" ht="86.25" x14ac:dyDescent="0.25">
      <c r="A219" s="1">
        <v>5</v>
      </c>
      <c r="B219" s="55">
        <f t="shared" si="13"/>
        <v>72</v>
      </c>
      <c r="C219" s="65" t="s">
        <v>284</v>
      </c>
      <c r="D219" s="66">
        <v>2015</v>
      </c>
      <c r="E219" s="70">
        <v>190.476</v>
      </c>
      <c r="F219" s="69">
        <v>190.476</v>
      </c>
      <c r="G219" s="69">
        <v>190.476</v>
      </c>
      <c r="H219" s="69">
        <v>190.01303999999999</v>
      </c>
      <c r="I219" s="69">
        <v>0</v>
      </c>
      <c r="J219" s="61" t="s">
        <v>29</v>
      </c>
      <c r="K219" s="62" t="s">
        <v>130</v>
      </c>
      <c r="L219" s="63" t="s">
        <v>254</v>
      </c>
    </row>
    <row r="220" spans="1:12" ht="51.75" x14ac:dyDescent="0.25">
      <c r="A220" s="1">
        <v>5</v>
      </c>
      <c r="B220" s="55">
        <f t="shared" si="13"/>
        <v>73</v>
      </c>
      <c r="C220" s="65" t="s">
        <v>285</v>
      </c>
      <c r="D220" s="66">
        <v>2015</v>
      </c>
      <c r="E220" s="70">
        <v>451.22399999999999</v>
      </c>
      <c r="F220" s="69">
        <v>451.22399999999999</v>
      </c>
      <c r="G220" s="69">
        <v>451.22399999999999</v>
      </c>
      <c r="H220" s="69">
        <v>414.35847999999993</v>
      </c>
      <c r="I220" s="69">
        <v>0</v>
      </c>
      <c r="J220" s="61" t="s">
        <v>29</v>
      </c>
      <c r="K220" s="62" t="s">
        <v>130</v>
      </c>
      <c r="L220" s="63" t="s">
        <v>254</v>
      </c>
    </row>
    <row r="221" spans="1:12" ht="103.5" x14ac:dyDescent="0.25">
      <c r="A221" s="1">
        <v>5</v>
      </c>
      <c r="B221" s="55">
        <f t="shared" si="13"/>
        <v>74</v>
      </c>
      <c r="C221" s="65" t="s">
        <v>286</v>
      </c>
      <c r="D221" s="66">
        <v>2015</v>
      </c>
      <c r="E221" s="70">
        <v>162.018</v>
      </c>
      <c r="F221" s="69">
        <v>162.018</v>
      </c>
      <c r="G221" s="69">
        <v>162.018</v>
      </c>
      <c r="H221" s="69">
        <v>0</v>
      </c>
      <c r="I221" s="69">
        <v>0</v>
      </c>
      <c r="J221" s="61" t="s">
        <v>45</v>
      </c>
      <c r="K221" s="62"/>
      <c r="L221" s="63"/>
    </row>
    <row r="222" spans="1:12" ht="69" x14ac:dyDescent="0.25">
      <c r="A222" s="1">
        <v>5</v>
      </c>
      <c r="B222" s="64">
        <f t="shared" si="13"/>
        <v>75</v>
      </c>
      <c r="C222" s="65" t="s">
        <v>287</v>
      </c>
      <c r="D222" s="66">
        <v>2015</v>
      </c>
      <c r="E222" s="70">
        <v>1270.944</v>
      </c>
      <c r="F222" s="69">
        <v>1270.944</v>
      </c>
      <c r="G222" s="69">
        <v>1270.944</v>
      </c>
      <c r="H222" s="69">
        <v>852.20820000000003</v>
      </c>
      <c r="I222" s="69">
        <v>0</v>
      </c>
      <c r="J222" s="61" t="s">
        <v>29</v>
      </c>
      <c r="K222" s="62"/>
      <c r="L222" s="63" t="s">
        <v>254</v>
      </c>
    </row>
    <row r="223" spans="1:12" ht="155.25" x14ac:dyDescent="0.25">
      <c r="A223" s="1">
        <v>5</v>
      </c>
      <c r="B223" s="55">
        <f t="shared" si="13"/>
        <v>76</v>
      </c>
      <c r="C223" s="107" t="s">
        <v>288</v>
      </c>
      <c r="D223" s="66">
        <v>2015</v>
      </c>
      <c r="E223" s="70">
        <v>507.34800000000001</v>
      </c>
      <c r="F223" s="69">
        <v>507.34800000000001</v>
      </c>
      <c r="G223" s="69">
        <v>507.34800000000001</v>
      </c>
      <c r="H223" s="69">
        <v>507.19607999999999</v>
      </c>
      <c r="I223" s="69">
        <v>0</v>
      </c>
      <c r="J223" s="61" t="s">
        <v>29</v>
      </c>
      <c r="K223" s="62" t="s">
        <v>130</v>
      </c>
      <c r="L223" s="63" t="s">
        <v>254</v>
      </c>
    </row>
    <row r="224" spans="1:12" ht="103.5" x14ac:dyDescent="0.25">
      <c r="A224" s="1">
        <v>5</v>
      </c>
      <c r="B224" s="64">
        <f t="shared" si="13"/>
        <v>77</v>
      </c>
      <c r="C224" s="65" t="s">
        <v>289</v>
      </c>
      <c r="D224" s="66">
        <v>2015</v>
      </c>
      <c r="E224" s="70">
        <v>670.12199999999996</v>
      </c>
      <c r="F224" s="69">
        <v>670.12199999999996</v>
      </c>
      <c r="G224" s="69">
        <v>670.12199999999996</v>
      </c>
      <c r="H224" s="69">
        <v>670.12199999999996</v>
      </c>
      <c r="I224" s="69">
        <v>0</v>
      </c>
      <c r="J224" s="61" t="s">
        <v>29</v>
      </c>
      <c r="K224" s="62" t="s">
        <v>123</v>
      </c>
      <c r="L224" s="63" t="s">
        <v>254</v>
      </c>
    </row>
    <row r="225" spans="1:12" ht="86.25" x14ac:dyDescent="0.25">
      <c r="A225" s="1">
        <v>5</v>
      </c>
      <c r="B225" s="55">
        <f t="shared" si="13"/>
        <v>78</v>
      </c>
      <c r="C225" s="65" t="s">
        <v>290</v>
      </c>
      <c r="D225" s="66">
        <v>2015</v>
      </c>
      <c r="E225" s="70">
        <v>520.33500000000004</v>
      </c>
      <c r="F225" s="69">
        <v>520.33500000000004</v>
      </c>
      <c r="G225" s="69">
        <v>520.33500000000004</v>
      </c>
      <c r="H225" s="69">
        <v>441.81700000000001</v>
      </c>
      <c r="I225" s="69">
        <v>0</v>
      </c>
      <c r="J225" s="61" t="s">
        <v>29</v>
      </c>
      <c r="K225" s="62"/>
      <c r="L225" s="63" t="s">
        <v>254</v>
      </c>
    </row>
    <row r="226" spans="1:12" ht="120.75" x14ac:dyDescent="0.25">
      <c r="A226" s="1">
        <v>5</v>
      </c>
      <c r="B226" s="55">
        <f t="shared" si="13"/>
        <v>79</v>
      </c>
      <c r="C226" s="65" t="s">
        <v>291</v>
      </c>
      <c r="D226" s="66">
        <v>2015</v>
      </c>
      <c r="E226" s="70">
        <v>334.25099999999998</v>
      </c>
      <c r="F226" s="69">
        <v>334.25099999999998</v>
      </c>
      <c r="G226" s="69">
        <v>334.25099999999998</v>
      </c>
      <c r="H226" s="69">
        <v>333.15100000000001</v>
      </c>
      <c r="I226" s="69">
        <v>0</v>
      </c>
      <c r="J226" s="61" t="s">
        <v>29</v>
      </c>
      <c r="K226" s="62"/>
      <c r="L226" s="63" t="s">
        <v>254</v>
      </c>
    </row>
    <row r="227" spans="1:12" ht="69" x14ac:dyDescent="0.25">
      <c r="A227" s="1">
        <v>5</v>
      </c>
      <c r="B227" s="55">
        <f t="shared" si="13"/>
        <v>80</v>
      </c>
      <c r="C227" s="65" t="s">
        <v>292</v>
      </c>
      <c r="D227" s="66">
        <v>2015</v>
      </c>
      <c r="E227" s="70">
        <v>364.959</v>
      </c>
      <c r="F227" s="69">
        <v>364.959</v>
      </c>
      <c r="G227" s="69">
        <v>364.959</v>
      </c>
      <c r="H227" s="69">
        <v>364.52800000000002</v>
      </c>
      <c r="I227" s="69">
        <v>0</v>
      </c>
      <c r="J227" s="61" t="s">
        <v>29</v>
      </c>
      <c r="K227" s="62"/>
      <c r="L227" s="63" t="s">
        <v>254</v>
      </c>
    </row>
    <row r="228" spans="1:12" ht="138" x14ac:dyDescent="0.25">
      <c r="A228" s="1">
        <v>5</v>
      </c>
      <c r="B228" s="64">
        <f t="shared" si="13"/>
        <v>81</v>
      </c>
      <c r="C228" s="107" t="s">
        <v>293</v>
      </c>
      <c r="D228" s="66">
        <v>2015</v>
      </c>
      <c r="E228" s="70">
        <v>264.93299999999999</v>
      </c>
      <c r="F228" s="69">
        <v>264.93299999999999</v>
      </c>
      <c r="G228" s="69">
        <v>264.93299999999999</v>
      </c>
      <c r="H228" s="69">
        <v>264.93</v>
      </c>
      <c r="I228" s="69">
        <v>0</v>
      </c>
      <c r="J228" s="61" t="s">
        <v>29</v>
      </c>
      <c r="K228" s="62"/>
      <c r="L228" s="63" t="s">
        <v>254</v>
      </c>
    </row>
    <row r="229" spans="1:12" ht="86.25" x14ac:dyDescent="0.25">
      <c r="A229" s="1">
        <v>5</v>
      </c>
      <c r="B229" s="55">
        <f t="shared" si="13"/>
        <v>82</v>
      </c>
      <c r="C229" s="65" t="s">
        <v>294</v>
      </c>
      <c r="D229" s="66">
        <v>2015</v>
      </c>
      <c r="E229" s="70">
        <v>627.822</v>
      </c>
      <c r="F229" s="69">
        <v>627.822</v>
      </c>
      <c r="G229" s="69">
        <v>627.822</v>
      </c>
      <c r="H229" s="69">
        <v>447.39600000000002</v>
      </c>
      <c r="I229" s="69">
        <v>0</v>
      </c>
      <c r="J229" s="61" t="s">
        <v>29</v>
      </c>
      <c r="K229" s="62"/>
      <c r="L229" s="63" t="s">
        <v>254</v>
      </c>
    </row>
    <row r="230" spans="1:12" ht="103.5" x14ac:dyDescent="0.25">
      <c r="A230" s="1">
        <v>5</v>
      </c>
      <c r="B230" s="64">
        <f t="shared" si="13"/>
        <v>83</v>
      </c>
      <c r="C230" s="65" t="s">
        <v>295</v>
      </c>
      <c r="D230" s="66">
        <v>2015</v>
      </c>
      <c r="E230" s="70">
        <v>392.70600000000002</v>
      </c>
      <c r="F230" s="69">
        <v>392.70600000000002</v>
      </c>
      <c r="G230" s="69">
        <v>392.70600000000002</v>
      </c>
      <c r="H230" s="69">
        <v>392.70600000000002</v>
      </c>
      <c r="I230" s="69">
        <v>0</v>
      </c>
      <c r="J230" s="61" t="s">
        <v>29</v>
      </c>
      <c r="K230" s="62" t="s">
        <v>130</v>
      </c>
      <c r="L230" s="63" t="s">
        <v>254</v>
      </c>
    </row>
    <row r="231" spans="1:12" ht="86.25" x14ac:dyDescent="0.25">
      <c r="A231" s="1">
        <v>5</v>
      </c>
      <c r="B231" s="55">
        <f t="shared" si="13"/>
        <v>84</v>
      </c>
      <c r="C231" s="65" t="s">
        <v>296</v>
      </c>
      <c r="D231" s="66">
        <v>2015</v>
      </c>
      <c r="E231" s="70">
        <v>370.70100000000002</v>
      </c>
      <c r="F231" s="69">
        <v>370.70100000000002</v>
      </c>
      <c r="G231" s="69">
        <v>370.70100000000002</v>
      </c>
      <c r="H231" s="69">
        <v>370.70100000000002</v>
      </c>
      <c r="I231" s="69">
        <v>0</v>
      </c>
      <c r="J231" s="61" t="s">
        <v>29</v>
      </c>
      <c r="K231" s="62" t="s">
        <v>108</v>
      </c>
      <c r="L231" s="63" t="s">
        <v>254</v>
      </c>
    </row>
    <row r="232" spans="1:12" ht="103.5" x14ac:dyDescent="0.25">
      <c r="A232" s="1">
        <v>5</v>
      </c>
      <c r="B232" s="64">
        <f t="shared" si="13"/>
        <v>85</v>
      </c>
      <c r="C232" s="65" t="s">
        <v>297</v>
      </c>
      <c r="D232" s="66">
        <v>2015</v>
      </c>
      <c r="E232" s="70">
        <v>364.12200000000001</v>
      </c>
      <c r="F232" s="69">
        <v>364.12200000000001</v>
      </c>
      <c r="G232" s="69">
        <v>364.12200000000001</v>
      </c>
      <c r="H232" s="69">
        <v>363.988</v>
      </c>
      <c r="I232" s="69">
        <v>0</v>
      </c>
      <c r="J232" s="61" t="s">
        <v>29</v>
      </c>
      <c r="K232" s="62" t="s">
        <v>130</v>
      </c>
      <c r="L232" s="63" t="s">
        <v>254</v>
      </c>
    </row>
    <row r="233" spans="1:12" ht="103.5" x14ac:dyDescent="0.25">
      <c r="A233" s="1">
        <v>5</v>
      </c>
      <c r="B233" s="64">
        <f t="shared" si="13"/>
        <v>86</v>
      </c>
      <c r="C233" s="65" t="s">
        <v>298</v>
      </c>
      <c r="D233" s="66">
        <v>2015</v>
      </c>
      <c r="E233" s="70">
        <v>277.46100000000001</v>
      </c>
      <c r="F233" s="69">
        <v>277.46100000000001</v>
      </c>
      <c r="G233" s="69">
        <v>277.46100000000001</v>
      </c>
      <c r="H233" s="69">
        <v>277.46100000000001</v>
      </c>
      <c r="I233" s="69">
        <v>0</v>
      </c>
      <c r="J233" s="61" t="s">
        <v>29</v>
      </c>
      <c r="K233" s="62" t="s">
        <v>130</v>
      </c>
      <c r="L233" s="63" t="s">
        <v>254</v>
      </c>
    </row>
    <row r="234" spans="1:12" ht="120.75" x14ac:dyDescent="0.25">
      <c r="A234" s="1">
        <v>5</v>
      </c>
      <c r="B234" s="64">
        <f t="shared" si="13"/>
        <v>87</v>
      </c>
      <c r="C234" s="65" t="s">
        <v>299</v>
      </c>
      <c r="D234" s="66">
        <v>2015</v>
      </c>
      <c r="E234" s="70">
        <v>367.29899999999998</v>
      </c>
      <c r="F234" s="69">
        <v>367.29899999999998</v>
      </c>
      <c r="G234" s="69">
        <v>367.29899999999998</v>
      </c>
      <c r="H234" s="69">
        <v>367.29899999999998</v>
      </c>
      <c r="I234" s="69">
        <v>0</v>
      </c>
      <c r="J234" s="61" t="s">
        <v>29</v>
      </c>
      <c r="K234" s="62"/>
      <c r="L234" s="63" t="s">
        <v>254</v>
      </c>
    </row>
    <row r="235" spans="1:12" ht="120.75" x14ac:dyDescent="0.25">
      <c r="A235" s="1">
        <v>5</v>
      </c>
      <c r="B235" s="64">
        <f t="shared" si="13"/>
        <v>88</v>
      </c>
      <c r="C235" s="65" t="s">
        <v>300</v>
      </c>
      <c r="D235" s="66">
        <v>2015</v>
      </c>
      <c r="E235" s="70">
        <v>367.29899999999998</v>
      </c>
      <c r="F235" s="69">
        <v>367.29899999999998</v>
      </c>
      <c r="G235" s="69">
        <v>367.29899999999998</v>
      </c>
      <c r="H235" s="69">
        <v>367.29899999999998</v>
      </c>
      <c r="I235" s="69">
        <v>0</v>
      </c>
      <c r="J235" s="61" t="s">
        <v>29</v>
      </c>
      <c r="K235" s="62"/>
      <c r="L235" s="63" t="s">
        <v>254</v>
      </c>
    </row>
    <row r="236" spans="1:12" ht="103.5" x14ac:dyDescent="0.25">
      <c r="A236" s="1">
        <v>5</v>
      </c>
      <c r="B236" s="55">
        <f t="shared" si="13"/>
        <v>89</v>
      </c>
      <c r="C236" s="65" t="s">
        <v>301</v>
      </c>
      <c r="D236" s="66">
        <v>2015</v>
      </c>
      <c r="E236" s="70">
        <v>247.95</v>
      </c>
      <c r="F236" s="69">
        <v>247.95</v>
      </c>
      <c r="G236" s="69">
        <v>247.95</v>
      </c>
      <c r="H236" s="69">
        <v>247.95</v>
      </c>
      <c r="I236" s="69">
        <v>0</v>
      </c>
      <c r="J236" s="61" t="s">
        <v>29</v>
      </c>
      <c r="K236" s="62" t="s">
        <v>274</v>
      </c>
      <c r="L236" s="63" t="s">
        <v>254</v>
      </c>
    </row>
    <row r="237" spans="1:12" ht="103.5" x14ac:dyDescent="0.25">
      <c r="A237" s="1">
        <v>5</v>
      </c>
      <c r="B237" s="64">
        <f t="shared" si="13"/>
        <v>90</v>
      </c>
      <c r="C237" s="65" t="s">
        <v>302</v>
      </c>
      <c r="D237" s="66">
        <v>2015</v>
      </c>
      <c r="E237" s="70">
        <v>356.56200000000001</v>
      </c>
      <c r="F237" s="69">
        <v>356.56200000000001</v>
      </c>
      <c r="G237" s="69">
        <v>356.56200000000001</v>
      </c>
      <c r="H237" s="69">
        <v>356.56200000000001</v>
      </c>
      <c r="I237" s="69">
        <v>0</v>
      </c>
      <c r="J237" s="61" t="s">
        <v>29</v>
      </c>
      <c r="K237" s="62" t="s">
        <v>303</v>
      </c>
      <c r="L237" s="63" t="s">
        <v>254</v>
      </c>
    </row>
    <row r="238" spans="1:12" ht="120.75" x14ac:dyDescent="0.25">
      <c r="A238" s="1">
        <v>5</v>
      </c>
      <c r="B238" s="64">
        <f t="shared" si="13"/>
        <v>91</v>
      </c>
      <c r="C238" s="65" t="s">
        <v>304</v>
      </c>
      <c r="D238" s="66">
        <v>2015</v>
      </c>
      <c r="E238" s="70">
        <v>680.15700000000004</v>
      </c>
      <c r="F238" s="69">
        <v>680.15700000000004</v>
      </c>
      <c r="G238" s="69">
        <v>680.15700000000004</v>
      </c>
      <c r="H238" s="69">
        <v>614.78399999999999</v>
      </c>
      <c r="I238" s="69">
        <v>0</v>
      </c>
      <c r="J238" s="61" t="s">
        <v>29</v>
      </c>
      <c r="K238" s="62"/>
      <c r="L238" s="63" t="s">
        <v>254</v>
      </c>
    </row>
    <row r="239" spans="1:12" ht="103.5" x14ac:dyDescent="0.25">
      <c r="A239" s="1">
        <v>5</v>
      </c>
      <c r="B239" s="64">
        <f t="shared" si="13"/>
        <v>92</v>
      </c>
      <c r="C239" s="65" t="s">
        <v>305</v>
      </c>
      <c r="D239" s="66">
        <v>2015</v>
      </c>
      <c r="E239" s="70">
        <v>264.93299999999999</v>
      </c>
      <c r="F239" s="69">
        <v>264.93299999999999</v>
      </c>
      <c r="G239" s="69">
        <v>264.93299999999999</v>
      </c>
      <c r="H239" s="69">
        <v>264.93</v>
      </c>
      <c r="I239" s="69">
        <v>0</v>
      </c>
      <c r="J239" s="61" t="s">
        <v>29</v>
      </c>
      <c r="K239" s="62" t="s">
        <v>208</v>
      </c>
      <c r="L239" s="63" t="s">
        <v>254</v>
      </c>
    </row>
    <row r="240" spans="1:12" ht="103.5" x14ac:dyDescent="0.25">
      <c r="A240" s="1">
        <v>5</v>
      </c>
      <c r="B240" s="55">
        <f t="shared" si="13"/>
        <v>93</v>
      </c>
      <c r="C240" s="65" t="s">
        <v>306</v>
      </c>
      <c r="D240" s="66">
        <v>2015</v>
      </c>
      <c r="E240" s="70">
        <v>119.40300000000001</v>
      </c>
      <c r="F240" s="69">
        <v>119.40300000000001</v>
      </c>
      <c r="G240" s="69">
        <v>119.40300000000001</v>
      </c>
      <c r="H240" s="69">
        <v>75.975999999999999</v>
      </c>
      <c r="I240" s="69">
        <v>0</v>
      </c>
      <c r="J240" s="61" t="s">
        <v>29</v>
      </c>
      <c r="K240" s="62" t="s">
        <v>115</v>
      </c>
      <c r="L240" s="63" t="s">
        <v>254</v>
      </c>
    </row>
    <row r="241" spans="1:12" ht="103.5" x14ac:dyDescent="0.25">
      <c r="A241" s="1">
        <v>5</v>
      </c>
      <c r="B241" s="64">
        <f t="shared" si="13"/>
        <v>94</v>
      </c>
      <c r="C241" s="65" t="s">
        <v>307</v>
      </c>
      <c r="D241" s="66">
        <v>2015</v>
      </c>
      <c r="E241" s="70">
        <v>119.40300000000001</v>
      </c>
      <c r="F241" s="69">
        <v>119.40300000000001</v>
      </c>
      <c r="G241" s="69">
        <v>119.40300000000001</v>
      </c>
      <c r="H241" s="69">
        <v>77.126999999999995</v>
      </c>
      <c r="I241" s="69">
        <v>0</v>
      </c>
      <c r="J241" s="61" t="s">
        <v>29</v>
      </c>
      <c r="K241" s="62" t="s">
        <v>115</v>
      </c>
      <c r="L241" s="63" t="s">
        <v>254</v>
      </c>
    </row>
    <row r="242" spans="1:12" ht="103.5" x14ac:dyDescent="0.25">
      <c r="A242" s="1">
        <v>5</v>
      </c>
      <c r="B242" s="55">
        <f t="shared" si="13"/>
        <v>95</v>
      </c>
      <c r="C242" s="65" t="s">
        <v>308</v>
      </c>
      <c r="D242" s="66">
        <v>2015</v>
      </c>
      <c r="E242" s="70">
        <v>119.40300000000001</v>
      </c>
      <c r="F242" s="69">
        <v>119.40300000000001</v>
      </c>
      <c r="G242" s="69">
        <v>119.40300000000001</v>
      </c>
      <c r="H242" s="69">
        <v>53.244999999999997</v>
      </c>
      <c r="I242" s="69">
        <v>0</v>
      </c>
      <c r="J242" s="61" t="s">
        <v>29</v>
      </c>
      <c r="K242" s="62" t="s">
        <v>115</v>
      </c>
      <c r="L242" s="63" t="s">
        <v>254</v>
      </c>
    </row>
    <row r="243" spans="1:12" ht="86.25" x14ac:dyDescent="0.25">
      <c r="A243" s="1">
        <v>5</v>
      </c>
      <c r="B243" s="55">
        <f t="shared" si="13"/>
        <v>96</v>
      </c>
      <c r="C243" s="65" t="s">
        <v>309</v>
      </c>
      <c r="D243" s="66">
        <v>2015</v>
      </c>
      <c r="E243" s="70">
        <v>119.40300000000001</v>
      </c>
      <c r="F243" s="69">
        <v>119.40300000000001</v>
      </c>
      <c r="G243" s="69">
        <v>119.40300000000001</v>
      </c>
      <c r="H243" s="69">
        <v>49.893999999999998</v>
      </c>
      <c r="I243" s="69">
        <v>0</v>
      </c>
      <c r="J243" s="61" t="s">
        <v>29</v>
      </c>
      <c r="K243" s="62" t="s">
        <v>115</v>
      </c>
      <c r="L243" s="63" t="s">
        <v>254</v>
      </c>
    </row>
    <row r="244" spans="1:12" ht="103.5" x14ac:dyDescent="0.25">
      <c r="A244" s="1">
        <v>5</v>
      </c>
      <c r="B244" s="55">
        <f t="shared" si="13"/>
        <v>97</v>
      </c>
      <c r="C244" s="65" t="s">
        <v>310</v>
      </c>
      <c r="D244" s="66">
        <v>2015</v>
      </c>
      <c r="E244" s="70">
        <v>119.40300000000001</v>
      </c>
      <c r="F244" s="69">
        <v>119.40300000000001</v>
      </c>
      <c r="G244" s="69">
        <v>119.40300000000001</v>
      </c>
      <c r="H244" s="69">
        <v>48.9</v>
      </c>
      <c r="I244" s="69">
        <v>0</v>
      </c>
      <c r="J244" s="61" t="s">
        <v>29</v>
      </c>
      <c r="K244" s="62" t="s">
        <v>115</v>
      </c>
      <c r="L244" s="63" t="s">
        <v>254</v>
      </c>
    </row>
    <row r="245" spans="1:12" ht="103.5" x14ac:dyDescent="0.25">
      <c r="A245" s="1">
        <v>5</v>
      </c>
      <c r="B245" s="55">
        <f t="shared" si="13"/>
        <v>98</v>
      </c>
      <c r="C245" s="65" t="s">
        <v>311</v>
      </c>
      <c r="D245" s="66">
        <v>2015</v>
      </c>
      <c r="E245" s="70">
        <v>119.40300000000001</v>
      </c>
      <c r="F245" s="69">
        <v>119.40300000000001</v>
      </c>
      <c r="G245" s="69">
        <v>119.40300000000001</v>
      </c>
      <c r="H245" s="69">
        <v>90.576999999999998</v>
      </c>
      <c r="I245" s="69">
        <v>0</v>
      </c>
      <c r="J245" s="61" t="s">
        <v>29</v>
      </c>
      <c r="K245" s="62" t="s">
        <v>115</v>
      </c>
      <c r="L245" s="63" t="s">
        <v>254</v>
      </c>
    </row>
    <row r="246" spans="1:12" ht="103.5" x14ac:dyDescent="0.25">
      <c r="A246" s="1">
        <v>5</v>
      </c>
      <c r="B246" s="55">
        <f t="shared" si="13"/>
        <v>99</v>
      </c>
      <c r="C246" s="65" t="s">
        <v>312</v>
      </c>
      <c r="D246" s="66">
        <v>2015</v>
      </c>
      <c r="E246" s="70">
        <v>119.40300000000001</v>
      </c>
      <c r="F246" s="69">
        <v>119.40300000000001</v>
      </c>
      <c r="G246" s="69">
        <v>119.40300000000001</v>
      </c>
      <c r="H246" s="69">
        <v>76.760000000000005</v>
      </c>
      <c r="I246" s="69">
        <v>0</v>
      </c>
      <c r="J246" s="61" t="s">
        <v>29</v>
      </c>
      <c r="K246" s="62" t="s">
        <v>115</v>
      </c>
      <c r="L246" s="63" t="s">
        <v>254</v>
      </c>
    </row>
    <row r="247" spans="1:12" ht="103.5" x14ac:dyDescent="0.25">
      <c r="A247" s="1">
        <v>5</v>
      </c>
      <c r="B247" s="55">
        <f t="shared" si="13"/>
        <v>100</v>
      </c>
      <c r="C247" s="65" t="s">
        <v>313</v>
      </c>
      <c r="D247" s="66">
        <v>2015</v>
      </c>
      <c r="E247" s="70">
        <v>119.40300000000001</v>
      </c>
      <c r="F247" s="69">
        <v>119.40300000000001</v>
      </c>
      <c r="G247" s="69">
        <v>119.40300000000001</v>
      </c>
      <c r="H247" s="69">
        <v>51.765000000000001</v>
      </c>
      <c r="I247" s="69">
        <v>0</v>
      </c>
      <c r="J247" s="61" t="s">
        <v>29</v>
      </c>
      <c r="K247" s="62" t="s">
        <v>115</v>
      </c>
      <c r="L247" s="63" t="s">
        <v>254</v>
      </c>
    </row>
    <row r="248" spans="1:12" ht="103.5" x14ac:dyDescent="0.25">
      <c r="A248" s="1">
        <v>5</v>
      </c>
      <c r="B248" s="55">
        <f t="shared" si="13"/>
        <v>101</v>
      </c>
      <c r="C248" s="65" t="s">
        <v>314</v>
      </c>
      <c r="D248" s="66">
        <v>2015</v>
      </c>
      <c r="E248" s="70">
        <v>119.40300000000001</v>
      </c>
      <c r="F248" s="69">
        <v>119.40300000000001</v>
      </c>
      <c r="G248" s="69">
        <v>119.40300000000001</v>
      </c>
      <c r="H248" s="69">
        <v>58.77</v>
      </c>
      <c r="I248" s="69">
        <v>0</v>
      </c>
      <c r="J248" s="61" t="s">
        <v>29</v>
      </c>
      <c r="K248" s="62" t="s">
        <v>115</v>
      </c>
      <c r="L248" s="63" t="s">
        <v>254</v>
      </c>
    </row>
    <row r="249" spans="1:12" ht="103.5" x14ac:dyDescent="0.25">
      <c r="A249" s="1">
        <v>5</v>
      </c>
      <c r="B249" s="55">
        <f t="shared" si="13"/>
        <v>102</v>
      </c>
      <c r="C249" s="65" t="s">
        <v>315</v>
      </c>
      <c r="D249" s="66">
        <v>2015</v>
      </c>
      <c r="E249" s="70">
        <v>119.40300000000001</v>
      </c>
      <c r="F249" s="69">
        <v>119.40300000000001</v>
      </c>
      <c r="G249" s="69">
        <v>119.40300000000001</v>
      </c>
      <c r="H249" s="69">
        <v>79.082999999999998</v>
      </c>
      <c r="I249" s="69">
        <v>0</v>
      </c>
      <c r="J249" s="61" t="s">
        <v>29</v>
      </c>
      <c r="K249" s="62" t="s">
        <v>115</v>
      </c>
      <c r="L249" s="63" t="s">
        <v>254</v>
      </c>
    </row>
    <row r="250" spans="1:12" ht="103.5" x14ac:dyDescent="0.25">
      <c r="A250" s="1">
        <v>5</v>
      </c>
      <c r="B250" s="64">
        <f t="shared" si="13"/>
        <v>103</v>
      </c>
      <c r="C250" s="65" t="s">
        <v>316</v>
      </c>
      <c r="D250" s="66">
        <v>2015</v>
      </c>
      <c r="E250" s="70">
        <v>666.774</v>
      </c>
      <c r="F250" s="69">
        <v>666.774</v>
      </c>
      <c r="G250" s="69">
        <v>666.774</v>
      </c>
      <c r="H250" s="69">
        <v>666.774</v>
      </c>
      <c r="I250" s="69">
        <v>0</v>
      </c>
      <c r="J250" s="61" t="s">
        <v>29</v>
      </c>
      <c r="K250" s="62" t="s">
        <v>317</v>
      </c>
      <c r="L250" s="63" t="s">
        <v>254</v>
      </c>
    </row>
    <row r="251" spans="1:12" ht="103.5" x14ac:dyDescent="0.25">
      <c r="A251" s="1">
        <v>5</v>
      </c>
      <c r="B251" s="64">
        <f t="shared" si="13"/>
        <v>104</v>
      </c>
      <c r="C251" s="65" t="s">
        <v>318</v>
      </c>
      <c r="D251" s="66">
        <v>2015</v>
      </c>
      <c r="E251" s="70">
        <v>504.28800000000001</v>
      </c>
      <c r="F251" s="69">
        <v>504.28800000000001</v>
      </c>
      <c r="G251" s="69">
        <v>504.28800000000001</v>
      </c>
      <c r="H251" s="69">
        <v>504.28800000000001</v>
      </c>
      <c r="I251" s="69">
        <v>0</v>
      </c>
      <c r="J251" s="61" t="s">
        <v>29</v>
      </c>
      <c r="K251" s="62" t="s">
        <v>317</v>
      </c>
      <c r="L251" s="63" t="s">
        <v>254</v>
      </c>
    </row>
    <row r="252" spans="1:12" ht="103.5" x14ac:dyDescent="0.25">
      <c r="A252" s="1">
        <v>5</v>
      </c>
      <c r="B252" s="55">
        <f t="shared" si="13"/>
        <v>105</v>
      </c>
      <c r="C252" s="65" t="s">
        <v>319</v>
      </c>
      <c r="D252" s="66">
        <v>2015</v>
      </c>
      <c r="E252" s="70">
        <v>420.59699999999998</v>
      </c>
      <c r="F252" s="69">
        <v>420.59699999999998</v>
      </c>
      <c r="G252" s="69">
        <v>420.59699999999998</v>
      </c>
      <c r="H252" s="69">
        <v>46.174999999999997</v>
      </c>
      <c r="I252" s="69">
        <v>0</v>
      </c>
      <c r="J252" s="61" t="s">
        <v>29</v>
      </c>
      <c r="K252" s="62"/>
      <c r="L252" s="63" t="s">
        <v>254</v>
      </c>
    </row>
    <row r="253" spans="1:12" ht="103.5" x14ac:dyDescent="0.25">
      <c r="A253" s="1">
        <v>5</v>
      </c>
      <c r="B253" s="55">
        <f t="shared" si="13"/>
        <v>106</v>
      </c>
      <c r="C253" s="65" t="s">
        <v>320</v>
      </c>
      <c r="D253" s="66">
        <v>2015</v>
      </c>
      <c r="E253" s="70">
        <v>361.49400000000003</v>
      </c>
      <c r="F253" s="69">
        <v>361.49400000000003</v>
      </c>
      <c r="G253" s="69">
        <v>361.49400000000003</v>
      </c>
      <c r="H253" s="69">
        <v>39.599999999999994</v>
      </c>
      <c r="I253" s="69">
        <v>0</v>
      </c>
      <c r="J253" s="61" t="s">
        <v>29</v>
      </c>
      <c r="K253" s="62"/>
      <c r="L253" s="63" t="s">
        <v>254</v>
      </c>
    </row>
    <row r="254" spans="1:12" ht="103.5" x14ac:dyDescent="0.25">
      <c r="A254" s="1">
        <v>5</v>
      </c>
      <c r="B254" s="55">
        <f t="shared" si="13"/>
        <v>107</v>
      </c>
      <c r="C254" s="65" t="s">
        <v>321</v>
      </c>
      <c r="D254" s="66">
        <v>2015</v>
      </c>
      <c r="E254" s="70">
        <v>172.71</v>
      </c>
      <c r="F254" s="69">
        <v>172.71</v>
      </c>
      <c r="G254" s="69">
        <v>172.71</v>
      </c>
      <c r="H254" s="69">
        <v>82.462000000000003</v>
      </c>
      <c r="I254" s="69">
        <v>0</v>
      </c>
      <c r="J254" s="61" t="s">
        <v>29</v>
      </c>
      <c r="K254" s="62"/>
      <c r="L254" s="63" t="s">
        <v>254</v>
      </c>
    </row>
    <row r="255" spans="1:12" ht="103.5" x14ac:dyDescent="0.25">
      <c r="A255" s="1">
        <v>5</v>
      </c>
      <c r="B255" s="64">
        <f t="shared" si="13"/>
        <v>108</v>
      </c>
      <c r="C255" s="65" t="s">
        <v>322</v>
      </c>
      <c r="D255" s="66">
        <v>2015</v>
      </c>
      <c r="E255" s="70">
        <v>86.813999999999993</v>
      </c>
      <c r="F255" s="69">
        <v>86.813999999999993</v>
      </c>
      <c r="G255" s="69">
        <v>86.813999999999993</v>
      </c>
      <c r="H255" s="69">
        <v>77.028000000000006</v>
      </c>
      <c r="I255" s="69">
        <v>0</v>
      </c>
      <c r="J255" s="61" t="s">
        <v>29</v>
      </c>
      <c r="K255" s="62"/>
      <c r="L255" s="63" t="s">
        <v>254</v>
      </c>
    </row>
    <row r="256" spans="1:12" ht="103.5" x14ac:dyDescent="0.25">
      <c r="A256" s="1">
        <v>5</v>
      </c>
      <c r="B256" s="55">
        <f t="shared" si="13"/>
        <v>109</v>
      </c>
      <c r="C256" s="65" t="s">
        <v>323</v>
      </c>
      <c r="D256" s="66">
        <v>2015</v>
      </c>
      <c r="E256" s="70">
        <v>86.813999999999993</v>
      </c>
      <c r="F256" s="69">
        <v>86.813999999999993</v>
      </c>
      <c r="G256" s="69">
        <v>86.813999999999993</v>
      </c>
      <c r="H256" s="69">
        <v>77.194999999999993</v>
      </c>
      <c r="I256" s="69">
        <v>0</v>
      </c>
      <c r="J256" s="61" t="s">
        <v>29</v>
      </c>
      <c r="K256" s="62"/>
      <c r="L256" s="63" t="s">
        <v>254</v>
      </c>
    </row>
    <row r="257" spans="1:12" ht="69" x14ac:dyDescent="0.25">
      <c r="A257" s="1">
        <v>5</v>
      </c>
      <c r="B257" s="64">
        <f t="shared" si="13"/>
        <v>110</v>
      </c>
      <c r="C257" s="65" t="s">
        <v>324</v>
      </c>
      <c r="D257" s="66">
        <v>2015</v>
      </c>
      <c r="E257" s="70">
        <v>501.37200000000001</v>
      </c>
      <c r="F257" s="69">
        <v>501.37200000000001</v>
      </c>
      <c r="G257" s="69">
        <v>501.37200000000001</v>
      </c>
      <c r="H257" s="69">
        <v>388.81099999999998</v>
      </c>
      <c r="I257" s="69">
        <v>0</v>
      </c>
      <c r="J257" s="61" t="s">
        <v>29</v>
      </c>
      <c r="K257" s="62" t="s">
        <v>130</v>
      </c>
      <c r="L257" s="63" t="s">
        <v>254</v>
      </c>
    </row>
    <row r="258" spans="1:12" ht="103.5" x14ac:dyDescent="0.25">
      <c r="A258" s="1">
        <v>5</v>
      </c>
      <c r="B258" s="108">
        <f t="shared" si="13"/>
        <v>111</v>
      </c>
      <c r="C258" s="73" t="s">
        <v>325</v>
      </c>
      <c r="D258" s="74">
        <v>2015</v>
      </c>
      <c r="E258" s="78">
        <v>68.391000000000005</v>
      </c>
      <c r="F258" s="77">
        <v>68.391000000000005</v>
      </c>
      <c r="G258" s="77">
        <v>68.391000000000005</v>
      </c>
      <c r="H258" s="77">
        <v>0</v>
      </c>
      <c r="I258" s="77">
        <v>0</v>
      </c>
      <c r="J258" s="79" t="s">
        <v>45</v>
      </c>
      <c r="K258" s="80"/>
      <c r="L258" s="81"/>
    </row>
    <row r="259" spans="1:12" ht="87" thickBot="1" x14ac:dyDescent="0.3">
      <c r="A259" s="1">
        <v>5</v>
      </c>
      <c r="B259" s="82">
        <f t="shared" si="13"/>
        <v>112</v>
      </c>
      <c r="C259" s="83" t="s">
        <v>326</v>
      </c>
      <c r="D259" s="84">
        <v>2015</v>
      </c>
      <c r="E259" s="88">
        <v>4193.2889999999998</v>
      </c>
      <c r="F259" s="87">
        <v>4193.2889999999998</v>
      </c>
      <c r="G259" s="87">
        <v>4193.2889999999998</v>
      </c>
      <c r="H259" s="87">
        <v>0</v>
      </c>
      <c r="I259" s="87">
        <v>0</v>
      </c>
      <c r="J259" s="89" t="s">
        <v>45</v>
      </c>
      <c r="K259" s="90"/>
      <c r="L259" s="91"/>
    </row>
    <row r="260" spans="1:12" ht="15.75" thickBot="1" x14ac:dyDescent="0.3">
      <c r="A260" s="1">
        <v>6</v>
      </c>
      <c r="B260" s="186" t="s">
        <v>327</v>
      </c>
      <c r="C260" s="187"/>
      <c r="D260" s="187"/>
      <c r="E260" s="187"/>
      <c r="F260" s="187"/>
      <c r="G260" s="187"/>
      <c r="H260" s="187"/>
      <c r="I260" s="187"/>
      <c r="J260" s="187"/>
      <c r="K260" s="187"/>
      <c r="L260" s="188"/>
    </row>
    <row r="261" spans="1:12" ht="18.75" x14ac:dyDescent="0.25">
      <c r="A261" s="1">
        <v>6</v>
      </c>
      <c r="B261" s="36"/>
      <c r="C261" s="37" t="s">
        <v>24</v>
      </c>
      <c r="D261" s="38"/>
      <c r="E261" s="41">
        <f t="shared" ref="E261:I261" si="14">SUM(E262,E264:E332)</f>
        <v>115991.58800000002</v>
      </c>
      <c r="F261" s="42">
        <f t="shared" si="14"/>
        <v>115991.58800000002</v>
      </c>
      <c r="G261" s="42">
        <f t="shared" si="14"/>
        <v>115991.58800000002</v>
      </c>
      <c r="H261" s="42">
        <f t="shared" si="14"/>
        <v>109305.22814000004</v>
      </c>
      <c r="I261" s="42">
        <f t="shared" si="14"/>
        <v>120.863</v>
      </c>
      <c r="J261" s="109"/>
      <c r="K261" s="110"/>
      <c r="L261" s="111"/>
    </row>
    <row r="262" spans="1:12" ht="18.75" x14ac:dyDescent="0.25">
      <c r="A262" s="1">
        <v>6</v>
      </c>
      <c r="B262" s="46"/>
      <c r="C262" s="24" t="s">
        <v>21</v>
      </c>
      <c r="D262" s="47"/>
      <c r="E262" s="94">
        <v>0</v>
      </c>
      <c r="F262" s="106">
        <v>0</v>
      </c>
      <c r="G262" s="106">
        <v>0</v>
      </c>
      <c r="H262" s="106"/>
      <c r="I262" s="106"/>
      <c r="J262" s="112"/>
      <c r="K262" s="113"/>
      <c r="L262" s="114"/>
    </row>
    <row r="263" spans="1:12" ht="16.5" x14ac:dyDescent="0.25">
      <c r="A263" s="1">
        <v>6</v>
      </c>
      <c r="B263" s="46"/>
      <c r="C263" s="54" t="s">
        <v>22</v>
      </c>
      <c r="D263" s="47"/>
      <c r="E263" s="94">
        <f t="shared" ref="E263:I263" si="15">SUM(E264:E332)</f>
        <v>115991.58800000002</v>
      </c>
      <c r="F263" s="106">
        <f t="shared" si="15"/>
        <v>115991.58800000002</v>
      </c>
      <c r="G263" s="106">
        <f t="shared" si="15"/>
        <v>115991.58800000002</v>
      </c>
      <c r="H263" s="106">
        <f t="shared" si="15"/>
        <v>109305.22814000004</v>
      </c>
      <c r="I263" s="106">
        <f t="shared" si="15"/>
        <v>120.863</v>
      </c>
      <c r="J263" s="112"/>
      <c r="K263" s="113"/>
      <c r="L263" s="114"/>
    </row>
    <row r="264" spans="1:12" ht="120.75" x14ac:dyDescent="0.25">
      <c r="A264" s="1">
        <v>6</v>
      </c>
      <c r="B264" s="64">
        <v>1</v>
      </c>
      <c r="C264" s="97" t="s">
        <v>328</v>
      </c>
      <c r="D264" s="66" t="s">
        <v>59</v>
      </c>
      <c r="E264" s="70">
        <f>4841.613-1927.55</f>
        <v>2914.0630000000001</v>
      </c>
      <c r="F264" s="69">
        <v>2914.0630000000001</v>
      </c>
      <c r="G264" s="69">
        <v>2914.0630000000001</v>
      </c>
      <c r="H264" s="69">
        <v>2562.5279999999998</v>
      </c>
      <c r="I264" s="69">
        <v>120.863</v>
      </c>
      <c r="J264" s="96" t="s">
        <v>45</v>
      </c>
      <c r="K264" s="71"/>
      <c r="L264" s="115"/>
    </row>
    <row r="265" spans="1:12" ht="51.75" x14ac:dyDescent="0.25">
      <c r="A265" s="1">
        <v>6</v>
      </c>
      <c r="B265" s="64">
        <f>B264+1</f>
        <v>2</v>
      </c>
      <c r="C265" s="97" t="s">
        <v>329</v>
      </c>
      <c r="D265" s="66" t="s">
        <v>28</v>
      </c>
      <c r="E265" s="70">
        <f>7314.4+1772.647</f>
        <v>9087.0469999999987</v>
      </c>
      <c r="F265" s="69">
        <v>9087.0470000000005</v>
      </c>
      <c r="G265" s="69">
        <v>9087.0469999999987</v>
      </c>
      <c r="H265" s="69">
        <v>9085</v>
      </c>
      <c r="I265" s="69">
        <v>0</v>
      </c>
      <c r="J265" s="96" t="s">
        <v>45</v>
      </c>
      <c r="K265" s="71"/>
      <c r="L265" s="115"/>
    </row>
    <row r="266" spans="1:12" ht="69" x14ac:dyDescent="0.25">
      <c r="A266" s="1">
        <v>6</v>
      </c>
      <c r="B266" s="55">
        <f t="shared" ref="B266:B329" si="16">B265+1</f>
        <v>3</v>
      </c>
      <c r="C266" s="97" t="s">
        <v>330</v>
      </c>
      <c r="D266" s="66" t="s">
        <v>153</v>
      </c>
      <c r="E266" s="70">
        <v>15430.614</v>
      </c>
      <c r="F266" s="69">
        <v>15430.614</v>
      </c>
      <c r="G266" s="69">
        <v>15430.614</v>
      </c>
      <c r="H266" s="69">
        <v>14877.838</v>
      </c>
      <c r="I266" s="69">
        <v>0</v>
      </c>
      <c r="J266" s="96" t="s">
        <v>45</v>
      </c>
      <c r="K266" s="71"/>
      <c r="L266" s="115"/>
    </row>
    <row r="267" spans="1:12" ht="69" x14ac:dyDescent="0.25">
      <c r="A267" s="1">
        <v>6</v>
      </c>
      <c r="B267" s="64">
        <f t="shared" si="16"/>
        <v>4</v>
      </c>
      <c r="C267" s="97" t="s">
        <v>331</v>
      </c>
      <c r="D267" s="66" t="s">
        <v>153</v>
      </c>
      <c r="E267" s="70">
        <f>11711.906-1751.306</f>
        <v>9960.6</v>
      </c>
      <c r="F267" s="69">
        <v>9960.6</v>
      </c>
      <c r="G267" s="69">
        <v>9960.6</v>
      </c>
      <c r="H267" s="69">
        <v>9444.4429999999993</v>
      </c>
      <c r="I267" s="69">
        <v>0</v>
      </c>
      <c r="J267" s="96" t="s">
        <v>45</v>
      </c>
      <c r="K267" s="71"/>
      <c r="L267" s="115"/>
    </row>
    <row r="268" spans="1:12" ht="51.75" x14ac:dyDescent="0.25">
      <c r="A268" s="1">
        <v>6</v>
      </c>
      <c r="B268" s="64">
        <f t="shared" si="16"/>
        <v>5</v>
      </c>
      <c r="C268" s="97" t="s">
        <v>332</v>
      </c>
      <c r="D268" s="66" t="s">
        <v>153</v>
      </c>
      <c r="E268" s="70">
        <f>810+270</f>
        <v>1080</v>
      </c>
      <c r="F268" s="69">
        <v>1080</v>
      </c>
      <c r="G268" s="69">
        <v>1080</v>
      </c>
      <c r="H268" s="69">
        <v>1077.3</v>
      </c>
      <c r="I268" s="69">
        <v>0</v>
      </c>
      <c r="J268" s="96" t="s">
        <v>29</v>
      </c>
      <c r="K268" s="71"/>
      <c r="L268" s="115" t="s">
        <v>75</v>
      </c>
    </row>
    <row r="269" spans="1:12" ht="86.25" x14ac:dyDescent="0.25">
      <c r="A269" s="1">
        <v>6</v>
      </c>
      <c r="B269" s="55">
        <f t="shared" si="16"/>
        <v>6</v>
      </c>
      <c r="C269" s="97" t="s">
        <v>333</v>
      </c>
      <c r="D269" s="66" t="s">
        <v>153</v>
      </c>
      <c r="E269" s="70">
        <v>803.47</v>
      </c>
      <c r="F269" s="69">
        <v>803.47</v>
      </c>
      <c r="G269" s="69">
        <v>803.47</v>
      </c>
      <c r="H269" s="69">
        <v>803.47</v>
      </c>
      <c r="I269" s="69">
        <v>0</v>
      </c>
      <c r="J269" s="96" t="s">
        <v>29</v>
      </c>
      <c r="K269" s="71" t="s">
        <v>334</v>
      </c>
      <c r="L269" s="115" t="s">
        <v>57</v>
      </c>
    </row>
    <row r="270" spans="1:12" ht="51.75" x14ac:dyDescent="0.25">
      <c r="A270" s="1">
        <v>6</v>
      </c>
      <c r="B270" s="55">
        <f t="shared" si="16"/>
        <v>7</v>
      </c>
      <c r="C270" s="97" t="s">
        <v>335</v>
      </c>
      <c r="D270" s="66" t="s">
        <v>59</v>
      </c>
      <c r="E270" s="70">
        <v>2611.17</v>
      </c>
      <c r="F270" s="69">
        <v>2611.17</v>
      </c>
      <c r="G270" s="69">
        <v>2611.17</v>
      </c>
      <c r="H270" s="69">
        <v>2611.17</v>
      </c>
      <c r="I270" s="69">
        <v>0</v>
      </c>
      <c r="J270" s="96" t="s">
        <v>29</v>
      </c>
      <c r="K270" s="71" t="s">
        <v>336</v>
      </c>
      <c r="L270" s="115" t="s">
        <v>57</v>
      </c>
    </row>
    <row r="271" spans="1:12" ht="69" x14ac:dyDescent="0.25">
      <c r="A271" s="1">
        <v>6</v>
      </c>
      <c r="B271" s="64">
        <f t="shared" si="16"/>
        <v>8</v>
      </c>
      <c r="C271" s="97" t="s">
        <v>337</v>
      </c>
      <c r="D271" s="66" t="s">
        <v>153</v>
      </c>
      <c r="E271" s="70">
        <f>1620+540</f>
        <v>2160</v>
      </c>
      <c r="F271" s="69">
        <v>2160</v>
      </c>
      <c r="G271" s="69">
        <v>2160</v>
      </c>
      <c r="H271" s="69">
        <v>2154.6</v>
      </c>
      <c r="I271" s="69">
        <v>0</v>
      </c>
      <c r="J271" s="96" t="s">
        <v>29</v>
      </c>
      <c r="K271" s="71"/>
      <c r="L271" s="115" t="s">
        <v>75</v>
      </c>
    </row>
    <row r="272" spans="1:12" ht="69" x14ac:dyDescent="0.25">
      <c r="A272" s="1">
        <v>6</v>
      </c>
      <c r="B272" s="55">
        <f t="shared" si="16"/>
        <v>9</v>
      </c>
      <c r="C272" s="97" t="s">
        <v>338</v>
      </c>
      <c r="D272" s="66" t="s">
        <v>69</v>
      </c>
      <c r="E272" s="70">
        <v>5194.8860000000004</v>
      </c>
      <c r="F272" s="69">
        <v>5194.8860000000004</v>
      </c>
      <c r="G272" s="69">
        <v>5194.8860000000004</v>
      </c>
      <c r="H272" s="69">
        <v>5194.8860000000004</v>
      </c>
      <c r="I272" s="69">
        <v>0</v>
      </c>
      <c r="J272" s="96" t="s">
        <v>45</v>
      </c>
      <c r="K272" s="71"/>
      <c r="L272" s="115"/>
    </row>
    <row r="273" spans="1:12" ht="86.25" x14ac:dyDescent="0.25">
      <c r="A273" s="1">
        <v>6</v>
      </c>
      <c r="B273" s="55">
        <f t="shared" si="16"/>
        <v>10</v>
      </c>
      <c r="C273" s="97" t="s">
        <v>339</v>
      </c>
      <c r="D273" s="66" t="s">
        <v>153</v>
      </c>
      <c r="E273" s="70">
        <v>3408.5819999999999</v>
      </c>
      <c r="F273" s="69">
        <v>3408.5819999999999</v>
      </c>
      <c r="G273" s="69">
        <v>3408.5819999999999</v>
      </c>
      <c r="H273" s="69">
        <v>2890.7987499999999</v>
      </c>
      <c r="I273" s="69">
        <v>0</v>
      </c>
      <c r="J273" s="96" t="s">
        <v>45</v>
      </c>
      <c r="K273" s="71"/>
      <c r="L273" s="115"/>
    </row>
    <row r="274" spans="1:12" ht="69" x14ac:dyDescent="0.25">
      <c r="A274" s="1">
        <v>6</v>
      </c>
      <c r="B274" s="55">
        <f t="shared" si="16"/>
        <v>11</v>
      </c>
      <c r="C274" s="97" t="s">
        <v>340</v>
      </c>
      <c r="D274" s="66" t="s">
        <v>153</v>
      </c>
      <c r="E274" s="70">
        <v>642.35199999999998</v>
      </c>
      <c r="F274" s="69">
        <v>642.35199999999998</v>
      </c>
      <c r="G274" s="69">
        <v>642.35199999999998</v>
      </c>
      <c r="H274" s="69">
        <v>641.94223</v>
      </c>
      <c r="I274" s="69">
        <v>0</v>
      </c>
      <c r="J274" s="96" t="s">
        <v>29</v>
      </c>
      <c r="K274" s="71" t="s">
        <v>221</v>
      </c>
      <c r="L274" s="63"/>
    </row>
    <row r="275" spans="1:12" ht="69" x14ac:dyDescent="0.25">
      <c r="A275" s="1">
        <v>6</v>
      </c>
      <c r="B275" s="55">
        <f t="shared" si="16"/>
        <v>12</v>
      </c>
      <c r="C275" s="97" t="s">
        <v>341</v>
      </c>
      <c r="D275" s="66" t="s">
        <v>153</v>
      </c>
      <c r="E275" s="70">
        <v>588.73900000000003</v>
      </c>
      <c r="F275" s="69">
        <v>588.73900000000003</v>
      </c>
      <c r="G275" s="69">
        <v>588.73900000000003</v>
      </c>
      <c r="H275" s="69">
        <v>588.73834999999997</v>
      </c>
      <c r="I275" s="69">
        <v>0</v>
      </c>
      <c r="J275" s="96" t="s">
        <v>29</v>
      </c>
      <c r="K275" s="71" t="s">
        <v>221</v>
      </c>
      <c r="L275" s="63"/>
    </row>
    <row r="276" spans="1:12" ht="69" x14ac:dyDescent="0.25">
      <c r="A276" s="1">
        <v>6</v>
      </c>
      <c r="B276" s="55">
        <f t="shared" si="16"/>
        <v>13</v>
      </c>
      <c r="C276" s="97" t="s">
        <v>342</v>
      </c>
      <c r="D276" s="66" t="s">
        <v>153</v>
      </c>
      <c r="E276" s="70">
        <v>313.291</v>
      </c>
      <c r="F276" s="69">
        <v>313.291</v>
      </c>
      <c r="G276" s="69">
        <v>313.291</v>
      </c>
      <c r="H276" s="69">
        <v>313.291</v>
      </c>
      <c r="I276" s="69">
        <v>0</v>
      </c>
      <c r="J276" s="96" t="s">
        <v>29</v>
      </c>
      <c r="K276" s="71" t="s">
        <v>221</v>
      </c>
      <c r="L276" s="63"/>
    </row>
    <row r="277" spans="1:12" ht="69" x14ac:dyDescent="0.25">
      <c r="A277" s="1">
        <v>6</v>
      </c>
      <c r="B277" s="64">
        <f t="shared" si="16"/>
        <v>14</v>
      </c>
      <c r="C277" s="97" t="s">
        <v>343</v>
      </c>
      <c r="D277" s="66" t="s">
        <v>153</v>
      </c>
      <c r="E277" s="70">
        <f>1620+540</f>
        <v>2160</v>
      </c>
      <c r="F277" s="69">
        <v>2160</v>
      </c>
      <c r="G277" s="69">
        <v>2160</v>
      </c>
      <c r="H277" s="69">
        <v>2154.6</v>
      </c>
      <c r="I277" s="69">
        <v>0</v>
      </c>
      <c r="J277" s="96" t="s">
        <v>29</v>
      </c>
      <c r="K277" s="71"/>
      <c r="L277" s="115" t="s">
        <v>75</v>
      </c>
    </row>
    <row r="278" spans="1:12" ht="69" x14ac:dyDescent="0.25">
      <c r="A278" s="1">
        <v>6</v>
      </c>
      <c r="B278" s="55">
        <f t="shared" si="16"/>
        <v>15</v>
      </c>
      <c r="C278" s="97" t="s">
        <v>344</v>
      </c>
      <c r="D278" s="66" t="s">
        <v>59</v>
      </c>
      <c r="E278" s="70">
        <v>352.77</v>
      </c>
      <c r="F278" s="69">
        <v>352.77</v>
      </c>
      <c r="G278" s="69">
        <v>352.77</v>
      </c>
      <c r="H278" s="69">
        <v>352.77</v>
      </c>
      <c r="I278" s="69">
        <v>0</v>
      </c>
      <c r="J278" s="96" t="s">
        <v>29</v>
      </c>
      <c r="K278" s="71" t="s">
        <v>345</v>
      </c>
      <c r="L278" s="63" t="s">
        <v>346</v>
      </c>
    </row>
    <row r="279" spans="1:12" ht="51.75" x14ac:dyDescent="0.25">
      <c r="A279" s="1">
        <v>6</v>
      </c>
      <c r="B279" s="55">
        <f t="shared" si="16"/>
        <v>16</v>
      </c>
      <c r="C279" s="97" t="s">
        <v>347</v>
      </c>
      <c r="D279" s="66" t="s">
        <v>153</v>
      </c>
      <c r="E279" s="70">
        <v>1507.3109999999999</v>
      </c>
      <c r="F279" s="69">
        <v>1507.3109999999999</v>
      </c>
      <c r="G279" s="69">
        <v>1507.3109999999999</v>
      </c>
      <c r="H279" s="69">
        <v>1498.6819</v>
      </c>
      <c r="I279" s="69">
        <v>0</v>
      </c>
      <c r="J279" s="96" t="s">
        <v>29</v>
      </c>
      <c r="K279" s="71" t="s">
        <v>348</v>
      </c>
      <c r="L279" s="63" t="s">
        <v>349</v>
      </c>
    </row>
    <row r="280" spans="1:12" ht="69" x14ac:dyDescent="0.25">
      <c r="A280" s="1">
        <v>6</v>
      </c>
      <c r="B280" s="64">
        <f t="shared" si="16"/>
        <v>17</v>
      </c>
      <c r="C280" s="97" t="s">
        <v>350</v>
      </c>
      <c r="D280" s="66" t="s">
        <v>153</v>
      </c>
      <c r="E280" s="70">
        <f>1620+540</f>
        <v>2160</v>
      </c>
      <c r="F280" s="69">
        <v>2160</v>
      </c>
      <c r="G280" s="69">
        <v>2160</v>
      </c>
      <c r="H280" s="69">
        <v>2154.6</v>
      </c>
      <c r="I280" s="69">
        <v>0</v>
      </c>
      <c r="J280" s="96" t="s">
        <v>29</v>
      </c>
      <c r="K280" s="71"/>
      <c r="L280" s="115" t="s">
        <v>75</v>
      </c>
    </row>
    <row r="281" spans="1:12" ht="51.75" x14ac:dyDescent="0.25">
      <c r="A281" s="1">
        <v>6</v>
      </c>
      <c r="B281" s="55">
        <f t="shared" si="16"/>
        <v>18</v>
      </c>
      <c r="C281" s="97" t="s">
        <v>351</v>
      </c>
      <c r="D281" s="66" t="s">
        <v>153</v>
      </c>
      <c r="E281" s="70">
        <v>2546.5010000000002</v>
      </c>
      <c r="F281" s="69">
        <v>2546.5010000000002</v>
      </c>
      <c r="G281" s="69">
        <v>2546.5010000000002</v>
      </c>
      <c r="H281" s="69">
        <v>2546.5010000000002</v>
      </c>
      <c r="I281" s="69">
        <v>0</v>
      </c>
      <c r="J281" s="96" t="s">
        <v>45</v>
      </c>
      <c r="K281" s="71"/>
      <c r="L281" s="115"/>
    </row>
    <row r="282" spans="1:12" ht="51.75" x14ac:dyDescent="0.25">
      <c r="A282" s="1">
        <v>6</v>
      </c>
      <c r="B282" s="55">
        <f t="shared" si="16"/>
        <v>19</v>
      </c>
      <c r="C282" s="97" t="s">
        <v>352</v>
      </c>
      <c r="D282" s="66" t="s">
        <v>37</v>
      </c>
      <c r="E282" s="70">
        <v>845.60400000000004</v>
      </c>
      <c r="F282" s="69">
        <v>845.60400000000004</v>
      </c>
      <c r="G282" s="69">
        <v>845.60400000000004</v>
      </c>
      <c r="H282" s="69">
        <v>845.60400000000004</v>
      </c>
      <c r="I282" s="69">
        <v>0</v>
      </c>
      <c r="J282" s="96" t="s">
        <v>29</v>
      </c>
      <c r="K282" s="71" t="s">
        <v>353</v>
      </c>
      <c r="L282" s="115" t="s">
        <v>57</v>
      </c>
    </row>
    <row r="283" spans="1:12" ht="86.25" x14ac:dyDescent="0.25">
      <c r="A283" s="1">
        <v>6</v>
      </c>
      <c r="B283" s="64">
        <f t="shared" si="16"/>
        <v>20</v>
      </c>
      <c r="C283" s="97" t="s">
        <v>354</v>
      </c>
      <c r="D283" s="66" t="s">
        <v>153</v>
      </c>
      <c r="E283" s="70">
        <f>810+270</f>
        <v>1080</v>
      </c>
      <c r="F283" s="69">
        <v>1080</v>
      </c>
      <c r="G283" s="69">
        <v>1080</v>
      </c>
      <c r="H283" s="69">
        <v>1077.3</v>
      </c>
      <c r="I283" s="69">
        <v>0</v>
      </c>
      <c r="J283" s="96" t="s">
        <v>29</v>
      </c>
      <c r="K283" s="71"/>
      <c r="L283" s="115" t="s">
        <v>75</v>
      </c>
    </row>
    <row r="284" spans="1:12" ht="69" x14ac:dyDescent="0.25">
      <c r="A284" s="1">
        <v>6</v>
      </c>
      <c r="B284" s="55">
        <f t="shared" si="16"/>
        <v>21</v>
      </c>
      <c r="C284" s="97" t="s">
        <v>355</v>
      </c>
      <c r="D284" s="66" t="s">
        <v>153</v>
      </c>
      <c r="E284" s="70">
        <v>606</v>
      </c>
      <c r="F284" s="69">
        <v>606</v>
      </c>
      <c r="G284" s="69">
        <v>606</v>
      </c>
      <c r="H284" s="69">
        <v>562.48500000000001</v>
      </c>
      <c r="I284" s="69">
        <v>0</v>
      </c>
      <c r="J284" s="96" t="s">
        <v>29</v>
      </c>
      <c r="K284" s="71" t="s">
        <v>356</v>
      </c>
      <c r="L284" s="115" t="s">
        <v>357</v>
      </c>
    </row>
    <row r="285" spans="1:12" ht="51.75" x14ac:dyDescent="0.25">
      <c r="A285" s="1">
        <v>6</v>
      </c>
      <c r="B285" s="55">
        <f t="shared" si="16"/>
        <v>22</v>
      </c>
      <c r="C285" s="97" t="s">
        <v>358</v>
      </c>
      <c r="D285" s="66" t="s">
        <v>153</v>
      </c>
      <c r="E285" s="70">
        <v>1734.5840000000001</v>
      </c>
      <c r="F285" s="69">
        <v>1734.5840000000001</v>
      </c>
      <c r="G285" s="69">
        <v>1734.5840000000001</v>
      </c>
      <c r="H285" s="69">
        <v>1631.4739999999999</v>
      </c>
      <c r="I285" s="69">
        <v>0</v>
      </c>
      <c r="J285" s="96" t="s">
        <v>29</v>
      </c>
      <c r="K285" s="71" t="s">
        <v>359</v>
      </c>
      <c r="L285" s="115" t="s">
        <v>57</v>
      </c>
    </row>
    <row r="286" spans="1:12" ht="69" x14ac:dyDescent="0.25">
      <c r="A286" s="1">
        <v>6</v>
      </c>
      <c r="B286" s="55">
        <f t="shared" si="16"/>
        <v>23</v>
      </c>
      <c r="C286" s="97" t="s">
        <v>360</v>
      </c>
      <c r="D286" s="66" t="s">
        <v>153</v>
      </c>
      <c r="E286" s="70">
        <v>624.6</v>
      </c>
      <c r="F286" s="69">
        <v>624.6</v>
      </c>
      <c r="G286" s="69">
        <v>624.6</v>
      </c>
      <c r="H286" s="69">
        <v>624.6</v>
      </c>
      <c r="I286" s="69">
        <v>0</v>
      </c>
      <c r="J286" s="96" t="s">
        <v>29</v>
      </c>
      <c r="K286" s="71" t="s">
        <v>252</v>
      </c>
      <c r="L286" s="115" t="s">
        <v>57</v>
      </c>
    </row>
    <row r="287" spans="1:12" ht="69" x14ac:dyDescent="0.25">
      <c r="A287" s="1">
        <v>6</v>
      </c>
      <c r="B287" s="64">
        <f t="shared" si="16"/>
        <v>24</v>
      </c>
      <c r="C287" s="97" t="s">
        <v>361</v>
      </c>
      <c r="D287" s="66" t="s">
        <v>153</v>
      </c>
      <c r="E287" s="70">
        <f>810+270</f>
        <v>1080</v>
      </c>
      <c r="F287" s="69">
        <v>2160</v>
      </c>
      <c r="G287" s="69">
        <v>2160</v>
      </c>
      <c r="H287" s="69">
        <v>2154.6</v>
      </c>
      <c r="I287" s="69">
        <v>0</v>
      </c>
      <c r="J287" s="96" t="s">
        <v>29</v>
      </c>
      <c r="K287" s="71"/>
      <c r="L287" s="115" t="s">
        <v>75</v>
      </c>
    </row>
    <row r="288" spans="1:12" ht="86.25" x14ac:dyDescent="0.25">
      <c r="A288" s="1">
        <v>6</v>
      </c>
      <c r="B288" s="64">
        <f t="shared" si="16"/>
        <v>25</v>
      </c>
      <c r="C288" s="97" t="s">
        <v>362</v>
      </c>
      <c r="D288" s="66" t="s">
        <v>153</v>
      </c>
      <c r="E288" s="70">
        <f>810+270+1080</f>
        <v>2160</v>
      </c>
      <c r="F288" s="69">
        <v>1080</v>
      </c>
      <c r="G288" s="69">
        <v>1080</v>
      </c>
      <c r="H288" s="69">
        <v>1077.3</v>
      </c>
      <c r="I288" s="69">
        <v>0</v>
      </c>
      <c r="J288" s="96" t="s">
        <v>29</v>
      </c>
      <c r="K288" s="71"/>
      <c r="L288" s="115" t="s">
        <v>75</v>
      </c>
    </row>
    <row r="289" spans="1:12" ht="69" x14ac:dyDescent="0.25">
      <c r="A289" s="1">
        <v>6</v>
      </c>
      <c r="B289" s="64">
        <f t="shared" si="16"/>
        <v>26</v>
      </c>
      <c r="C289" s="97" t="s">
        <v>363</v>
      </c>
      <c r="D289" s="66" t="s">
        <v>153</v>
      </c>
      <c r="E289" s="70">
        <f>810+270</f>
        <v>1080</v>
      </c>
      <c r="F289" s="69">
        <v>1080</v>
      </c>
      <c r="G289" s="69">
        <v>1080</v>
      </c>
      <c r="H289" s="69">
        <v>1077.3</v>
      </c>
      <c r="I289" s="69">
        <v>0</v>
      </c>
      <c r="J289" s="96" t="s">
        <v>29</v>
      </c>
      <c r="K289" s="71"/>
      <c r="L289" s="115" t="s">
        <v>75</v>
      </c>
    </row>
    <row r="290" spans="1:12" ht="69" x14ac:dyDescent="0.25">
      <c r="A290" s="1">
        <v>6</v>
      </c>
      <c r="B290" s="64">
        <f t="shared" si="16"/>
        <v>27</v>
      </c>
      <c r="C290" s="97" t="s">
        <v>364</v>
      </c>
      <c r="D290" s="66" t="s">
        <v>153</v>
      </c>
      <c r="E290" s="70">
        <f>1620+540</f>
        <v>2160</v>
      </c>
      <c r="F290" s="69">
        <v>2160</v>
      </c>
      <c r="G290" s="69">
        <v>2160</v>
      </c>
      <c r="H290" s="69">
        <v>2154.6</v>
      </c>
      <c r="I290" s="69">
        <v>0</v>
      </c>
      <c r="J290" s="96" t="s">
        <v>29</v>
      </c>
      <c r="K290" s="71"/>
      <c r="L290" s="115" t="s">
        <v>75</v>
      </c>
    </row>
    <row r="291" spans="1:12" ht="86.25" x14ac:dyDescent="0.25">
      <c r="A291" s="1">
        <v>6</v>
      </c>
      <c r="B291" s="55">
        <f t="shared" si="16"/>
        <v>28</v>
      </c>
      <c r="C291" s="97" t="s">
        <v>365</v>
      </c>
      <c r="D291" s="66" t="s">
        <v>153</v>
      </c>
      <c r="E291" s="70">
        <v>1121.212</v>
      </c>
      <c r="F291" s="69">
        <v>1121.212</v>
      </c>
      <c r="G291" s="69">
        <v>1121.212</v>
      </c>
      <c r="H291" s="69">
        <v>1121.1130000000001</v>
      </c>
      <c r="I291" s="69">
        <v>0</v>
      </c>
      <c r="J291" s="96" t="s">
        <v>29</v>
      </c>
      <c r="K291" s="71" t="s">
        <v>366</v>
      </c>
      <c r="L291" s="63"/>
    </row>
    <row r="292" spans="1:12" ht="69" x14ac:dyDescent="0.25">
      <c r="A292" s="1">
        <v>6</v>
      </c>
      <c r="B292" s="64">
        <f t="shared" si="16"/>
        <v>29</v>
      </c>
      <c r="C292" s="97" t="s">
        <v>367</v>
      </c>
      <c r="D292" s="66" t="s">
        <v>153</v>
      </c>
      <c r="E292" s="70">
        <f>810+270</f>
        <v>1080</v>
      </c>
      <c r="F292" s="69">
        <v>1080</v>
      </c>
      <c r="G292" s="69">
        <v>1080</v>
      </c>
      <c r="H292" s="69">
        <v>1077.3</v>
      </c>
      <c r="I292" s="69">
        <v>0</v>
      </c>
      <c r="J292" s="96" t="s">
        <v>29</v>
      </c>
      <c r="K292" s="71"/>
      <c r="L292" s="115" t="s">
        <v>75</v>
      </c>
    </row>
    <row r="293" spans="1:12" ht="69" x14ac:dyDescent="0.25">
      <c r="A293" s="1">
        <v>6</v>
      </c>
      <c r="B293" s="55">
        <f t="shared" si="16"/>
        <v>30</v>
      </c>
      <c r="C293" s="97" t="s">
        <v>368</v>
      </c>
      <c r="D293" s="66" t="s">
        <v>153</v>
      </c>
      <c r="E293" s="70">
        <v>323.02100000000002</v>
      </c>
      <c r="F293" s="69">
        <v>323.02100000000002</v>
      </c>
      <c r="G293" s="69">
        <v>323.02100000000002</v>
      </c>
      <c r="H293" s="69">
        <v>297.73200000000003</v>
      </c>
      <c r="I293" s="69">
        <v>0</v>
      </c>
      <c r="J293" s="96" t="s">
        <v>29</v>
      </c>
      <c r="K293" s="71" t="s">
        <v>369</v>
      </c>
      <c r="L293" s="115"/>
    </row>
    <row r="294" spans="1:12" ht="69" x14ac:dyDescent="0.25">
      <c r="A294" s="1">
        <v>6</v>
      </c>
      <c r="B294" s="55">
        <f t="shared" si="16"/>
        <v>31</v>
      </c>
      <c r="C294" s="97" t="s">
        <v>370</v>
      </c>
      <c r="D294" s="66" t="s">
        <v>153</v>
      </c>
      <c r="E294" s="70">
        <v>358.64100000000002</v>
      </c>
      <c r="F294" s="69">
        <v>358.64100000000002</v>
      </c>
      <c r="G294" s="69">
        <v>358.64100000000002</v>
      </c>
      <c r="H294" s="69">
        <v>329.41699999999997</v>
      </c>
      <c r="I294" s="69">
        <v>0</v>
      </c>
      <c r="J294" s="96" t="s">
        <v>29</v>
      </c>
      <c r="K294" s="71" t="s">
        <v>369</v>
      </c>
      <c r="L294" s="115"/>
    </row>
    <row r="295" spans="1:12" ht="86.25" x14ac:dyDescent="0.25">
      <c r="A295" s="1">
        <v>6</v>
      </c>
      <c r="B295" s="64">
        <f t="shared" si="16"/>
        <v>32</v>
      </c>
      <c r="C295" s="97" t="s">
        <v>371</v>
      </c>
      <c r="D295" s="66" t="s">
        <v>153</v>
      </c>
      <c r="E295" s="70">
        <f>810+270</f>
        <v>1080</v>
      </c>
      <c r="F295" s="69">
        <v>1080</v>
      </c>
      <c r="G295" s="69">
        <v>1080</v>
      </c>
      <c r="H295" s="69">
        <v>1077.3</v>
      </c>
      <c r="I295" s="69">
        <v>0</v>
      </c>
      <c r="J295" s="96" t="s">
        <v>29</v>
      </c>
      <c r="K295" s="71"/>
      <c r="L295" s="115" t="s">
        <v>75</v>
      </c>
    </row>
    <row r="296" spans="1:12" ht="69" x14ac:dyDescent="0.25">
      <c r="A296" s="1">
        <v>6</v>
      </c>
      <c r="B296" s="64">
        <f t="shared" si="16"/>
        <v>33</v>
      </c>
      <c r="C296" s="97" t="s">
        <v>372</v>
      </c>
      <c r="D296" s="66" t="s">
        <v>153</v>
      </c>
      <c r="E296" s="70">
        <f>810+270</f>
        <v>1080</v>
      </c>
      <c r="F296" s="69">
        <v>1080</v>
      </c>
      <c r="G296" s="69">
        <v>1080</v>
      </c>
      <c r="H296" s="69">
        <v>1077.3</v>
      </c>
      <c r="I296" s="69">
        <v>0</v>
      </c>
      <c r="J296" s="96" t="s">
        <v>29</v>
      </c>
      <c r="K296" s="71"/>
      <c r="L296" s="115" t="s">
        <v>75</v>
      </c>
    </row>
    <row r="297" spans="1:12" ht="69" x14ac:dyDescent="0.25">
      <c r="A297" s="1">
        <v>6</v>
      </c>
      <c r="B297" s="64">
        <f t="shared" si="16"/>
        <v>34</v>
      </c>
      <c r="C297" s="97" t="s">
        <v>373</v>
      </c>
      <c r="D297" s="66" t="s">
        <v>153</v>
      </c>
      <c r="E297" s="70">
        <f>9450.422-473.329+1500</f>
        <v>10477.093000000001</v>
      </c>
      <c r="F297" s="69">
        <v>10477.093000000001</v>
      </c>
      <c r="G297" s="69">
        <v>10477.093000000001</v>
      </c>
      <c r="H297" s="69">
        <v>7999.6639999999998</v>
      </c>
      <c r="I297" s="69">
        <v>0</v>
      </c>
      <c r="J297" s="96" t="s">
        <v>45</v>
      </c>
      <c r="K297" s="71"/>
      <c r="L297" s="115"/>
    </row>
    <row r="298" spans="1:12" ht="69" x14ac:dyDescent="0.25">
      <c r="A298" s="1">
        <v>6</v>
      </c>
      <c r="B298" s="64">
        <f t="shared" si="16"/>
        <v>35</v>
      </c>
      <c r="C298" s="97" t="s">
        <v>374</v>
      </c>
      <c r="D298" s="66" t="s">
        <v>153</v>
      </c>
      <c r="E298" s="70">
        <f>810+270</f>
        <v>1080</v>
      </c>
      <c r="F298" s="69">
        <v>1080</v>
      </c>
      <c r="G298" s="69">
        <v>1080</v>
      </c>
      <c r="H298" s="69">
        <v>1077.3</v>
      </c>
      <c r="I298" s="69">
        <v>0</v>
      </c>
      <c r="J298" s="96" t="s">
        <v>29</v>
      </c>
      <c r="K298" s="71"/>
      <c r="L298" s="115" t="s">
        <v>75</v>
      </c>
    </row>
    <row r="299" spans="1:12" ht="69" x14ac:dyDescent="0.25">
      <c r="A299" s="1">
        <v>6</v>
      </c>
      <c r="B299" s="64">
        <f t="shared" si="16"/>
        <v>36</v>
      </c>
      <c r="C299" s="97" t="s">
        <v>375</v>
      </c>
      <c r="D299" s="66" t="s">
        <v>28</v>
      </c>
      <c r="E299" s="70">
        <f>1994.815-1487.881</f>
        <v>506.93399999999997</v>
      </c>
      <c r="F299" s="69">
        <v>506.93400000000003</v>
      </c>
      <c r="G299" s="69">
        <v>506.93400000000003</v>
      </c>
      <c r="H299" s="69">
        <v>506.93400000000003</v>
      </c>
      <c r="I299" s="69">
        <v>0</v>
      </c>
      <c r="J299" s="96" t="s">
        <v>45</v>
      </c>
      <c r="K299" s="71"/>
      <c r="L299" s="115"/>
    </row>
    <row r="300" spans="1:12" ht="51.75" x14ac:dyDescent="0.25">
      <c r="A300" s="1">
        <v>6</v>
      </c>
      <c r="B300" s="55">
        <f t="shared" si="16"/>
        <v>37</v>
      </c>
      <c r="C300" s="97" t="s">
        <v>376</v>
      </c>
      <c r="D300" s="66" t="s">
        <v>153</v>
      </c>
      <c r="E300" s="70">
        <v>540.149</v>
      </c>
      <c r="F300" s="69">
        <v>540.149</v>
      </c>
      <c r="G300" s="69">
        <v>540.149</v>
      </c>
      <c r="H300" s="69">
        <v>195.708</v>
      </c>
      <c r="I300" s="69">
        <v>0</v>
      </c>
      <c r="J300" s="116" t="s">
        <v>45</v>
      </c>
      <c r="K300" s="117"/>
      <c r="L300" s="63"/>
    </row>
    <row r="301" spans="1:12" ht="51.75" x14ac:dyDescent="0.25">
      <c r="A301" s="1">
        <v>6</v>
      </c>
      <c r="B301" s="55">
        <f t="shared" si="16"/>
        <v>38</v>
      </c>
      <c r="C301" s="97" t="s">
        <v>377</v>
      </c>
      <c r="D301" s="66" t="s">
        <v>153</v>
      </c>
      <c r="E301" s="70">
        <v>899.26199999999994</v>
      </c>
      <c r="F301" s="69">
        <v>899.26199999999994</v>
      </c>
      <c r="G301" s="69">
        <v>899.26199999999994</v>
      </c>
      <c r="H301" s="69">
        <v>350.39799999999997</v>
      </c>
      <c r="I301" s="69">
        <v>0</v>
      </c>
      <c r="J301" s="116" t="s">
        <v>45</v>
      </c>
      <c r="K301" s="117"/>
      <c r="L301" s="63"/>
    </row>
    <row r="302" spans="1:12" ht="69" x14ac:dyDescent="0.25">
      <c r="A302" s="1">
        <v>6</v>
      </c>
      <c r="B302" s="55">
        <f t="shared" si="16"/>
        <v>39</v>
      </c>
      <c r="C302" s="97" t="s">
        <v>378</v>
      </c>
      <c r="D302" s="66" t="s">
        <v>153</v>
      </c>
      <c r="E302" s="70">
        <v>516.08199999999999</v>
      </c>
      <c r="F302" s="69">
        <v>516.08199999999999</v>
      </c>
      <c r="G302" s="69">
        <v>516.08199999999999</v>
      </c>
      <c r="H302" s="69">
        <v>506.55648000000002</v>
      </c>
      <c r="I302" s="69">
        <v>0</v>
      </c>
      <c r="J302" s="96" t="s">
        <v>29</v>
      </c>
      <c r="K302" s="71" t="s">
        <v>303</v>
      </c>
      <c r="L302" s="63" t="s">
        <v>379</v>
      </c>
    </row>
    <row r="303" spans="1:12" ht="69" x14ac:dyDescent="0.25">
      <c r="A303" s="1">
        <v>6</v>
      </c>
      <c r="B303" s="55">
        <f t="shared" si="16"/>
        <v>40</v>
      </c>
      <c r="C303" s="97" t="s">
        <v>380</v>
      </c>
      <c r="D303" s="66" t="s">
        <v>153</v>
      </c>
      <c r="E303" s="70">
        <v>397.35</v>
      </c>
      <c r="F303" s="69">
        <v>397.35</v>
      </c>
      <c r="G303" s="69">
        <v>397.35</v>
      </c>
      <c r="H303" s="69">
        <v>364.67239999999998</v>
      </c>
      <c r="I303" s="69">
        <v>0</v>
      </c>
      <c r="J303" s="96" t="s">
        <v>29</v>
      </c>
      <c r="K303" s="71" t="s">
        <v>381</v>
      </c>
      <c r="L303" s="63" t="s">
        <v>382</v>
      </c>
    </row>
    <row r="304" spans="1:12" ht="86.25" x14ac:dyDescent="0.25">
      <c r="A304" s="1">
        <v>6</v>
      </c>
      <c r="B304" s="55">
        <f t="shared" si="16"/>
        <v>41</v>
      </c>
      <c r="C304" s="97" t="s">
        <v>383</v>
      </c>
      <c r="D304" s="66" t="s">
        <v>153</v>
      </c>
      <c r="E304" s="70">
        <v>292.25</v>
      </c>
      <c r="F304" s="69">
        <v>292.25</v>
      </c>
      <c r="G304" s="69">
        <v>292.25</v>
      </c>
      <c r="H304" s="69">
        <v>285.27775000000003</v>
      </c>
      <c r="I304" s="69">
        <v>0</v>
      </c>
      <c r="J304" s="96" t="s">
        <v>29</v>
      </c>
      <c r="K304" s="71" t="s">
        <v>384</v>
      </c>
      <c r="L304" s="63" t="s">
        <v>385</v>
      </c>
    </row>
    <row r="305" spans="1:12" ht="86.25" x14ac:dyDescent="0.25">
      <c r="A305" s="1">
        <v>6</v>
      </c>
      <c r="B305" s="55">
        <f t="shared" si="16"/>
        <v>42</v>
      </c>
      <c r="C305" s="97" t="s">
        <v>386</v>
      </c>
      <c r="D305" s="66" t="s">
        <v>153</v>
      </c>
      <c r="E305" s="70">
        <v>433.74799999999999</v>
      </c>
      <c r="F305" s="69">
        <v>433.74799999999999</v>
      </c>
      <c r="G305" s="69">
        <v>433.74799999999999</v>
      </c>
      <c r="H305" s="69">
        <v>425.89877999999999</v>
      </c>
      <c r="I305" s="69">
        <v>0</v>
      </c>
      <c r="J305" s="96" t="s">
        <v>29</v>
      </c>
      <c r="K305" s="71" t="s">
        <v>384</v>
      </c>
      <c r="L305" s="63" t="s">
        <v>387</v>
      </c>
    </row>
    <row r="306" spans="1:12" ht="69" x14ac:dyDescent="0.25">
      <c r="A306" s="1">
        <v>6</v>
      </c>
      <c r="B306" s="55">
        <f t="shared" si="16"/>
        <v>43</v>
      </c>
      <c r="C306" s="97" t="s">
        <v>388</v>
      </c>
      <c r="D306" s="66" t="s">
        <v>153</v>
      </c>
      <c r="E306" s="70">
        <v>463.27</v>
      </c>
      <c r="F306" s="69">
        <v>463.27</v>
      </c>
      <c r="G306" s="69">
        <v>463.27</v>
      </c>
      <c r="H306" s="69">
        <v>416.09750000000003</v>
      </c>
      <c r="I306" s="69">
        <v>0</v>
      </c>
      <c r="J306" s="96" t="s">
        <v>29</v>
      </c>
      <c r="K306" s="71" t="s">
        <v>389</v>
      </c>
      <c r="L306" s="63" t="s">
        <v>390</v>
      </c>
    </row>
    <row r="307" spans="1:12" ht="86.25" x14ac:dyDescent="0.25">
      <c r="A307" s="1">
        <v>6</v>
      </c>
      <c r="B307" s="55">
        <f t="shared" si="16"/>
        <v>44</v>
      </c>
      <c r="C307" s="97" t="s">
        <v>391</v>
      </c>
      <c r="D307" s="66" t="s">
        <v>153</v>
      </c>
      <c r="E307" s="70">
        <v>1367.1469999999999</v>
      </c>
      <c r="F307" s="69">
        <v>1367.1469999999999</v>
      </c>
      <c r="G307" s="69">
        <v>1367.1469999999999</v>
      </c>
      <c r="H307" s="69">
        <v>1367.125</v>
      </c>
      <c r="I307" s="69">
        <v>0</v>
      </c>
      <c r="J307" s="96" t="s">
        <v>29</v>
      </c>
      <c r="K307" s="71" t="s">
        <v>392</v>
      </c>
      <c r="L307" s="115" t="s">
        <v>57</v>
      </c>
    </row>
    <row r="308" spans="1:12" ht="69" x14ac:dyDescent="0.25">
      <c r="A308" s="1">
        <v>6</v>
      </c>
      <c r="B308" s="55">
        <f t="shared" si="16"/>
        <v>45</v>
      </c>
      <c r="C308" s="97" t="s">
        <v>393</v>
      </c>
      <c r="D308" s="66" t="s">
        <v>59</v>
      </c>
      <c r="E308" s="70">
        <v>630</v>
      </c>
      <c r="F308" s="69">
        <v>630</v>
      </c>
      <c r="G308" s="69">
        <v>630</v>
      </c>
      <c r="H308" s="69">
        <v>630</v>
      </c>
      <c r="I308" s="69">
        <v>0</v>
      </c>
      <c r="J308" s="96" t="s">
        <v>29</v>
      </c>
      <c r="K308" s="71" t="s">
        <v>394</v>
      </c>
      <c r="L308" s="63"/>
    </row>
    <row r="309" spans="1:12" ht="69" x14ac:dyDescent="0.25">
      <c r="A309" s="1">
        <v>6</v>
      </c>
      <c r="B309" s="55">
        <f t="shared" si="16"/>
        <v>46</v>
      </c>
      <c r="C309" s="97" t="s">
        <v>395</v>
      </c>
      <c r="D309" s="66" t="s">
        <v>153</v>
      </c>
      <c r="E309" s="70">
        <v>410.096</v>
      </c>
      <c r="F309" s="69">
        <v>410.096</v>
      </c>
      <c r="G309" s="69">
        <v>410.096</v>
      </c>
      <c r="H309" s="69">
        <v>361.74200000000002</v>
      </c>
      <c r="I309" s="69">
        <v>0</v>
      </c>
      <c r="J309" s="96" t="s">
        <v>29</v>
      </c>
      <c r="K309" s="71" t="s">
        <v>396</v>
      </c>
      <c r="L309" s="115" t="s">
        <v>57</v>
      </c>
    </row>
    <row r="310" spans="1:12" ht="69" x14ac:dyDescent="0.25">
      <c r="A310" s="1">
        <v>6</v>
      </c>
      <c r="B310" s="55">
        <f t="shared" si="16"/>
        <v>47</v>
      </c>
      <c r="C310" s="97" t="s">
        <v>397</v>
      </c>
      <c r="D310" s="66" t="s">
        <v>153</v>
      </c>
      <c r="E310" s="70">
        <v>295.41800000000001</v>
      </c>
      <c r="F310" s="69">
        <v>295.41800000000001</v>
      </c>
      <c r="G310" s="69">
        <v>295.41800000000001</v>
      </c>
      <c r="H310" s="69">
        <v>264.726</v>
      </c>
      <c r="I310" s="69">
        <v>0</v>
      </c>
      <c r="J310" s="96" t="s">
        <v>29</v>
      </c>
      <c r="K310" s="71" t="s">
        <v>398</v>
      </c>
      <c r="L310" s="115" t="s">
        <v>399</v>
      </c>
    </row>
    <row r="311" spans="1:12" ht="69" x14ac:dyDescent="0.25">
      <c r="A311" s="1">
        <v>6</v>
      </c>
      <c r="B311" s="55">
        <f t="shared" si="16"/>
        <v>48</v>
      </c>
      <c r="C311" s="97" t="s">
        <v>400</v>
      </c>
      <c r="D311" s="66" t="s">
        <v>153</v>
      </c>
      <c r="E311" s="70">
        <v>312.42200000000003</v>
      </c>
      <c r="F311" s="69">
        <v>312.42200000000003</v>
      </c>
      <c r="G311" s="69">
        <v>312.42200000000003</v>
      </c>
      <c r="H311" s="69">
        <v>308.64699999999999</v>
      </c>
      <c r="I311" s="69">
        <v>0</v>
      </c>
      <c r="J311" s="96" t="s">
        <v>29</v>
      </c>
      <c r="K311" s="71" t="s">
        <v>398</v>
      </c>
      <c r="L311" s="115" t="s">
        <v>401</v>
      </c>
    </row>
    <row r="312" spans="1:12" ht="51.75" x14ac:dyDescent="0.25">
      <c r="A312" s="1">
        <v>6</v>
      </c>
      <c r="B312" s="55">
        <f t="shared" si="16"/>
        <v>49</v>
      </c>
      <c r="C312" s="97" t="s">
        <v>402</v>
      </c>
      <c r="D312" s="66" t="s">
        <v>153</v>
      </c>
      <c r="E312" s="70">
        <v>1047.125</v>
      </c>
      <c r="F312" s="69">
        <v>1047.125</v>
      </c>
      <c r="G312" s="69">
        <v>1047.125</v>
      </c>
      <c r="H312" s="69">
        <v>1023.409</v>
      </c>
      <c r="I312" s="69">
        <v>0</v>
      </c>
      <c r="J312" s="96" t="s">
        <v>29</v>
      </c>
      <c r="K312" s="71" t="s">
        <v>403</v>
      </c>
      <c r="L312" s="115"/>
    </row>
    <row r="313" spans="1:12" ht="69" x14ac:dyDescent="0.25">
      <c r="A313" s="1">
        <v>6</v>
      </c>
      <c r="B313" s="55">
        <f t="shared" si="16"/>
        <v>50</v>
      </c>
      <c r="C313" s="97" t="s">
        <v>404</v>
      </c>
      <c r="D313" s="66" t="s">
        <v>153</v>
      </c>
      <c r="E313" s="70">
        <v>455.64699999999999</v>
      </c>
      <c r="F313" s="69">
        <v>455.64699999999999</v>
      </c>
      <c r="G313" s="69">
        <v>455.64699999999999</v>
      </c>
      <c r="H313" s="69">
        <v>400.49299999999999</v>
      </c>
      <c r="I313" s="69">
        <v>0</v>
      </c>
      <c r="J313" s="96" t="s">
        <v>29</v>
      </c>
      <c r="K313" s="71" t="s">
        <v>405</v>
      </c>
      <c r="L313" s="115" t="s">
        <v>406</v>
      </c>
    </row>
    <row r="314" spans="1:12" ht="69" x14ac:dyDescent="0.25">
      <c r="A314" s="1">
        <v>6</v>
      </c>
      <c r="B314" s="55">
        <f t="shared" si="16"/>
        <v>51</v>
      </c>
      <c r="C314" s="97" t="s">
        <v>407</v>
      </c>
      <c r="D314" s="66" t="s">
        <v>153</v>
      </c>
      <c r="E314" s="70">
        <v>419.64400000000001</v>
      </c>
      <c r="F314" s="69">
        <v>419.64400000000001</v>
      </c>
      <c r="G314" s="69">
        <v>419.64400000000001</v>
      </c>
      <c r="H314" s="69">
        <v>373.44299999999998</v>
      </c>
      <c r="I314" s="69">
        <v>0</v>
      </c>
      <c r="J314" s="96" t="s">
        <v>29</v>
      </c>
      <c r="K314" s="71" t="s">
        <v>405</v>
      </c>
      <c r="L314" s="115" t="s">
        <v>408</v>
      </c>
    </row>
    <row r="315" spans="1:12" ht="69" x14ac:dyDescent="0.25">
      <c r="A315" s="1">
        <v>6</v>
      </c>
      <c r="B315" s="55">
        <f t="shared" si="16"/>
        <v>52</v>
      </c>
      <c r="C315" s="97" t="s">
        <v>409</v>
      </c>
      <c r="D315" s="66" t="s">
        <v>153</v>
      </c>
      <c r="E315" s="70">
        <v>450.95499999999998</v>
      </c>
      <c r="F315" s="69">
        <v>450.95499999999998</v>
      </c>
      <c r="G315" s="69">
        <v>450.95499999999998</v>
      </c>
      <c r="H315" s="69">
        <v>403.99799999999999</v>
      </c>
      <c r="I315" s="69">
        <v>0</v>
      </c>
      <c r="J315" s="96" t="s">
        <v>29</v>
      </c>
      <c r="K315" s="71" t="s">
        <v>405</v>
      </c>
      <c r="L315" s="115" t="s">
        <v>410</v>
      </c>
    </row>
    <row r="316" spans="1:12" ht="86.25" x14ac:dyDescent="0.25">
      <c r="A316" s="1">
        <v>6</v>
      </c>
      <c r="B316" s="64">
        <f t="shared" si="16"/>
        <v>53</v>
      </c>
      <c r="C316" s="97" t="s">
        <v>411</v>
      </c>
      <c r="D316" s="66" t="s">
        <v>153</v>
      </c>
      <c r="E316" s="70">
        <f>810+270+1080</f>
        <v>2160</v>
      </c>
      <c r="F316" s="69">
        <v>2160</v>
      </c>
      <c r="G316" s="69">
        <v>2160</v>
      </c>
      <c r="H316" s="69">
        <v>2154.6</v>
      </c>
      <c r="I316" s="69">
        <v>0</v>
      </c>
      <c r="J316" s="96" t="s">
        <v>29</v>
      </c>
      <c r="K316" s="71"/>
      <c r="L316" s="115" t="s">
        <v>75</v>
      </c>
    </row>
    <row r="317" spans="1:12" ht="86.25" x14ac:dyDescent="0.25">
      <c r="A317" s="1">
        <v>6</v>
      </c>
      <c r="B317" s="55">
        <f t="shared" si="16"/>
        <v>54</v>
      </c>
      <c r="C317" s="97" t="s">
        <v>412</v>
      </c>
      <c r="D317" s="66" t="s">
        <v>153</v>
      </c>
      <c r="E317" s="70">
        <v>478.041</v>
      </c>
      <c r="F317" s="69">
        <v>478.041</v>
      </c>
      <c r="G317" s="69">
        <v>478.041</v>
      </c>
      <c r="H317" s="69">
        <v>401.21199999999999</v>
      </c>
      <c r="I317" s="69">
        <v>0</v>
      </c>
      <c r="J317" s="96" t="s">
        <v>29</v>
      </c>
      <c r="K317" s="71" t="s">
        <v>413</v>
      </c>
      <c r="L317" s="115" t="s">
        <v>414</v>
      </c>
    </row>
    <row r="318" spans="1:12" ht="86.25" x14ac:dyDescent="0.25">
      <c r="A318" s="1">
        <v>6</v>
      </c>
      <c r="B318" s="55">
        <f t="shared" si="16"/>
        <v>55</v>
      </c>
      <c r="C318" s="97" t="s">
        <v>415</v>
      </c>
      <c r="D318" s="66" t="s">
        <v>153</v>
      </c>
      <c r="E318" s="70">
        <v>438.488</v>
      </c>
      <c r="F318" s="69">
        <v>438.488</v>
      </c>
      <c r="G318" s="69">
        <v>438.488</v>
      </c>
      <c r="H318" s="69">
        <v>422.58</v>
      </c>
      <c r="I318" s="69">
        <v>0</v>
      </c>
      <c r="J318" s="96" t="s">
        <v>29</v>
      </c>
      <c r="K318" s="71" t="s">
        <v>54</v>
      </c>
      <c r="L318" s="115" t="s">
        <v>416</v>
      </c>
    </row>
    <row r="319" spans="1:12" ht="69" x14ac:dyDescent="0.25">
      <c r="A319" s="1">
        <v>6</v>
      </c>
      <c r="B319" s="64">
        <f t="shared" si="16"/>
        <v>56</v>
      </c>
      <c r="C319" s="97" t="s">
        <v>417</v>
      </c>
      <c r="D319" s="66" t="s">
        <v>153</v>
      </c>
      <c r="E319" s="70">
        <f>810+270</f>
        <v>1080</v>
      </c>
      <c r="F319" s="69">
        <v>1080</v>
      </c>
      <c r="G319" s="69">
        <v>1080</v>
      </c>
      <c r="H319" s="69">
        <v>1077.3</v>
      </c>
      <c r="I319" s="69">
        <v>0</v>
      </c>
      <c r="J319" s="96" t="s">
        <v>29</v>
      </c>
      <c r="K319" s="71"/>
      <c r="L319" s="115" t="s">
        <v>75</v>
      </c>
    </row>
    <row r="320" spans="1:12" ht="69" x14ac:dyDescent="0.25">
      <c r="A320" s="1">
        <v>6</v>
      </c>
      <c r="B320" s="64">
        <f t="shared" si="16"/>
        <v>57</v>
      </c>
      <c r="C320" s="97" t="s">
        <v>418</v>
      </c>
      <c r="D320" s="66" t="s">
        <v>153</v>
      </c>
      <c r="E320" s="70">
        <f>810+270</f>
        <v>1080</v>
      </c>
      <c r="F320" s="69">
        <v>1080</v>
      </c>
      <c r="G320" s="69">
        <v>1080</v>
      </c>
      <c r="H320" s="69">
        <v>1077.3</v>
      </c>
      <c r="I320" s="69">
        <v>0</v>
      </c>
      <c r="J320" s="96" t="s">
        <v>29</v>
      </c>
      <c r="K320" s="71"/>
      <c r="L320" s="115" t="s">
        <v>75</v>
      </c>
    </row>
    <row r="321" spans="1:12" ht="103.5" x14ac:dyDescent="0.25">
      <c r="A321" s="1">
        <v>6</v>
      </c>
      <c r="B321" s="55">
        <f t="shared" si="16"/>
        <v>58</v>
      </c>
      <c r="C321" s="97" t="s">
        <v>419</v>
      </c>
      <c r="D321" s="66" t="s">
        <v>153</v>
      </c>
      <c r="E321" s="70">
        <v>924.55</v>
      </c>
      <c r="F321" s="69">
        <v>924.55</v>
      </c>
      <c r="G321" s="69">
        <v>924.55</v>
      </c>
      <c r="H321" s="69">
        <v>736.73199999999997</v>
      </c>
      <c r="I321" s="69">
        <v>0</v>
      </c>
      <c r="J321" s="96" t="s">
        <v>29</v>
      </c>
      <c r="K321" s="71" t="s">
        <v>243</v>
      </c>
      <c r="L321" s="115" t="s">
        <v>57</v>
      </c>
    </row>
    <row r="322" spans="1:12" ht="103.5" x14ac:dyDescent="0.25">
      <c r="A322" s="1">
        <v>6</v>
      </c>
      <c r="B322" s="55">
        <f t="shared" si="16"/>
        <v>59</v>
      </c>
      <c r="C322" s="118" t="s">
        <v>420</v>
      </c>
      <c r="D322" s="74" t="s">
        <v>153</v>
      </c>
      <c r="E322" s="78">
        <v>867.08</v>
      </c>
      <c r="F322" s="77">
        <v>867.08</v>
      </c>
      <c r="G322" s="77">
        <v>867.08</v>
      </c>
      <c r="H322" s="77">
        <v>830.42100000000005</v>
      </c>
      <c r="I322" s="77">
        <v>0</v>
      </c>
      <c r="J322" s="116" t="s">
        <v>29</v>
      </c>
      <c r="K322" s="117" t="s">
        <v>421</v>
      </c>
      <c r="L322" s="119" t="s">
        <v>422</v>
      </c>
    </row>
    <row r="323" spans="1:12" ht="86.25" x14ac:dyDescent="0.25">
      <c r="A323" s="1">
        <v>6</v>
      </c>
      <c r="B323" s="55">
        <f t="shared" si="16"/>
        <v>60</v>
      </c>
      <c r="C323" s="118" t="s">
        <v>423</v>
      </c>
      <c r="D323" s="74" t="s">
        <v>153</v>
      </c>
      <c r="E323" s="78">
        <v>1080</v>
      </c>
      <c r="F323" s="77">
        <v>1080</v>
      </c>
      <c r="G323" s="77">
        <v>1080</v>
      </c>
      <c r="H323" s="77">
        <v>1077.3</v>
      </c>
      <c r="I323" s="77">
        <v>0</v>
      </c>
      <c r="J323" s="116" t="s">
        <v>29</v>
      </c>
      <c r="K323" s="117"/>
      <c r="L323" s="115" t="s">
        <v>75</v>
      </c>
    </row>
    <row r="324" spans="1:12" ht="69" x14ac:dyDescent="0.25">
      <c r="A324" s="1">
        <v>6</v>
      </c>
      <c r="B324" s="55">
        <f t="shared" si="16"/>
        <v>61</v>
      </c>
      <c r="C324" s="118" t="s">
        <v>424</v>
      </c>
      <c r="D324" s="74" t="s">
        <v>153</v>
      </c>
      <c r="E324" s="78">
        <v>1080</v>
      </c>
      <c r="F324" s="77">
        <v>1080</v>
      </c>
      <c r="G324" s="77">
        <v>1080</v>
      </c>
      <c r="H324" s="77">
        <v>1077.3</v>
      </c>
      <c r="I324" s="77">
        <v>0</v>
      </c>
      <c r="J324" s="116" t="s">
        <v>29</v>
      </c>
      <c r="K324" s="117"/>
      <c r="L324" s="115" t="s">
        <v>75</v>
      </c>
    </row>
    <row r="325" spans="1:12" ht="69" x14ac:dyDescent="0.25">
      <c r="A325" s="1">
        <v>6</v>
      </c>
      <c r="B325" s="55">
        <f t="shared" si="16"/>
        <v>62</v>
      </c>
      <c r="C325" s="118" t="s">
        <v>425</v>
      </c>
      <c r="D325" s="74" t="s">
        <v>153</v>
      </c>
      <c r="E325" s="78">
        <v>2153.5</v>
      </c>
      <c r="F325" s="77">
        <v>2153.5</v>
      </c>
      <c r="G325" s="77">
        <v>2153.5</v>
      </c>
      <c r="H325" s="77">
        <v>2153.5</v>
      </c>
      <c r="I325" s="77">
        <v>0</v>
      </c>
      <c r="J325" s="116" t="s">
        <v>45</v>
      </c>
      <c r="K325" s="117"/>
      <c r="L325" s="99"/>
    </row>
    <row r="326" spans="1:12" ht="69" x14ac:dyDescent="0.25">
      <c r="A326" s="1">
        <v>6</v>
      </c>
      <c r="B326" s="55">
        <f t="shared" si="16"/>
        <v>63</v>
      </c>
      <c r="C326" s="118" t="s">
        <v>426</v>
      </c>
      <c r="D326" s="74" t="s">
        <v>153</v>
      </c>
      <c r="E326" s="78">
        <v>1079.7819999999999</v>
      </c>
      <c r="F326" s="77">
        <v>1079.7819999999999</v>
      </c>
      <c r="G326" s="77">
        <v>1079.7819999999999</v>
      </c>
      <c r="H326" s="77">
        <v>1079.7</v>
      </c>
      <c r="I326" s="77">
        <v>0</v>
      </c>
      <c r="J326" s="116" t="s">
        <v>45</v>
      </c>
      <c r="K326" s="117"/>
      <c r="L326" s="63"/>
    </row>
    <row r="327" spans="1:12" ht="86.25" x14ac:dyDescent="0.25">
      <c r="A327" s="1">
        <v>6</v>
      </c>
      <c r="B327" s="55">
        <f t="shared" si="16"/>
        <v>64</v>
      </c>
      <c r="C327" s="118" t="s">
        <v>427</v>
      </c>
      <c r="D327" s="74" t="s">
        <v>153</v>
      </c>
      <c r="E327" s="78">
        <v>318.72899999999998</v>
      </c>
      <c r="F327" s="77">
        <v>318.72899999999998</v>
      </c>
      <c r="G327" s="77">
        <v>318.72899999999998</v>
      </c>
      <c r="H327" s="77">
        <v>284.54000000000002</v>
      </c>
      <c r="I327" s="77">
        <v>0</v>
      </c>
      <c r="J327" s="116" t="s">
        <v>29</v>
      </c>
      <c r="K327" s="117" t="s">
        <v>428</v>
      </c>
      <c r="L327" s="119" t="s">
        <v>57</v>
      </c>
    </row>
    <row r="328" spans="1:12" ht="86.25" x14ac:dyDescent="0.25">
      <c r="A328" s="1">
        <v>6</v>
      </c>
      <c r="B328" s="55">
        <f t="shared" si="16"/>
        <v>65</v>
      </c>
      <c r="C328" s="118" t="s">
        <v>429</v>
      </c>
      <c r="D328" s="74" t="s">
        <v>153</v>
      </c>
      <c r="E328" s="78">
        <v>695.02700000000004</v>
      </c>
      <c r="F328" s="77">
        <v>695.02700000000004</v>
      </c>
      <c r="G328" s="77">
        <v>695.02700000000004</v>
      </c>
      <c r="H328" s="77">
        <v>501.63200000000001</v>
      </c>
      <c r="I328" s="77">
        <v>0</v>
      </c>
      <c r="J328" s="116" t="s">
        <v>29</v>
      </c>
      <c r="K328" s="117" t="s">
        <v>428</v>
      </c>
      <c r="L328" s="119" t="s">
        <v>57</v>
      </c>
    </row>
    <row r="329" spans="1:12" ht="69" x14ac:dyDescent="0.25">
      <c r="A329" s="1">
        <v>6</v>
      </c>
      <c r="B329" s="55">
        <f t="shared" si="16"/>
        <v>66</v>
      </c>
      <c r="C329" s="118" t="s">
        <v>430</v>
      </c>
      <c r="D329" s="74" t="s">
        <v>153</v>
      </c>
      <c r="E329" s="78">
        <v>332.86399999999998</v>
      </c>
      <c r="F329" s="77">
        <v>332.86399999999998</v>
      </c>
      <c r="G329" s="77">
        <v>332.86399999999998</v>
      </c>
      <c r="H329" s="77">
        <v>331.72399999999999</v>
      </c>
      <c r="I329" s="77">
        <v>0</v>
      </c>
      <c r="J329" s="116" t="s">
        <v>29</v>
      </c>
      <c r="K329" s="117" t="s">
        <v>431</v>
      </c>
      <c r="L329" s="119" t="s">
        <v>57</v>
      </c>
    </row>
    <row r="330" spans="1:12" ht="69" x14ac:dyDescent="0.25">
      <c r="A330" s="1">
        <v>6</v>
      </c>
      <c r="B330" s="55">
        <f>B329+1</f>
        <v>67</v>
      </c>
      <c r="C330" s="118" t="s">
        <v>432</v>
      </c>
      <c r="D330" s="74" t="s">
        <v>153</v>
      </c>
      <c r="E330" s="78">
        <v>382</v>
      </c>
      <c r="F330" s="77">
        <v>382</v>
      </c>
      <c r="G330" s="77">
        <v>382</v>
      </c>
      <c r="H330" s="77">
        <v>307.14600000000002</v>
      </c>
      <c r="I330" s="77">
        <v>0</v>
      </c>
      <c r="J330" s="116" t="s">
        <v>29</v>
      </c>
      <c r="K330" s="117" t="s">
        <v>428</v>
      </c>
      <c r="L330" s="119" t="s">
        <v>57</v>
      </c>
    </row>
    <row r="331" spans="1:12" ht="69" x14ac:dyDescent="0.25">
      <c r="A331" s="1">
        <v>6</v>
      </c>
      <c r="B331" s="55">
        <f>B330+1</f>
        <v>68</v>
      </c>
      <c r="C331" s="118" t="s">
        <v>433</v>
      </c>
      <c r="D331" s="74" t="s">
        <v>153</v>
      </c>
      <c r="E331" s="78">
        <v>438.995</v>
      </c>
      <c r="F331" s="77">
        <v>438.995</v>
      </c>
      <c r="G331" s="77">
        <v>438.995</v>
      </c>
      <c r="H331" s="77">
        <v>343.32799999999997</v>
      </c>
      <c r="I331" s="77">
        <v>0</v>
      </c>
      <c r="J331" s="116" t="s">
        <v>29</v>
      </c>
      <c r="K331" s="117" t="s">
        <v>434</v>
      </c>
      <c r="L331" s="119" t="s">
        <v>57</v>
      </c>
    </row>
    <row r="332" spans="1:12" ht="52.5" thickBot="1" x14ac:dyDescent="0.3">
      <c r="A332" s="1">
        <v>6</v>
      </c>
      <c r="B332" s="82">
        <f>B331+1</f>
        <v>69</v>
      </c>
      <c r="C332" s="104" t="s">
        <v>435</v>
      </c>
      <c r="D332" s="84" t="s">
        <v>153</v>
      </c>
      <c r="E332" s="88">
        <v>1072.8820000000001</v>
      </c>
      <c r="F332" s="87">
        <v>1072.8820000000001</v>
      </c>
      <c r="G332" s="87">
        <v>1072.8820000000001</v>
      </c>
      <c r="H332" s="87">
        <v>1048.24</v>
      </c>
      <c r="I332" s="87">
        <v>0</v>
      </c>
      <c r="J332" s="120" t="s">
        <v>29</v>
      </c>
      <c r="K332" s="121" t="s">
        <v>436</v>
      </c>
      <c r="L332" s="122" t="s">
        <v>57</v>
      </c>
    </row>
    <row r="333" spans="1:12" ht="15.75" thickBot="1" x14ac:dyDescent="0.3">
      <c r="A333" s="1">
        <v>7</v>
      </c>
      <c r="B333" s="162" t="s">
        <v>437</v>
      </c>
      <c r="C333" s="163"/>
      <c r="D333" s="163"/>
      <c r="E333" s="163"/>
      <c r="F333" s="163"/>
      <c r="G333" s="163"/>
      <c r="H333" s="163"/>
      <c r="I333" s="163"/>
      <c r="J333" s="163"/>
      <c r="K333" s="163"/>
      <c r="L333" s="164"/>
    </row>
    <row r="334" spans="1:12" ht="18.75" x14ac:dyDescent="0.25">
      <c r="A334" s="1">
        <v>7</v>
      </c>
      <c r="B334" s="36"/>
      <c r="C334" s="37" t="s">
        <v>24</v>
      </c>
      <c r="D334" s="38"/>
      <c r="E334" s="41">
        <f t="shared" ref="E334:I334" si="17">SUM(E335,E337:E404)</f>
        <v>115471.39900000002</v>
      </c>
      <c r="F334" s="42">
        <f t="shared" si="17"/>
        <v>115471.39900000002</v>
      </c>
      <c r="G334" s="42">
        <f t="shared" si="17"/>
        <v>115471.39900000002</v>
      </c>
      <c r="H334" s="42">
        <f t="shared" si="17"/>
        <v>80252.805000000051</v>
      </c>
      <c r="I334" s="42">
        <f t="shared" si="17"/>
        <v>1170.097</v>
      </c>
      <c r="J334" s="92"/>
      <c r="K334" s="93"/>
      <c r="L334" s="38"/>
    </row>
    <row r="335" spans="1:12" ht="18.75" x14ac:dyDescent="0.25">
      <c r="A335" s="1">
        <v>7</v>
      </c>
      <c r="B335" s="46"/>
      <c r="C335" s="24" t="s">
        <v>21</v>
      </c>
      <c r="D335" s="47"/>
      <c r="E335" s="94">
        <v>0</v>
      </c>
      <c r="F335" s="106">
        <v>0</v>
      </c>
      <c r="G335" s="106">
        <v>0</v>
      </c>
      <c r="H335" s="106"/>
      <c r="I335" s="106"/>
      <c r="J335" s="95"/>
      <c r="K335" s="25"/>
      <c r="L335" s="47"/>
    </row>
    <row r="336" spans="1:12" ht="16.5" x14ac:dyDescent="0.25">
      <c r="A336" s="1">
        <v>7</v>
      </c>
      <c r="B336" s="46"/>
      <c r="C336" s="54" t="s">
        <v>22</v>
      </c>
      <c r="D336" s="47"/>
      <c r="E336" s="94">
        <f t="shared" ref="E336:I336" si="18">SUM(E337:E404)</f>
        <v>115471.39900000002</v>
      </c>
      <c r="F336" s="106">
        <f t="shared" si="18"/>
        <v>115471.39900000002</v>
      </c>
      <c r="G336" s="106">
        <f t="shared" si="18"/>
        <v>115471.39900000002</v>
      </c>
      <c r="H336" s="106">
        <f t="shared" si="18"/>
        <v>80252.805000000051</v>
      </c>
      <c r="I336" s="106">
        <f t="shared" si="18"/>
        <v>1170.097</v>
      </c>
      <c r="J336" s="95"/>
      <c r="K336" s="25"/>
      <c r="L336" s="47"/>
    </row>
    <row r="337" spans="1:12" ht="86.25" x14ac:dyDescent="0.25">
      <c r="A337" s="1">
        <v>7</v>
      </c>
      <c r="B337" s="64">
        <v>1</v>
      </c>
      <c r="C337" s="65" t="s">
        <v>438</v>
      </c>
      <c r="D337" s="66" t="s">
        <v>37</v>
      </c>
      <c r="E337" s="67">
        <v>5536.4139999999998</v>
      </c>
      <c r="F337" s="68">
        <v>5536.4139999999998</v>
      </c>
      <c r="G337" s="68">
        <v>5536.4139999999998</v>
      </c>
      <c r="H337" s="68">
        <v>5532.7139999999999</v>
      </c>
      <c r="I337" s="68">
        <v>872.90099999999995</v>
      </c>
      <c r="J337" s="61" t="s">
        <v>45</v>
      </c>
      <c r="K337" s="62"/>
      <c r="L337" s="57"/>
    </row>
    <row r="338" spans="1:12" ht="86.25" x14ac:dyDescent="0.25">
      <c r="A338" s="1">
        <v>7</v>
      </c>
      <c r="B338" s="55">
        <f>B337+1</f>
        <v>2</v>
      </c>
      <c r="C338" s="65" t="s">
        <v>439</v>
      </c>
      <c r="D338" s="66"/>
      <c r="E338" s="67">
        <v>297.19600000000003</v>
      </c>
      <c r="F338" s="68">
        <v>297.19600000000003</v>
      </c>
      <c r="G338" s="68">
        <v>297.19600000000003</v>
      </c>
      <c r="H338" s="68">
        <v>297.19600000000003</v>
      </c>
      <c r="I338" s="68">
        <v>297.19600000000003</v>
      </c>
      <c r="J338" s="61"/>
      <c r="K338" s="62"/>
      <c r="L338" s="57" t="s">
        <v>33</v>
      </c>
    </row>
    <row r="339" spans="1:12" ht="51.75" x14ac:dyDescent="0.25">
      <c r="A339" s="1">
        <v>7</v>
      </c>
      <c r="B339" s="55">
        <f t="shared" ref="B339:B399" si="19">B338+1</f>
        <v>3</v>
      </c>
      <c r="C339" s="65" t="s">
        <v>440</v>
      </c>
      <c r="D339" s="66" t="s">
        <v>153</v>
      </c>
      <c r="E339" s="67">
        <v>3305.75</v>
      </c>
      <c r="F339" s="68">
        <v>3305.75</v>
      </c>
      <c r="G339" s="68">
        <v>3305.75</v>
      </c>
      <c r="H339" s="68">
        <v>2858.192</v>
      </c>
      <c r="I339" s="68">
        <v>0</v>
      </c>
      <c r="J339" s="61" t="s">
        <v>45</v>
      </c>
      <c r="K339" s="62" t="s">
        <v>428</v>
      </c>
      <c r="L339" s="57"/>
    </row>
    <row r="340" spans="1:12" ht="86.25" x14ac:dyDescent="0.25">
      <c r="A340" s="1">
        <v>7</v>
      </c>
      <c r="B340" s="55">
        <f t="shared" si="19"/>
        <v>4</v>
      </c>
      <c r="C340" s="65" t="s">
        <v>441</v>
      </c>
      <c r="D340" s="66" t="s">
        <v>153</v>
      </c>
      <c r="E340" s="67">
        <f>1200+1007.013</f>
        <v>2207.0129999999999</v>
      </c>
      <c r="F340" s="68">
        <v>2207.0129999999999</v>
      </c>
      <c r="G340" s="68">
        <v>2207.0129999999999</v>
      </c>
      <c r="H340" s="68">
        <v>2021.6410000000001</v>
      </c>
      <c r="I340" s="68">
        <v>0</v>
      </c>
      <c r="J340" s="61" t="s">
        <v>45</v>
      </c>
      <c r="K340" s="62"/>
      <c r="L340" s="57"/>
    </row>
    <row r="341" spans="1:12" ht="86.25" x14ac:dyDescent="0.25">
      <c r="A341" s="1">
        <v>7</v>
      </c>
      <c r="B341" s="55">
        <f t="shared" si="19"/>
        <v>5</v>
      </c>
      <c r="C341" s="65" t="s">
        <v>442</v>
      </c>
      <c r="D341" s="66" t="s">
        <v>153</v>
      </c>
      <c r="E341" s="67">
        <v>780</v>
      </c>
      <c r="F341" s="68">
        <v>780</v>
      </c>
      <c r="G341" s="68">
        <v>780</v>
      </c>
      <c r="H341" s="68">
        <v>780</v>
      </c>
      <c r="I341" s="68">
        <v>0</v>
      </c>
      <c r="J341" s="61" t="s">
        <v>110</v>
      </c>
      <c r="K341" s="62"/>
      <c r="L341" s="57" t="s">
        <v>126</v>
      </c>
    </row>
    <row r="342" spans="1:12" ht="51.75" x14ac:dyDescent="0.25">
      <c r="A342" s="1">
        <v>7</v>
      </c>
      <c r="B342" s="64">
        <f t="shared" si="19"/>
        <v>6</v>
      </c>
      <c r="C342" s="65" t="s">
        <v>443</v>
      </c>
      <c r="D342" s="66" t="s">
        <v>153</v>
      </c>
      <c r="E342" s="67">
        <f>1650+1140.361</f>
        <v>2790.3609999999999</v>
      </c>
      <c r="F342" s="68">
        <v>2790.3609999999999</v>
      </c>
      <c r="G342" s="68">
        <v>2790.3609999999999</v>
      </c>
      <c r="H342" s="68">
        <v>2695.94</v>
      </c>
      <c r="I342" s="68">
        <v>0</v>
      </c>
      <c r="J342" s="61" t="s">
        <v>45</v>
      </c>
      <c r="K342" s="62"/>
      <c r="L342" s="119"/>
    </row>
    <row r="343" spans="1:12" ht="69" x14ac:dyDescent="0.25">
      <c r="A343" s="1">
        <v>7</v>
      </c>
      <c r="B343" s="64">
        <f t="shared" si="19"/>
        <v>7</v>
      </c>
      <c r="C343" s="65" t="s">
        <v>444</v>
      </c>
      <c r="D343" s="66" t="s">
        <v>44</v>
      </c>
      <c r="E343" s="67">
        <v>3320.4</v>
      </c>
      <c r="F343" s="68">
        <v>3320.4</v>
      </c>
      <c r="G343" s="68">
        <v>3320.4</v>
      </c>
      <c r="H343" s="68">
        <v>3252.6080000000002</v>
      </c>
      <c r="I343" s="68">
        <v>0</v>
      </c>
      <c r="J343" s="61" t="s">
        <v>45</v>
      </c>
      <c r="K343" s="62"/>
      <c r="L343" s="57"/>
    </row>
    <row r="344" spans="1:12" ht="51.75" x14ac:dyDescent="0.25">
      <c r="A344" s="1">
        <v>7</v>
      </c>
      <c r="B344" s="55">
        <f t="shared" si="19"/>
        <v>8</v>
      </c>
      <c r="C344" s="65" t="s">
        <v>445</v>
      </c>
      <c r="D344" s="66" t="s">
        <v>153</v>
      </c>
      <c r="E344" s="67">
        <v>756.31500000000005</v>
      </c>
      <c r="F344" s="68">
        <v>756.31500000000005</v>
      </c>
      <c r="G344" s="68">
        <v>756.31500000000005</v>
      </c>
      <c r="H344" s="68">
        <v>756.27200000000005</v>
      </c>
      <c r="I344" s="68">
        <v>0</v>
      </c>
      <c r="J344" s="61" t="s">
        <v>29</v>
      </c>
      <c r="K344" s="62" t="s">
        <v>446</v>
      </c>
      <c r="L344" s="57" t="s">
        <v>126</v>
      </c>
    </row>
    <row r="345" spans="1:12" ht="51.75" x14ac:dyDescent="0.25">
      <c r="A345" s="1">
        <v>7</v>
      </c>
      <c r="B345" s="55">
        <f t="shared" si="19"/>
        <v>9</v>
      </c>
      <c r="C345" s="65" t="s">
        <v>447</v>
      </c>
      <c r="D345" s="66" t="s">
        <v>153</v>
      </c>
      <c r="E345" s="67">
        <v>3636.91</v>
      </c>
      <c r="F345" s="68">
        <v>3636.91</v>
      </c>
      <c r="G345" s="68">
        <v>3636.91</v>
      </c>
      <c r="H345" s="68">
        <v>3636.6089999999999</v>
      </c>
      <c r="I345" s="68">
        <v>0</v>
      </c>
      <c r="J345" s="61" t="s">
        <v>45</v>
      </c>
      <c r="K345" s="62"/>
      <c r="L345" s="57"/>
    </row>
    <row r="346" spans="1:12" ht="86.25" x14ac:dyDescent="0.25">
      <c r="A346" s="1">
        <v>7</v>
      </c>
      <c r="B346" s="55">
        <f t="shared" si="19"/>
        <v>10</v>
      </c>
      <c r="C346" s="97" t="s">
        <v>448</v>
      </c>
      <c r="D346" s="66" t="s">
        <v>37</v>
      </c>
      <c r="E346" s="67">
        <v>2610</v>
      </c>
      <c r="F346" s="68">
        <v>2610</v>
      </c>
      <c r="G346" s="68">
        <v>2610</v>
      </c>
      <c r="H346" s="68">
        <v>2610</v>
      </c>
      <c r="I346" s="68">
        <v>0</v>
      </c>
      <c r="J346" s="61" t="s">
        <v>45</v>
      </c>
      <c r="K346" s="62"/>
      <c r="L346" s="57"/>
    </row>
    <row r="347" spans="1:12" ht="69" x14ac:dyDescent="0.25">
      <c r="A347" s="1">
        <v>7</v>
      </c>
      <c r="B347" s="55">
        <f t="shared" si="19"/>
        <v>11</v>
      </c>
      <c r="C347" s="65" t="s">
        <v>449</v>
      </c>
      <c r="D347" s="66" t="s">
        <v>153</v>
      </c>
      <c r="E347" s="67">
        <v>1600</v>
      </c>
      <c r="F347" s="68">
        <v>1600</v>
      </c>
      <c r="G347" s="68">
        <v>1600</v>
      </c>
      <c r="H347" s="68">
        <v>1600</v>
      </c>
      <c r="I347" s="68">
        <v>0</v>
      </c>
      <c r="J347" s="61" t="s">
        <v>45</v>
      </c>
      <c r="K347" s="62"/>
      <c r="L347" s="57"/>
    </row>
    <row r="348" spans="1:12" ht="51.75" x14ac:dyDescent="0.25">
      <c r="A348" s="1">
        <v>7</v>
      </c>
      <c r="B348" s="55">
        <f t="shared" si="19"/>
        <v>12</v>
      </c>
      <c r="C348" s="65" t="s">
        <v>450</v>
      </c>
      <c r="D348" s="66" t="s">
        <v>153</v>
      </c>
      <c r="E348" s="67">
        <v>286.38900000000001</v>
      </c>
      <c r="F348" s="68">
        <v>286.38900000000001</v>
      </c>
      <c r="G348" s="68">
        <v>286.38900000000001</v>
      </c>
      <c r="H348" s="68">
        <v>286.38900000000001</v>
      </c>
      <c r="I348" s="68">
        <v>0</v>
      </c>
      <c r="J348" s="61" t="s">
        <v>29</v>
      </c>
      <c r="K348" s="62" t="s">
        <v>405</v>
      </c>
      <c r="L348" s="57" t="s">
        <v>57</v>
      </c>
    </row>
    <row r="349" spans="1:12" ht="103.5" x14ac:dyDescent="0.25">
      <c r="A349" s="1">
        <v>7</v>
      </c>
      <c r="B349" s="55">
        <f t="shared" si="19"/>
        <v>13</v>
      </c>
      <c r="C349" s="65" t="s">
        <v>451</v>
      </c>
      <c r="D349" s="66" t="s">
        <v>153</v>
      </c>
      <c r="E349" s="67">
        <v>368.67</v>
      </c>
      <c r="F349" s="68">
        <v>368.67</v>
      </c>
      <c r="G349" s="68">
        <v>368.67</v>
      </c>
      <c r="H349" s="68">
        <v>368.67</v>
      </c>
      <c r="I349" s="68">
        <v>0</v>
      </c>
      <c r="J349" s="61" t="s">
        <v>110</v>
      </c>
      <c r="K349" s="62"/>
      <c r="L349" s="57" t="s">
        <v>126</v>
      </c>
    </row>
    <row r="350" spans="1:12" ht="51.75" x14ac:dyDescent="0.25">
      <c r="A350" s="1">
        <v>7</v>
      </c>
      <c r="B350" s="55">
        <f t="shared" si="19"/>
        <v>14</v>
      </c>
      <c r="C350" s="65" t="s">
        <v>452</v>
      </c>
      <c r="D350" s="66" t="s">
        <v>153</v>
      </c>
      <c r="E350" s="67">
        <v>205.32</v>
      </c>
      <c r="F350" s="68">
        <v>205.32</v>
      </c>
      <c r="G350" s="68">
        <v>205.32</v>
      </c>
      <c r="H350" s="68">
        <v>205.32</v>
      </c>
      <c r="I350" s="68">
        <v>0</v>
      </c>
      <c r="J350" s="61" t="s">
        <v>29</v>
      </c>
      <c r="K350" s="62" t="s">
        <v>252</v>
      </c>
      <c r="L350" s="57" t="s">
        <v>57</v>
      </c>
    </row>
    <row r="351" spans="1:12" ht="86.25" x14ac:dyDescent="0.25">
      <c r="A351" s="1">
        <v>7</v>
      </c>
      <c r="B351" s="55">
        <f t="shared" si="19"/>
        <v>15</v>
      </c>
      <c r="C351" s="65" t="s">
        <v>453</v>
      </c>
      <c r="D351" s="66" t="s">
        <v>153</v>
      </c>
      <c r="E351" s="67">
        <v>250</v>
      </c>
      <c r="F351" s="68">
        <v>250</v>
      </c>
      <c r="G351" s="68">
        <v>250</v>
      </c>
      <c r="H351" s="68">
        <v>250</v>
      </c>
      <c r="I351" s="68">
        <v>0</v>
      </c>
      <c r="J351" s="61" t="s">
        <v>29</v>
      </c>
      <c r="K351" s="62" t="s">
        <v>454</v>
      </c>
      <c r="L351" s="57" t="s">
        <v>57</v>
      </c>
    </row>
    <row r="352" spans="1:12" ht="86.25" x14ac:dyDescent="0.25">
      <c r="A352" s="1">
        <v>7</v>
      </c>
      <c r="B352" s="55">
        <f t="shared" si="19"/>
        <v>16</v>
      </c>
      <c r="C352" s="65" t="s">
        <v>455</v>
      </c>
      <c r="D352" s="66" t="s">
        <v>153</v>
      </c>
      <c r="E352" s="67">
        <v>810</v>
      </c>
      <c r="F352" s="68">
        <v>810</v>
      </c>
      <c r="G352" s="68">
        <v>810</v>
      </c>
      <c r="H352" s="68">
        <v>810</v>
      </c>
      <c r="I352" s="68">
        <v>0</v>
      </c>
      <c r="J352" s="61" t="s">
        <v>29</v>
      </c>
      <c r="K352" s="62" t="s">
        <v>456</v>
      </c>
      <c r="L352" s="57" t="s">
        <v>57</v>
      </c>
    </row>
    <row r="353" spans="1:12" ht="69" x14ac:dyDescent="0.25">
      <c r="A353" s="1">
        <v>7</v>
      </c>
      <c r="B353" s="55">
        <f t="shared" si="19"/>
        <v>17</v>
      </c>
      <c r="C353" s="65" t="s">
        <v>457</v>
      </c>
      <c r="D353" s="66" t="s">
        <v>153</v>
      </c>
      <c r="E353" s="67">
        <v>281.173</v>
      </c>
      <c r="F353" s="68">
        <v>281.173</v>
      </c>
      <c r="G353" s="68">
        <v>281.173</v>
      </c>
      <c r="H353" s="68">
        <v>281.173</v>
      </c>
      <c r="I353" s="68">
        <v>0</v>
      </c>
      <c r="J353" s="61" t="s">
        <v>29</v>
      </c>
      <c r="K353" s="62" t="s">
        <v>458</v>
      </c>
      <c r="L353" s="57" t="s">
        <v>57</v>
      </c>
    </row>
    <row r="354" spans="1:12" ht="120.75" x14ac:dyDescent="0.25">
      <c r="A354" s="1">
        <v>7</v>
      </c>
      <c r="B354" s="55">
        <f t="shared" si="19"/>
        <v>18</v>
      </c>
      <c r="C354" s="102" t="s">
        <v>459</v>
      </c>
      <c r="D354" s="66" t="s">
        <v>153</v>
      </c>
      <c r="E354" s="67">
        <v>600</v>
      </c>
      <c r="F354" s="68">
        <v>600</v>
      </c>
      <c r="G354" s="68">
        <v>600</v>
      </c>
      <c r="H354" s="68">
        <v>600</v>
      </c>
      <c r="I354" s="68">
        <v>0</v>
      </c>
      <c r="J354" s="61" t="s">
        <v>29</v>
      </c>
      <c r="K354" s="62" t="s">
        <v>248</v>
      </c>
      <c r="L354" s="57" t="s">
        <v>57</v>
      </c>
    </row>
    <row r="355" spans="1:12" ht="69" x14ac:dyDescent="0.25">
      <c r="A355" s="1">
        <v>7</v>
      </c>
      <c r="B355" s="55">
        <f t="shared" si="19"/>
        <v>19</v>
      </c>
      <c r="C355" s="65" t="s">
        <v>460</v>
      </c>
      <c r="D355" s="66" t="s">
        <v>153</v>
      </c>
      <c r="E355" s="67">
        <v>875</v>
      </c>
      <c r="F355" s="68">
        <v>875</v>
      </c>
      <c r="G355" s="68">
        <v>875</v>
      </c>
      <c r="H355" s="68">
        <v>875</v>
      </c>
      <c r="I355" s="68">
        <v>0</v>
      </c>
      <c r="J355" s="61" t="s">
        <v>29</v>
      </c>
      <c r="K355" s="62" t="s">
        <v>461</v>
      </c>
      <c r="L355" s="57" t="s">
        <v>57</v>
      </c>
    </row>
    <row r="356" spans="1:12" ht="69" x14ac:dyDescent="0.25">
      <c r="A356" s="1">
        <v>7</v>
      </c>
      <c r="B356" s="55">
        <f t="shared" si="19"/>
        <v>20</v>
      </c>
      <c r="C356" s="65" t="s">
        <v>462</v>
      </c>
      <c r="D356" s="66" t="s">
        <v>153</v>
      </c>
      <c r="E356" s="67">
        <v>375.95800000000003</v>
      </c>
      <c r="F356" s="68">
        <v>375.95800000000003</v>
      </c>
      <c r="G356" s="68">
        <v>375.95800000000003</v>
      </c>
      <c r="H356" s="68">
        <v>375.95800000000003</v>
      </c>
      <c r="I356" s="68">
        <v>0</v>
      </c>
      <c r="J356" s="61" t="s">
        <v>29</v>
      </c>
      <c r="K356" s="62" t="s">
        <v>463</v>
      </c>
      <c r="L356" s="57" t="s">
        <v>57</v>
      </c>
    </row>
    <row r="357" spans="1:12" ht="86.25" x14ac:dyDescent="0.25">
      <c r="A357" s="1">
        <v>7</v>
      </c>
      <c r="B357" s="55">
        <f t="shared" si="19"/>
        <v>21</v>
      </c>
      <c r="C357" s="65" t="s">
        <v>464</v>
      </c>
      <c r="D357" s="66" t="s">
        <v>153</v>
      </c>
      <c r="E357" s="67">
        <v>365.14400000000001</v>
      </c>
      <c r="F357" s="68">
        <v>365.14400000000001</v>
      </c>
      <c r="G357" s="68">
        <v>365.14400000000001</v>
      </c>
      <c r="H357" s="68">
        <v>365.14400000000001</v>
      </c>
      <c r="I357" s="68">
        <v>0</v>
      </c>
      <c r="J357" s="61" t="s">
        <v>29</v>
      </c>
      <c r="K357" s="62" t="s">
        <v>465</v>
      </c>
      <c r="L357" s="57" t="s">
        <v>57</v>
      </c>
    </row>
    <row r="358" spans="1:12" ht="69" x14ac:dyDescent="0.25">
      <c r="A358" s="1">
        <v>7</v>
      </c>
      <c r="B358" s="55">
        <f t="shared" si="19"/>
        <v>22</v>
      </c>
      <c r="C358" s="65" t="s">
        <v>466</v>
      </c>
      <c r="D358" s="66" t="s">
        <v>28</v>
      </c>
      <c r="E358" s="67">
        <v>882</v>
      </c>
      <c r="F358" s="68">
        <v>882</v>
      </c>
      <c r="G358" s="68">
        <v>882</v>
      </c>
      <c r="H358" s="68">
        <v>882</v>
      </c>
      <c r="I358" s="68">
        <v>0</v>
      </c>
      <c r="J358" s="61" t="s">
        <v>29</v>
      </c>
      <c r="K358" s="62" t="s">
        <v>467</v>
      </c>
      <c r="L358" s="57" t="s">
        <v>57</v>
      </c>
    </row>
    <row r="359" spans="1:12" ht="69" x14ac:dyDescent="0.25">
      <c r="A359" s="1">
        <v>7</v>
      </c>
      <c r="B359" s="55">
        <f t="shared" si="19"/>
        <v>23</v>
      </c>
      <c r="C359" s="65" t="s">
        <v>468</v>
      </c>
      <c r="D359" s="66" t="s">
        <v>69</v>
      </c>
      <c r="E359" s="67">
        <v>652.43600000000004</v>
      </c>
      <c r="F359" s="68">
        <v>652.43600000000004</v>
      </c>
      <c r="G359" s="68">
        <v>652.43600000000004</v>
      </c>
      <c r="H359" s="68">
        <v>652.43299999999999</v>
      </c>
      <c r="I359" s="68">
        <v>0</v>
      </c>
      <c r="J359" s="61" t="s">
        <v>29</v>
      </c>
      <c r="K359" s="62" t="s">
        <v>250</v>
      </c>
      <c r="L359" s="57" t="s">
        <v>57</v>
      </c>
    </row>
    <row r="360" spans="1:12" ht="51.75" x14ac:dyDescent="0.25">
      <c r="A360" s="1">
        <v>7</v>
      </c>
      <c r="B360" s="55">
        <f t="shared" si="19"/>
        <v>24</v>
      </c>
      <c r="C360" s="65" t="s">
        <v>469</v>
      </c>
      <c r="D360" s="66" t="s">
        <v>153</v>
      </c>
      <c r="E360" s="67">
        <v>127.401</v>
      </c>
      <c r="F360" s="68">
        <v>127.401</v>
      </c>
      <c r="G360" s="68">
        <v>127.401</v>
      </c>
      <c r="H360" s="68">
        <v>105.18300000000001</v>
      </c>
      <c r="I360" s="68">
        <v>0</v>
      </c>
      <c r="J360" s="61" t="s">
        <v>29</v>
      </c>
      <c r="K360" s="62" t="s">
        <v>470</v>
      </c>
      <c r="L360" s="57" t="s">
        <v>126</v>
      </c>
    </row>
    <row r="361" spans="1:12" ht="86.25" x14ac:dyDescent="0.25">
      <c r="A361" s="1">
        <v>7</v>
      </c>
      <c r="B361" s="55">
        <f t="shared" si="19"/>
        <v>25</v>
      </c>
      <c r="C361" s="65" t="s">
        <v>471</v>
      </c>
      <c r="D361" s="66" t="s">
        <v>153</v>
      </c>
      <c r="E361" s="67">
        <v>771.74699999999996</v>
      </c>
      <c r="F361" s="68">
        <v>771.74699999999996</v>
      </c>
      <c r="G361" s="68">
        <v>771.74699999999996</v>
      </c>
      <c r="H361" s="68">
        <v>645.36500000000001</v>
      </c>
      <c r="I361" s="68">
        <v>0</v>
      </c>
      <c r="J361" s="61" t="s">
        <v>45</v>
      </c>
      <c r="K361" s="62"/>
      <c r="L361" s="57"/>
    </row>
    <row r="362" spans="1:12" ht="69" x14ac:dyDescent="0.25">
      <c r="A362" s="1">
        <v>7</v>
      </c>
      <c r="B362" s="55">
        <f t="shared" si="19"/>
        <v>26</v>
      </c>
      <c r="C362" s="65" t="s">
        <v>472</v>
      </c>
      <c r="D362" s="66" t="s">
        <v>153</v>
      </c>
      <c r="E362" s="67">
        <v>898.178</v>
      </c>
      <c r="F362" s="68">
        <v>898.178</v>
      </c>
      <c r="G362" s="68">
        <v>898.178</v>
      </c>
      <c r="H362" s="68">
        <v>898.178</v>
      </c>
      <c r="I362" s="68">
        <v>0</v>
      </c>
      <c r="J362" s="61" t="s">
        <v>29</v>
      </c>
      <c r="K362" s="62" t="s">
        <v>30</v>
      </c>
      <c r="L362" s="57" t="s">
        <v>57</v>
      </c>
    </row>
    <row r="363" spans="1:12" ht="86.25" x14ac:dyDescent="0.25">
      <c r="A363" s="1">
        <v>7</v>
      </c>
      <c r="B363" s="55">
        <f t="shared" si="19"/>
        <v>27</v>
      </c>
      <c r="C363" s="97" t="s">
        <v>473</v>
      </c>
      <c r="D363" s="66" t="s">
        <v>153</v>
      </c>
      <c r="E363" s="67">
        <v>800</v>
      </c>
      <c r="F363" s="68">
        <v>800</v>
      </c>
      <c r="G363" s="68">
        <v>800</v>
      </c>
      <c r="H363" s="68">
        <v>508.91</v>
      </c>
      <c r="I363" s="68">
        <v>0</v>
      </c>
      <c r="J363" s="61" t="s">
        <v>29</v>
      </c>
      <c r="K363" s="62" t="s">
        <v>474</v>
      </c>
      <c r="L363" s="57" t="s">
        <v>57</v>
      </c>
    </row>
    <row r="364" spans="1:12" ht="51.75" x14ac:dyDescent="0.25">
      <c r="A364" s="1">
        <v>7</v>
      </c>
      <c r="B364" s="55">
        <f t="shared" si="19"/>
        <v>28</v>
      </c>
      <c r="C364" s="65" t="s">
        <v>475</v>
      </c>
      <c r="D364" s="66" t="s">
        <v>153</v>
      </c>
      <c r="E364" s="67">
        <v>923.17399999999998</v>
      </c>
      <c r="F364" s="68">
        <v>923.17399999999998</v>
      </c>
      <c r="G364" s="68">
        <v>923.17399999999998</v>
      </c>
      <c r="H364" s="68">
        <v>923.17399999999998</v>
      </c>
      <c r="I364" s="68">
        <v>0</v>
      </c>
      <c r="J364" s="61" t="s">
        <v>110</v>
      </c>
      <c r="K364" s="62"/>
      <c r="L364" s="57" t="s">
        <v>126</v>
      </c>
    </row>
    <row r="365" spans="1:12" ht="69" x14ac:dyDescent="0.25">
      <c r="A365" s="1">
        <v>7</v>
      </c>
      <c r="B365" s="55">
        <f t="shared" si="19"/>
        <v>29</v>
      </c>
      <c r="C365" s="97" t="s">
        <v>476</v>
      </c>
      <c r="D365" s="66" t="s">
        <v>153</v>
      </c>
      <c r="E365" s="67">
        <v>2823.2629999999999</v>
      </c>
      <c r="F365" s="68">
        <v>2823.2629999999999</v>
      </c>
      <c r="G365" s="68">
        <v>2823.2629999999999</v>
      </c>
      <c r="H365" s="68">
        <v>2762.0549999999998</v>
      </c>
      <c r="I365" s="68">
        <v>0</v>
      </c>
      <c r="J365" s="61" t="s">
        <v>29</v>
      </c>
      <c r="K365" s="62" t="s">
        <v>477</v>
      </c>
      <c r="L365" s="57" t="s">
        <v>57</v>
      </c>
    </row>
    <row r="366" spans="1:12" ht="51.75" x14ac:dyDescent="0.25">
      <c r="A366" s="1">
        <v>7</v>
      </c>
      <c r="B366" s="64">
        <f t="shared" si="19"/>
        <v>30</v>
      </c>
      <c r="C366" s="65" t="s">
        <v>478</v>
      </c>
      <c r="D366" s="66" t="s">
        <v>37</v>
      </c>
      <c r="E366" s="67">
        <f>2099.587-978.318</f>
        <v>1121.269</v>
      </c>
      <c r="F366" s="68">
        <v>1121.269</v>
      </c>
      <c r="G366" s="68">
        <v>1121.269</v>
      </c>
      <c r="H366" s="68">
        <v>1121.269</v>
      </c>
      <c r="I366" s="68">
        <v>0</v>
      </c>
      <c r="J366" s="61" t="s">
        <v>45</v>
      </c>
      <c r="K366" s="62"/>
      <c r="L366" s="57"/>
    </row>
    <row r="367" spans="1:12" ht="86.25" x14ac:dyDescent="0.25">
      <c r="A367" s="1">
        <v>7</v>
      </c>
      <c r="B367" s="55">
        <f t="shared" si="19"/>
        <v>31</v>
      </c>
      <c r="C367" s="65" t="s">
        <v>479</v>
      </c>
      <c r="D367" s="66" t="s">
        <v>153</v>
      </c>
      <c r="E367" s="67">
        <v>200</v>
      </c>
      <c r="F367" s="68">
        <v>200</v>
      </c>
      <c r="G367" s="68">
        <v>200</v>
      </c>
      <c r="H367" s="68">
        <v>200</v>
      </c>
      <c r="I367" s="68">
        <v>0</v>
      </c>
      <c r="J367" s="61" t="s">
        <v>29</v>
      </c>
      <c r="K367" s="62" t="s">
        <v>480</v>
      </c>
      <c r="L367" s="57" t="s">
        <v>57</v>
      </c>
    </row>
    <row r="368" spans="1:12" ht="103.5" x14ac:dyDescent="0.25">
      <c r="A368" s="1">
        <v>7</v>
      </c>
      <c r="B368" s="64">
        <f t="shared" si="19"/>
        <v>32</v>
      </c>
      <c r="C368" s="65" t="s">
        <v>481</v>
      </c>
      <c r="D368" s="66" t="s">
        <v>59</v>
      </c>
      <c r="E368" s="67">
        <f>9335.1-5888.7</f>
        <v>3446.4000000000005</v>
      </c>
      <c r="F368" s="68">
        <v>3446.4</v>
      </c>
      <c r="G368" s="68">
        <v>3446.4</v>
      </c>
      <c r="H368" s="68">
        <v>1042.6310000000001</v>
      </c>
      <c r="I368" s="68">
        <v>0</v>
      </c>
      <c r="J368" s="61" t="s">
        <v>45</v>
      </c>
      <c r="K368" s="62"/>
      <c r="L368" s="57"/>
    </row>
    <row r="369" spans="1:12" ht="69" x14ac:dyDescent="0.25">
      <c r="A369" s="1">
        <v>7</v>
      </c>
      <c r="B369" s="55">
        <f t="shared" si="19"/>
        <v>33</v>
      </c>
      <c r="C369" s="65" t="s">
        <v>482</v>
      </c>
      <c r="D369" s="66">
        <v>2015</v>
      </c>
      <c r="E369" s="67">
        <v>17806.562999999998</v>
      </c>
      <c r="F369" s="68">
        <v>17806.562999999998</v>
      </c>
      <c r="G369" s="68">
        <v>17806.562999999998</v>
      </c>
      <c r="H369" s="68">
        <v>1440.6279999999999</v>
      </c>
      <c r="I369" s="68">
        <v>0</v>
      </c>
      <c r="J369" s="61" t="s">
        <v>483</v>
      </c>
      <c r="K369" s="62"/>
      <c r="L369" s="57"/>
    </row>
    <row r="370" spans="1:12" ht="69" x14ac:dyDescent="0.25">
      <c r="A370" s="1">
        <v>7</v>
      </c>
      <c r="B370" s="55">
        <f t="shared" si="19"/>
        <v>34</v>
      </c>
      <c r="C370" s="65" t="s">
        <v>484</v>
      </c>
      <c r="D370" s="66" t="s">
        <v>59</v>
      </c>
      <c r="E370" s="67">
        <v>937.26</v>
      </c>
      <c r="F370" s="68">
        <v>937.26</v>
      </c>
      <c r="G370" s="68">
        <v>937.26</v>
      </c>
      <c r="H370" s="68">
        <v>923.85900000000004</v>
      </c>
      <c r="I370" s="68">
        <v>0</v>
      </c>
      <c r="J370" s="61" t="s">
        <v>45</v>
      </c>
      <c r="K370" s="62"/>
      <c r="L370" s="57"/>
    </row>
    <row r="371" spans="1:12" ht="51.75" x14ac:dyDescent="0.25">
      <c r="A371" s="1">
        <v>7</v>
      </c>
      <c r="B371" s="55">
        <f t="shared" si="19"/>
        <v>35</v>
      </c>
      <c r="C371" s="65" t="s">
        <v>485</v>
      </c>
      <c r="D371" s="66">
        <v>2015</v>
      </c>
      <c r="E371" s="67">
        <v>3749.9140000000002</v>
      </c>
      <c r="F371" s="68">
        <v>3749.9140000000002</v>
      </c>
      <c r="G371" s="68">
        <v>3749.9140000000002</v>
      </c>
      <c r="H371" s="68">
        <v>2866.9259999999999</v>
      </c>
      <c r="I371" s="68">
        <v>0</v>
      </c>
      <c r="J371" s="61" t="s">
        <v>45</v>
      </c>
      <c r="K371" s="62" t="s">
        <v>486</v>
      </c>
      <c r="L371" s="115"/>
    </row>
    <row r="372" spans="1:12" ht="69" x14ac:dyDescent="0.25">
      <c r="A372" s="1">
        <v>7</v>
      </c>
      <c r="B372" s="55">
        <f t="shared" si="19"/>
        <v>36</v>
      </c>
      <c r="C372" s="65" t="s">
        <v>487</v>
      </c>
      <c r="D372" s="66" t="s">
        <v>69</v>
      </c>
      <c r="E372" s="67">
        <v>1600</v>
      </c>
      <c r="F372" s="68">
        <v>1600</v>
      </c>
      <c r="G372" s="68">
        <v>1600</v>
      </c>
      <c r="H372" s="68">
        <v>1600</v>
      </c>
      <c r="I372" s="68">
        <v>0</v>
      </c>
      <c r="J372" s="61" t="s">
        <v>29</v>
      </c>
      <c r="K372" s="62" t="s">
        <v>30</v>
      </c>
      <c r="L372" s="57" t="s">
        <v>57</v>
      </c>
    </row>
    <row r="373" spans="1:12" ht="69" x14ac:dyDescent="0.25">
      <c r="A373" s="1">
        <v>7</v>
      </c>
      <c r="B373" s="55">
        <f t="shared" si="19"/>
        <v>37</v>
      </c>
      <c r="C373" s="65" t="s">
        <v>488</v>
      </c>
      <c r="D373" s="66">
        <v>2015</v>
      </c>
      <c r="E373" s="67">
        <v>2850</v>
      </c>
      <c r="F373" s="68">
        <v>2850</v>
      </c>
      <c r="G373" s="68">
        <v>2850</v>
      </c>
      <c r="H373" s="68">
        <v>1856.0350000000001</v>
      </c>
      <c r="I373" s="68">
        <v>0</v>
      </c>
      <c r="J373" s="61" t="s">
        <v>45</v>
      </c>
      <c r="K373" s="62"/>
      <c r="L373" s="57"/>
    </row>
    <row r="374" spans="1:12" ht="51.75" x14ac:dyDescent="0.25">
      <c r="A374" s="1">
        <v>7</v>
      </c>
      <c r="B374" s="64">
        <f t="shared" si="19"/>
        <v>38</v>
      </c>
      <c r="C374" s="65" t="s">
        <v>489</v>
      </c>
      <c r="D374" s="66" t="s">
        <v>37</v>
      </c>
      <c r="E374" s="67">
        <f>5259.583+2652.369</f>
        <v>7911.9519999999993</v>
      </c>
      <c r="F374" s="68">
        <v>7911.9520000000002</v>
      </c>
      <c r="G374" s="68">
        <v>7911.9520000000002</v>
      </c>
      <c r="H374" s="68">
        <v>5259.5829999999996</v>
      </c>
      <c r="I374" s="68">
        <v>0</v>
      </c>
      <c r="J374" s="61" t="s">
        <v>45</v>
      </c>
      <c r="K374" s="62"/>
      <c r="L374" s="57"/>
    </row>
    <row r="375" spans="1:12" ht="69" x14ac:dyDescent="0.25">
      <c r="A375" s="1">
        <v>7</v>
      </c>
      <c r="B375" s="55">
        <f t="shared" si="19"/>
        <v>39</v>
      </c>
      <c r="C375" s="65" t="s">
        <v>490</v>
      </c>
      <c r="D375" s="66">
        <v>2015</v>
      </c>
      <c r="E375" s="67">
        <v>1515.8109999999999</v>
      </c>
      <c r="F375" s="68">
        <v>1515.8109999999999</v>
      </c>
      <c r="G375" s="68">
        <v>1515.8109999999999</v>
      </c>
      <c r="H375" s="68">
        <v>1421.9</v>
      </c>
      <c r="I375" s="68">
        <v>0</v>
      </c>
      <c r="J375" s="61" t="s">
        <v>45</v>
      </c>
      <c r="K375" s="62"/>
      <c r="L375" s="57"/>
    </row>
    <row r="376" spans="1:12" ht="103.5" x14ac:dyDescent="0.25">
      <c r="A376" s="1">
        <v>7</v>
      </c>
      <c r="B376" s="55">
        <f t="shared" si="19"/>
        <v>40</v>
      </c>
      <c r="C376" s="65" t="s">
        <v>491</v>
      </c>
      <c r="D376" s="66">
        <v>2015</v>
      </c>
      <c r="E376" s="67">
        <v>3378.7429999999999</v>
      </c>
      <c r="F376" s="68">
        <v>3378.7429999999999</v>
      </c>
      <c r="G376" s="68">
        <v>3378.7429999999999</v>
      </c>
      <c r="H376" s="68">
        <v>3378.7429999999999</v>
      </c>
      <c r="I376" s="68">
        <v>0</v>
      </c>
      <c r="J376" s="61" t="s">
        <v>110</v>
      </c>
      <c r="K376" s="62"/>
      <c r="L376" s="115" t="s">
        <v>492</v>
      </c>
    </row>
    <row r="377" spans="1:12" ht="69" x14ac:dyDescent="0.25">
      <c r="A377" s="1">
        <v>7</v>
      </c>
      <c r="B377" s="64">
        <f t="shared" si="19"/>
        <v>41</v>
      </c>
      <c r="C377" s="65" t="s">
        <v>493</v>
      </c>
      <c r="D377" s="66">
        <v>2015</v>
      </c>
      <c r="E377" s="67">
        <f>10046.684-1500</f>
        <v>8546.6839999999993</v>
      </c>
      <c r="F377" s="68">
        <v>8546.6839999999993</v>
      </c>
      <c r="G377" s="68">
        <v>8546.6839999999993</v>
      </c>
      <c r="H377" s="68">
        <v>3021.0819999999999</v>
      </c>
      <c r="I377" s="68">
        <v>0</v>
      </c>
      <c r="J377" s="61" t="s">
        <v>45</v>
      </c>
      <c r="K377" s="62"/>
      <c r="L377" s="57"/>
    </row>
    <row r="378" spans="1:12" ht="86.25" x14ac:dyDescent="0.25">
      <c r="A378" s="1">
        <v>7</v>
      </c>
      <c r="B378" s="55">
        <f t="shared" si="19"/>
        <v>42</v>
      </c>
      <c r="C378" s="97" t="s">
        <v>494</v>
      </c>
      <c r="D378" s="66">
        <v>2015</v>
      </c>
      <c r="E378" s="67">
        <v>1287.27</v>
      </c>
      <c r="F378" s="68">
        <v>1287.27</v>
      </c>
      <c r="G378" s="68">
        <v>1287.27</v>
      </c>
      <c r="H378" s="68">
        <v>1287.27</v>
      </c>
      <c r="I378" s="68">
        <v>0</v>
      </c>
      <c r="J378" s="61" t="s">
        <v>29</v>
      </c>
      <c r="K378" s="62" t="s">
        <v>495</v>
      </c>
      <c r="L378" s="57" t="s">
        <v>57</v>
      </c>
    </row>
    <row r="379" spans="1:12" ht="69" x14ac:dyDescent="0.25">
      <c r="A379" s="1">
        <v>7</v>
      </c>
      <c r="B379" s="55">
        <f t="shared" si="19"/>
        <v>43</v>
      </c>
      <c r="C379" s="65" t="s">
        <v>496</v>
      </c>
      <c r="D379" s="66">
        <v>2015</v>
      </c>
      <c r="E379" s="67">
        <v>84.968000000000004</v>
      </c>
      <c r="F379" s="68">
        <v>84.968000000000004</v>
      </c>
      <c r="G379" s="68">
        <v>84.968000000000004</v>
      </c>
      <c r="H379" s="68">
        <v>84.968000000000004</v>
      </c>
      <c r="I379" s="68">
        <v>0</v>
      </c>
      <c r="J379" s="61" t="s">
        <v>45</v>
      </c>
      <c r="K379" s="62"/>
      <c r="L379" s="57" t="s">
        <v>492</v>
      </c>
    </row>
    <row r="380" spans="1:12" ht="103.5" x14ac:dyDescent="0.25">
      <c r="A380" s="1">
        <v>7</v>
      </c>
      <c r="B380" s="55">
        <f t="shared" si="19"/>
        <v>44</v>
      </c>
      <c r="C380" s="65" t="s">
        <v>497</v>
      </c>
      <c r="D380" s="66">
        <v>2015</v>
      </c>
      <c r="E380" s="67">
        <v>640</v>
      </c>
      <c r="F380" s="68">
        <v>640</v>
      </c>
      <c r="G380" s="68">
        <v>640</v>
      </c>
      <c r="H380" s="68">
        <v>640</v>
      </c>
      <c r="I380" s="68">
        <v>0</v>
      </c>
      <c r="J380" s="61" t="s">
        <v>110</v>
      </c>
      <c r="K380" s="62"/>
      <c r="L380" s="115" t="s">
        <v>126</v>
      </c>
    </row>
    <row r="381" spans="1:12" ht="51.75" x14ac:dyDescent="0.25">
      <c r="A381" s="1">
        <v>7</v>
      </c>
      <c r="B381" s="55">
        <f t="shared" si="19"/>
        <v>45</v>
      </c>
      <c r="C381" s="65" t="s">
        <v>498</v>
      </c>
      <c r="D381" s="66">
        <v>2015</v>
      </c>
      <c r="E381" s="67">
        <v>175.52600000000001</v>
      </c>
      <c r="F381" s="68">
        <v>175.52600000000001</v>
      </c>
      <c r="G381" s="68">
        <v>175.52600000000001</v>
      </c>
      <c r="H381" s="68">
        <v>175.52600000000001</v>
      </c>
      <c r="I381" s="68">
        <v>0</v>
      </c>
      <c r="J381" s="61" t="s">
        <v>110</v>
      </c>
      <c r="K381" s="62"/>
      <c r="L381" s="115" t="s">
        <v>126</v>
      </c>
    </row>
    <row r="382" spans="1:12" ht="51.75" x14ac:dyDescent="0.25">
      <c r="A382" s="1">
        <v>7</v>
      </c>
      <c r="B382" s="55">
        <f t="shared" si="19"/>
        <v>46</v>
      </c>
      <c r="C382" s="65" t="s">
        <v>499</v>
      </c>
      <c r="D382" s="66">
        <v>2015</v>
      </c>
      <c r="E382" s="67">
        <v>364.47699999999998</v>
      </c>
      <c r="F382" s="68">
        <v>364.47699999999998</v>
      </c>
      <c r="G382" s="68">
        <v>364.47699999999998</v>
      </c>
      <c r="H382" s="68">
        <v>364.012</v>
      </c>
      <c r="I382" s="68">
        <v>0</v>
      </c>
      <c r="J382" s="61" t="s">
        <v>45</v>
      </c>
      <c r="K382" s="62"/>
      <c r="L382" s="57"/>
    </row>
    <row r="383" spans="1:12" ht="34.5" x14ac:dyDescent="0.25">
      <c r="A383" s="1">
        <v>7</v>
      </c>
      <c r="B383" s="55">
        <f t="shared" si="19"/>
        <v>47</v>
      </c>
      <c r="C383" s="65" t="s">
        <v>500</v>
      </c>
      <c r="D383" s="66">
        <v>2015</v>
      </c>
      <c r="E383" s="67">
        <v>121.568</v>
      </c>
      <c r="F383" s="68">
        <v>121.568</v>
      </c>
      <c r="G383" s="68">
        <v>121.568</v>
      </c>
      <c r="H383" s="68">
        <v>121.56399999999999</v>
      </c>
      <c r="I383" s="68">
        <v>0</v>
      </c>
      <c r="J383" s="61" t="s">
        <v>45</v>
      </c>
      <c r="K383" s="62"/>
      <c r="L383" s="57"/>
    </row>
    <row r="384" spans="1:12" ht="86.25" x14ac:dyDescent="0.25">
      <c r="A384" s="1">
        <v>7</v>
      </c>
      <c r="B384" s="55">
        <f t="shared" si="19"/>
        <v>48</v>
      </c>
      <c r="C384" s="97" t="s">
        <v>501</v>
      </c>
      <c r="D384" s="66">
        <v>2015</v>
      </c>
      <c r="E384" s="67">
        <v>5753.2129999999997</v>
      </c>
      <c r="F384" s="68">
        <v>5753.2129999999997</v>
      </c>
      <c r="G384" s="68">
        <v>5753.2129999999997</v>
      </c>
      <c r="H384" s="68">
        <v>5022.6170000000002</v>
      </c>
      <c r="I384" s="68">
        <v>0</v>
      </c>
      <c r="J384" s="61" t="s">
        <v>29</v>
      </c>
      <c r="K384" s="62"/>
      <c r="L384" s="57" t="s">
        <v>57</v>
      </c>
    </row>
    <row r="385" spans="1:12" ht="69" x14ac:dyDescent="0.25">
      <c r="A385" s="1">
        <v>7</v>
      </c>
      <c r="B385" s="55">
        <f t="shared" si="19"/>
        <v>49</v>
      </c>
      <c r="C385" s="97" t="s">
        <v>502</v>
      </c>
      <c r="D385" s="66">
        <v>2015</v>
      </c>
      <c r="E385" s="70">
        <v>945.44100000000003</v>
      </c>
      <c r="F385" s="69">
        <v>945.44100000000003</v>
      </c>
      <c r="G385" s="69">
        <v>945.44100000000003</v>
      </c>
      <c r="H385" s="69">
        <v>945.44100000000003</v>
      </c>
      <c r="I385" s="69">
        <v>0</v>
      </c>
      <c r="J385" s="61" t="s">
        <v>29</v>
      </c>
      <c r="K385" s="62" t="s">
        <v>30</v>
      </c>
      <c r="L385" s="57" t="s">
        <v>57</v>
      </c>
    </row>
    <row r="386" spans="1:12" ht="69" x14ac:dyDescent="0.25">
      <c r="A386" s="1">
        <v>7</v>
      </c>
      <c r="B386" s="55">
        <f t="shared" si="19"/>
        <v>50</v>
      </c>
      <c r="C386" s="65" t="s">
        <v>503</v>
      </c>
      <c r="D386" s="66">
        <v>2015</v>
      </c>
      <c r="E386" s="67">
        <v>868.62599999999998</v>
      </c>
      <c r="F386" s="68">
        <v>868.62599999999998</v>
      </c>
      <c r="G386" s="68">
        <v>868.62599999999998</v>
      </c>
      <c r="H386" s="68">
        <v>868.62599999999998</v>
      </c>
      <c r="I386" s="68">
        <v>0</v>
      </c>
      <c r="J386" s="96" t="s">
        <v>110</v>
      </c>
      <c r="K386" s="62"/>
      <c r="L386" s="57" t="s">
        <v>126</v>
      </c>
    </row>
    <row r="387" spans="1:12" ht="120.75" x14ac:dyDescent="0.25">
      <c r="A387" s="1">
        <v>7</v>
      </c>
      <c r="B387" s="55">
        <f t="shared" si="19"/>
        <v>51</v>
      </c>
      <c r="C387" s="97" t="s">
        <v>504</v>
      </c>
      <c r="D387" s="66" t="s">
        <v>69</v>
      </c>
      <c r="E387" s="67">
        <v>700</v>
      </c>
      <c r="F387" s="68">
        <v>700</v>
      </c>
      <c r="G387" s="68">
        <v>700</v>
      </c>
      <c r="H387" s="68">
        <v>617.79399999999998</v>
      </c>
      <c r="I387" s="68">
        <v>0</v>
      </c>
      <c r="J387" s="61" t="s">
        <v>29</v>
      </c>
      <c r="K387" s="62" t="s">
        <v>505</v>
      </c>
      <c r="L387" s="57" t="s">
        <v>57</v>
      </c>
    </row>
    <row r="388" spans="1:12" ht="51.75" x14ac:dyDescent="0.25">
      <c r="A388" s="1">
        <v>7</v>
      </c>
      <c r="B388" s="55">
        <f t="shared" si="19"/>
        <v>52</v>
      </c>
      <c r="C388" s="65" t="s">
        <v>506</v>
      </c>
      <c r="D388" s="66">
        <v>2015</v>
      </c>
      <c r="E388" s="70">
        <v>1025.508</v>
      </c>
      <c r="F388" s="69">
        <v>1025.508</v>
      </c>
      <c r="G388" s="69">
        <v>1025.508</v>
      </c>
      <c r="H388" s="69">
        <v>1025.508</v>
      </c>
      <c r="I388" s="69">
        <v>0</v>
      </c>
      <c r="J388" s="61" t="s">
        <v>29</v>
      </c>
      <c r="K388" s="62"/>
      <c r="L388" s="57" t="s">
        <v>126</v>
      </c>
    </row>
    <row r="389" spans="1:12" ht="103.5" x14ac:dyDescent="0.25">
      <c r="A389" s="1">
        <v>7</v>
      </c>
      <c r="B389" s="55">
        <f t="shared" si="19"/>
        <v>53</v>
      </c>
      <c r="C389" s="97" t="s">
        <v>507</v>
      </c>
      <c r="D389" s="66">
        <v>2015</v>
      </c>
      <c r="E389" s="70">
        <v>194.85</v>
      </c>
      <c r="F389" s="69">
        <v>194.85</v>
      </c>
      <c r="G389" s="69">
        <v>194.85</v>
      </c>
      <c r="H389" s="69">
        <v>174.52799999999999</v>
      </c>
      <c r="I389" s="69">
        <v>0</v>
      </c>
      <c r="J389" s="61" t="s">
        <v>29</v>
      </c>
      <c r="K389" s="62" t="s">
        <v>508</v>
      </c>
      <c r="L389" s="57" t="s">
        <v>57</v>
      </c>
    </row>
    <row r="390" spans="1:12" ht="51.75" x14ac:dyDescent="0.25">
      <c r="A390" s="1">
        <v>7</v>
      </c>
      <c r="B390" s="55">
        <f t="shared" si="19"/>
        <v>54</v>
      </c>
      <c r="C390" s="97" t="s">
        <v>509</v>
      </c>
      <c r="D390" s="66">
        <v>2015</v>
      </c>
      <c r="E390" s="67">
        <v>543.279</v>
      </c>
      <c r="F390" s="68">
        <v>543.279</v>
      </c>
      <c r="G390" s="68">
        <v>543.279</v>
      </c>
      <c r="H390" s="68">
        <v>529.85699999999997</v>
      </c>
      <c r="I390" s="68">
        <v>0</v>
      </c>
      <c r="J390" s="61" t="s">
        <v>29</v>
      </c>
      <c r="K390" s="62"/>
      <c r="L390" s="57" t="s">
        <v>57</v>
      </c>
    </row>
    <row r="391" spans="1:12" ht="51.75" x14ac:dyDescent="0.25">
      <c r="A391" s="1">
        <v>7</v>
      </c>
      <c r="B391" s="55">
        <f t="shared" si="19"/>
        <v>55</v>
      </c>
      <c r="C391" s="97" t="s">
        <v>510</v>
      </c>
      <c r="D391" s="66">
        <v>2015</v>
      </c>
      <c r="E391" s="67">
        <v>1461.204</v>
      </c>
      <c r="F391" s="68">
        <v>1461.204</v>
      </c>
      <c r="G391" s="68">
        <v>1461.204</v>
      </c>
      <c r="H391" s="68">
        <v>1417.223</v>
      </c>
      <c r="I391" s="68">
        <v>0</v>
      </c>
      <c r="J391" s="61" t="s">
        <v>29</v>
      </c>
      <c r="K391" s="62"/>
      <c r="L391" s="57" t="s">
        <v>57</v>
      </c>
    </row>
    <row r="392" spans="1:12" ht="69" x14ac:dyDescent="0.25">
      <c r="A392" s="1">
        <v>7</v>
      </c>
      <c r="B392" s="55">
        <f t="shared" si="19"/>
        <v>56</v>
      </c>
      <c r="C392" s="97" t="s">
        <v>511</v>
      </c>
      <c r="D392" s="66">
        <v>2015</v>
      </c>
      <c r="E392" s="70">
        <v>780.298</v>
      </c>
      <c r="F392" s="69">
        <v>780.298</v>
      </c>
      <c r="G392" s="69">
        <v>780.298</v>
      </c>
      <c r="H392" s="69">
        <v>689.83500000000004</v>
      </c>
      <c r="I392" s="69">
        <v>0</v>
      </c>
      <c r="J392" s="61" t="s">
        <v>29</v>
      </c>
      <c r="K392" s="62"/>
      <c r="L392" s="57" t="s">
        <v>57</v>
      </c>
    </row>
    <row r="393" spans="1:12" ht="51.75" x14ac:dyDescent="0.25">
      <c r="A393" s="1">
        <v>7</v>
      </c>
      <c r="B393" s="55">
        <f t="shared" si="19"/>
        <v>57</v>
      </c>
      <c r="C393" s="65" t="s">
        <v>512</v>
      </c>
      <c r="D393" s="66">
        <v>2015</v>
      </c>
      <c r="E393" s="67">
        <v>960.23199999999997</v>
      </c>
      <c r="F393" s="68">
        <v>960.23199999999997</v>
      </c>
      <c r="G393" s="68">
        <v>960.23199999999997</v>
      </c>
      <c r="H393" s="68">
        <v>665.89200000000005</v>
      </c>
      <c r="I393" s="68">
        <v>0</v>
      </c>
      <c r="J393" s="61" t="s">
        <v>45</v>
      </c>
      <c r="K393" s="62" t="s">
        <v>359</v>
      </c>
      <c r="L393" s="115"/>
    </row>
    <row r="394" spans="1:12" ht="51.75" x14ac:dyDescent="0.25">
      <c r="A394" s="1">
        <v>7</v>
      </c>
      <c r="B394" s="55">
        <f t="shared" si="19"/>
        <v>58</v>
      </c>
      <c r="C394" s="65" t="s">
        <v>513</v>
      </c>
      <c r="D394" s="66">
        <v>2015</v>
      </c>
      <c r="E394" s="67">
        <v>478.18799999999999</v>
      </c>
      <c r="F394" s="68">
        <v>478.18799999999999</v>
      </c>
      <c r="G394" s="68">
        <v>478.18799999999999</v>
      </c>
      <c r="H394" s="68">
        <v>444.66800000000001</v>
      </c>
      <c r="I394" s="68">
        <v>0</v>
      </c>
      <c r="J394" s="61" t="s">
        <v>29</v>
      </c>
      <c r="K394" s="62" t="s">
        <v>514</v>
      </c>
      <c r="L394" s="115" t="s">
        <v>126</v>
      </c>
    </row>
    <row r="395" spans="1:12" ht="51.75" x14ac:dyDescent="0.25">
      <c r="A395" s="1">
        <v>7</v>
      </c>
      <c r="B395" s="55">
        <f t="shared" si="19"/>
        <v>59</v>
      </c>
      <c r="C395" s="65" t="s">
        <v>515</v>
      </c>
      <c r="D395" s="66">
        <v>2015</v>
      </c>
      <c r="E395" s="67">
        <v>734.04899999999998</v>
      </c>
      <c r="F395" s="68">
        <v>734.04899999999998</v>
      </c>
      <c r="G395" s="68">
        <v>734.04899999999998</v>
      </c>
      <c r="H395" s="68">
        <v>266.637</v>
      </c>
      <c r="I395" s="68">
        <v>0</v>
      </c>
      <c r="J395" s="61" t="s">
        <v>45</v>
      </c>
      <c r="K395" s="62" t="s">
        <v>516</v>
      </c>
      <c r="L395" s="115"/>
    </row>
    <row r="396" spans="1:12" ht="51.75" x14ac:dyDescent="0.25">
      <c r="A396" s="1">
        <v>7</v>
      </c>
      <c r="B396" s="55">
        <f t="shared" si="19"/>
        <v>60</v>
      </c>
      <c r="C396" s="65" t="s">
        <v>517</v>
      </c>
      <c r="D396" s="66">
        <v>2015</v>
      </c>
      <c r="E396" s="67">
        <v>314.92899999999997</v>
      </c>
      <c r="F396" s="68">
        <v>314.92899999999997</v>
      </c>
      <c r="G396" s="68">
        <v>314.92899999999997</v>
      </c>
      <c r="H396" s="68">
        <v>0</v>
      </c>
      <c r="I396" s="68">
        <v>0</v>
      </c>
      <c r="J396" s="61" t="s">
        <v>45</v>
      </c>
      <c r="K396" s="62"/>
      <c r="L396" s="57"/>
    </row>
    <row r="397" spans="1:12" ht="51.75" x14ac:dyDescent="0.25">
      <c r="A397" s="1">
        <v>7</v>
      </c>
      <c r="B397" s="55">
        <f t="shared" si="19"/>
        <v>61</v>
      </c>
      <c r="C397" s="65" t="s">
        <v>518</v>
      </c>
      <c r="D397" s="66">
        <v>2015</v>
      </c>
      <c r="E397" s="67">
        <v>829.22500000000002</v>
      </c>
      <c r="F397" s="68">
        <v>829.22500000000002</v>
      </c>
      <c r="G397" s="68">
        <v>829.22500000000002</v>
      </c>
      <c r="H397" s="68">
        <v>0</v>
      </c>
      <c r="I397" s="68">
        <v>0</v>
      </c>
      <c r="J397" s="61" t="s">
        <v>45</v>
      </c>
      <c r="K397" s="62"/>
      <c r="L397" s="57"/>
    </row>
    <row r="398" spans="1:12" ht="51.75" x14ac:dyDescent="0.25">
      <c r="A398" s="1">
        <v>7</v>
      </c>
      <c r="B398" s="55">
        <f t="shared" si="19"/>
        <v>62</v>
      </c>
      <c r="C398" s="65" t="s">
        <v>519</v>
      </c>
      <c r="D398" s="66">
        <v>2015</v>
      </c>
      <c r="E398" s="67">
        <v>274.05599999999998</v>
      </c>
      <c r="F398" s="68">
        <v>274.05599999999998</v>
      </c>
      <c r="G398" s="68">
        <v>274.05599999999998</v>
      </c>
      <c r="H398" s="68">
        <v>247.10499999999999</v>
      </c>
      <c r="I398" s="68">
        <v>0</v>
      </c>
      <c r="J398" s="61" t="s">
        <v>45</v>
      </c>
      <c r="K398" s="62"/>
      <c r="L398" s="57"/>
    </row>
    <row r="399" spans="1:12" ht="69" x14ac:dyDescent="0.25">
      <c r="A399" s="1">
        <v>7</v>
      </c>
      <c r="B399" s="55">
        <f t="shared" si="19"/>
        <v>63</v>
      </c>
      <c r="C399" s="65" t="s">
        <v>520</v>
      </c>
      <c r="D399" s="66">
        <v>2015</v>
      </c>
      <c r="E399" s="67">
        <v>243.922</v>
      </c>
      <c r="F399" s="68">
        <v>243.922</v>
      </c>
      <c r="G399" s="68">
        <v>243.922</v>
      </c>
      <c r="H399" s="68">
        <v>243.922</v>
      </c>
      <c r="I399" s="68">
        <v>0</v>
      </c>
      <c r="J399" s="61" t="s">
        <v>110</v>
      </c>
      <c r="K399" s="62"/>
      <c r="L399" s="115" t="s">
        <v>126</v>
      </c>
    </row>
    <row r="400" spans="1:12" ht="69" x14ac:dyDescent="0.25">
      <c r="A400" s="1">
        <v>7</v>
      </c>
      <c r="B400" s="55">
        <f>B399+1</f>
        <v>64</v>
      </c>
      <c r="C400" s="65" t="s">
        <v>521</v>
      </c>
      <c r="D400" s="66">
        <v>2015</v>
      </c>
      <c r="E400" s="70">
        <v>856.87900000000002</v>
      </c>
      <c r="F400" s="69">
        <v>856.87900000000002</v>
      </c>
      <c r="G400" s="69">
        <v>856.87900000000002</v>
      </c>
      <c r="H400" s="69">
        <v>856.87099999999998</v>
      </c>
      <c r="I400" s="69">
        <v>0</v>
      </c>
      <c r="J400" s="61" t="s">
        <v>110</v>
      </c>
      <c r="K400" s="62"/>
      <c r="L400" s="57" t="s">
        <v>126</v>
      </c>
    </row>
    <row r="401" spans="1:12" ht="69" x14ac:dyDescent="0.25">
      <c r="A401" s="1">
        <v>7</v>
      </c>
      <c r="B401" s="55">
        <f>B400+1</f>
        <v>65</v>
      </c>
      <c r="C401" s="97" t="s">
        <v>522</v>
      </c>
      <c r="D401" s="66">
        <v>2015</v>
      </c>
      <c r="E401" s="70">
        <v>1049.55</v>
      </c>
      <c r="F401" s="69">
        <v>1049.55</v>
      </c>
      <c r="G401" s="69">
        <v>1049.55</v>
      </c>
      <c r="H401" s="69">
        <v>1049.55</v>
      </c>
      <c r="I401" s="69">
        <v>0</v>
      </c>
      <c r="J401" s="96" t="s">
        <v>29</v>
      </c>
      <c r="K401" s="62" t="s">
        <v>30</v>
      </c>
      <c r="L401" s="57" t="s">
        <v>57</v>
      </c>
    </row>
    <row r="402" spans="1:12" ht="69" x14ac:dyDescent="0.25">
      <c r="A402" s="1">
        <v>7</v>
      </c>
      <c r="B402" s="55">
        <f>B401+1</f>
        <v>66</v>
      </c>
      <c r="C402" s="65" t="s">
        <v>523</v>
      </c>
      <c r="D402" s="66">
        <v>2015</v>
      </c>
      <c r="E402" s="70">
        <v>993.96699999999998</v>
      </c>
      <c r="F402" s="69">
        <v>993.96699999999998</v>
      </c>
      <c r="G402" s="69">
        <v>993.96699999999998</v>
      </c>
      <c r="H402" s="69">
        <v>0</v>
      </c>
      <c r="I402" s="69">
        <v>0</v>
      </c>
      <c r="J402" s="61" t="s">
        <v>45</v>
      </c>
      <c r="K402" s="62"/>
      <c r="L402" s="57"/>
    </row>
    <row r="403" spans="1:12" ht="51.75" x14ac:dyDescent="0.25">
      <c r="A403" s="1">
        <v>7</v>
      </c>
      <c r="B403" s="55">
        <f>B402+1</f>
        <v>67</v>
      </c>
      <c r="C403" s="65" t="s">
        <v>524</v>
      </c>
      <c r="D403" s="66">
        <v>2015</v>
      </c>
      <c r="E403" s="70">
        <v>971.346</v>
      </c>
      <c r="F403" s="69">
        <v>971.346</v>
      </c>
      <c r="G403" s="69">
        <v>971.346</v>
      </c>
      <c r="H403" s="69">
        <v>0</v>
      </c>
      <c r="I403" s="69">
        <v>0</v>
      </c>
      <c r="J403" s="61" t="s">
        <v>45</v>
      </c>
      <c r="K403" s="62"/>
      <c r="L403" s="57"/>
    </row>
    <row r="404" spans="1:12" ht="52.5" thickBot="1" x14ac:dyDescent="0.3">
      <c r="A404" s="1">
        <v>7</v>
      </c>
      <c r="B404" s="82">
        <f>B403+1</f>
        <v>68</v>
      </c>
      <c r="C404" s="104" t="s">
        <v>525</v>
      </c>
      <c r="D404" s="84">
        <v>2015</v>
      </c>
      <c r="E404" s="88">
        <v>618.02</v>
      </c>
      <c r="F404" s="87">
        <v>618.02</v>
      </c>
      <c r="G404" s="87">
        <v>618.02</v>
      </c>
      <c r="H404" s="87">
        <v>544.61099999999999</v>
      </c>
      <c r="I404" s="87">
        <v>0</v>
      </c>
      <c r="J404" s="61" t="s">
        <v>29</v>
      </c>
      <c r="K404" s="62"/>
      <c r="L404" s="57" t="s">
        <v>57</v>
      </c>
    </row>
    <row r="405" spans="1:12" ht="15.75" thickBot="1" x14ac:dyDescent="0.3">
      <c r="A405" s="1">
        <v>8</v>
      </c>
      <c r="B405" s="189" t="s">
        <v>526</v>
      </c>
      <c r="C405" s="190"/>
      <c r="D405" s="190"/>
      <c r="E405" s="187"/>
      <c r="F405" s="187"/>
      <c r="G405" s="187"/>
      <c r="H405" s="187"/>
      <c r="I405" s="187"/>
      <c r="J405" s="187"/>
      <c r="K405" s="187"/>
      <c r="L405" s="188"/>
    </row>
    <row r="406" spans="1:12" ht="18.75" x14ac:dyDescent="0.25">
      <c r="A406" s="1">
        <v>8</v>
      </c>
      <c r="B406" s="36"/>
      <c r="C406" s="37" t="s">
        <v>24</v>
      </c>
      <c r="D406" s="38"/>
      <c r="E406" s="39">
        <f t="shared" ref="E406:I406" si="20">SUM(E407,E409:E421)</f>
        <v>95676.122000000003</v>
      </c>
      <c r="F406" s="40">
        <f t="shared" si="20"/>
        <v>95582.407000000007</v>
      </c>
      <c r="G406" s="40">
        <f t="shared" si="20"/>
        <v>95582.407000000007</v>
      </c>
      <c r="H406" s="40">
        <f t="shared" si="20"/>
        <v>55381.841080000006</v>
      </c>
      <c r="I406" s="40">
        <f t="shared" si="20"/>
        <v>0</v>
      </c>
      <c r="J406" s="92"/>
      <c r="K406" s="93"/>
      <c r="L406" s="38"/>
    </row>
    <row r="407" spans="1:12" ht="18.75" x14ac:dyDescent="0.25">
      <c r="A407" s="1">
        <v>8</v>
      </c>
      <c r="B407" s="46"/>
      <c r="C407" s="24" t="s">
        <v>21</v>
      </c>
      <c r="D407" s="47"/>
      <c r="E407" s="48">
        <v>93.715000000000003</v>
      </c>
      <c r="F407" s="49">
        <v>0</v>
      </c>
      <c r="G407" s="49">
        <v>0</v>
      </c>
      <c r="H407" s="49"/>
      <c r="I407" s="49"/>
      <c r="J407" s="95"/>
      <c r="K407" s="25"/>
      <c r="L407" s="47"/>
    </row>
    <row r="408" spans="1:12" ht="16.5" x14ac:dyDescent="0.25">
      <c r="A408" s="1">
        <v>8</v>
      </c>
      <c r="B408" s="46"/>
      <c r="C408" s="54" t="s">
        <v>22</v>
      </c>
      <c r="D408" s="47"/>
      <c r="E408" s="48">
        <f>SUM(E409:E421)</f>
        <v>95582.407000000007</v>
      </c>
      <c r="F408" s="49">
        <f t="shared" ref="F408:I408" si="21">SUM(F409:F421)</f>
        <v>95582.407000000007</v>
      </c>
      <c r="G408" s="49">
        <f t="shared" si="21"/>
        <v>95582.407000000007</v>
      </c>
      <c r="H408" s="49">
        <f t="shared" si="21"/>
        <v>55381.841080000006</v>
      </c>
      <c r="I408" s="49">
        <f t="shared" si="21"/>
        <v>0</v>
      </c>
      <c r="J408" s="95"/>
      <c r="K408" s="25"/>
      <c r="L408" s="47"/>
    </row>
    <row r="409" spans="1:12" ht="120.75" x14ac:dyDescent="0.25">
      <c r="A409" s="1">
        <v>8</v>
      </c>
      <c r="B409" s="55">
        <v>1</v>
      </c>
      <c r="C409" s="65" t="s">
        <v>527</v>
      </c>
      <c r="D409" s="66" t="s">
        <v>153</v>
      </c>
      <c r="E409" s="67">
        <v>4380.9009999999998</v>
      </c>
      <c r="F409" s="68">
        <v>4380.9009999999998</v>
      </c>
      <c r="G409" s="68">
        <v>4380.9009999999998</v>
      </c>
      <c r="H409" s="68">
        <v>1274.0391</v>
      </c>
      <c r="I409" s="68">
        <v>0</v>
      </c>
      <c r="J409" s="61" t="s">
        <v>45</v>
      </c>
      <c r="K409" s="62"/>
      <c r="L409" s="57"/>
    </row>
    <row r="410" spans="1:12" ht="69" x14ac:dyDescent="0.25">
      <c r="A410" s="1">
        <v>8</v>
      </c>
      <c r="B410" s="55">
        <f>B409+1</f>
        <v>2</v>
      </c>
      <c r="C410" s="65" t="s">
        <v>528</v>
      </c>
      <c r="D410" s="66" t="s">
        <v>44</v>
      </c>
      <c r="E410" s="67">
        <v>6083.3829999999998</v>
      </c>
      <c r="F410" s="68">
        <v>6083.3829999999998</v>
      </c>
      <c r="G410" s="68">
        <v>6083.3829999999998</v>
      </c>
      <c r="H410" s="68">
        <v>0</v>
      </c>
      <c r="I410" s="68">
        <v>0</v>
      </c>
      <c r="J410" s="61" t="s">
        <v>45</v>
      </c>
      <c r="K410" s="62"/>
      <c r="L410" s="57"/>
    </row>
    <row r="411" spans="1:12" ht="86.25" x14ac:dyDescent="0.25">
      <c r="A411" s="1">
        <v>8</v>
      </c>
      <c r="B411" s="55">
        <f t="shared" ref="B411:B421" si="22">B410+1</f>
        <v>3</v>
      </c>
      <c r="C411" s="65" t="s">
        <v>529</v>
      </c>
      <c r="D411" s="66" t="s">
        <v>153</v>
      </c>
      <c r="E411" s="67">
        <v>1587.921</v>
      </c>
      <c r="F411" s="68">
        <v>1587.921</v>
      </c>
      <c r="G411" s="68">
        <v>1587.921</v>
      </c>
      <c r="H411" s="68">
        <v>0</v>
      </c>
      <c r="I411" s="68">
        <v>0</v>
      </c>
      <c r="J411" s="61" t="s">
        <v>45</v>
      </c>
      <c r="K411" s="62"/>
      <c r="L411" s="57"/>
    </row>
    <row r="412" spans="1:12" ht="69" x14ac:dyDescent="0.25">
      <c r="A412" s="1">
        <v>8</v>
      </c>
      <c r="B412" s="55">
        <f t="shared" si="22"/>
        <v>4</v>
      </c>
      <c r="C412" s="65" t="s">
        <v>530</v>
      </c>
      <c r="D412" s="66" t="s">
        <v>153</v>
      </c>
      <c r="E412" s="67">
        <v>22834.466</v>
      </c>
      <c r="F412" s="68">
        <v>22834.466</v>
      </c>
      <c r="G412" s="68">
        <v>22834.466</v>
      </c>
      <c r="H412" s="68">
        <v>22783.187389999999</v>
      </c>
      <c r="I412" s="68">
        <v>0</v>
      </c>
      <c r="J412" s="61" t="s">
        <v>45</v>
      </c>
      <c r="K412" s="62"/>
      <c r="L412" s="57"/>
    </row>
    <row r="413" spans="1:12" ht="51.75" x14ac:dyDescent="0.25">
      <c r="A413" s="1">
        <v>8</v>
      </c>
      <c r="B413" s="55">
        <f t="shared" si="22"/>
        <v>5</v>
      </c>
      <c r="C413" s="65" t="s">
        <v>531</v>
      </c>
      <c r="D413" s="66" t="s">
        <v>153</v>
      </c>
      <c r="E413" s="67">
        <v>6375.6980000000003</v>
      </c>
      <c r="F413" s="68">
        <v>6375.6979999999994</v>
      </c>
      <c r="G413" s="68">
        <v>6375.6979999999994</v>
      </c>
      <c r="H413" s="68">
        <v>2860.2879400000002</v>
      </c>
      <c r="I413" s="68">
        <v>0</v>
      </c>
      <c r="J413" s="61" t="s">
        <v>45</v>
      </c>
      <c r="K413" s="62"/>
      <c r="L413" s="57"/>
    </row>
    <row r="414" spans="1:12" ht="51.75" x14ac:dyDescent="0.25">
      <c r="A414" s="1">
        <v>8</v>
      </c>
      <c r="B414" s="55">
        <f t="shared" si="22"/>
        <v>6</v>
      </c>
      <c r="C414" s="65" t="s">
        <v>532</v>
      </c>
      <c r="D414" s="66" t="s">
        <v>153</v>
      </c>
      <c r="E414" s="67">
        <v>3099.7240000000002</v>
      </c>
      <c r="F414" s="68">
        <v>3099.7240000000002</v>
      </c>
      <c r="G414" s="68">
        <v>3099.7240000000002</v>
      </c>
      <c r="H414" s="68">
        <v>2145.24116</v>
      </c>
      <c r="I414" s="68">
        <v>0</v>
      </c>
      <c r="J414" s="61" t="s">
        <v>45</v>
      </c>
      <c r="K414" s="62"/>
      <c r="L414" s="57"/>
    </row>
    <row r="415" spans="1:12" ht="69" x14ac:dyDescent="0.25">
      <c r="A415" s="1">
        <v>8</v>
      </c>
      <c r="B415" s="55">
        <f t="shared" si="22"/>
        <v>7</v>
      </c>
      <c r="C415" s="65" t="s">
        <v>533</v>
      </c>
      <c r="D415" s="66" t="s">
        <v>534</v>
      </c>
      <c r="E415" s="67">
        <v>8527.9410000000007</v>
      </c>
      <c r="F415" s="68">
        <v>8527.9410000000007</v>
      </c>
      <c r="G415" s="68">
        <v>8527.9410000000007</v>
      </c>
      <c r="H415" s="69">
        <v>4158.6793900000002</v>
      </c>
      <c r="I415" s="68">
        <v>0</v>
      </c>
      <c r="J415" s="61" t="s">
        <v>45</v>
      </c>
      <c r="K415" s="62"/>
      <c r="L415" s="57"/>
    </row>
    <row r="416" spans="1:12" ht="69" x14ac:dyDescent="0.25">
      <c r="A416" s="1">
        <v>8</v>
      </c>
      <c r="B416" s="55">
        <f t="shared" si="22"/>
        <v>8</v>
      </c>
      <c r="C416" s="65" t="s">
        <v>535</v>
      </c>
      <c r="D416" s="66" t="s">
        <v>153</v>
      </c>
      <c r="E416" s="67">
        <v>13232.871999999999</v>
      </c>
      <c r="F416" s="68">
        <v>13232.871999999999</v>
      </c>
      <c r="G416" s="68">
        <v>13232.871999999999</v>
      </c>
      <c r="H416" s="68">
        <v>9795.9737100000002</v>
      </c>
      <c r="I416" s="68">
        <v>0</v>
      </c>
      <c r="J416" s="61" t="s">
        <v>45</v>
      </c>
      <c r="K416" s="62"/>
      <c r="L416" s="57"/>
    </row>
    <row r="417" spans="1:12" ht="51.75" x14ac:dyDescent="0.25">
      <c r="A417" s="1">
        <v>8</v>
      </c>
      <c r="B417" s="55">
        <f t="shared" si="22"/>
        <v>9</v>
      </c>
      <c r="C417" s="65" t="s">
        <v>536</v>
      </c>
      <c r="D417" s="66" t="s">
        <v>153</v>
      </c>
      <c r="E417" s="67">
        <v>28341.598000000002</v>
      </c>
      <c r="F417" s="68">
        <v>28341.597999999998</v>
      </c>
      <c r="G417" s="68">
        <v>28341.597999999998</v>
      </c>
      <c r="H417" s="68">
        <v>11292.188899999999</v>
      </c>
      <c r="I417" s="68">
        <v>0</v>
      </c>
      <c r="J417" s="61" t="s">
        <v>45</v>
      </c>
      <c r="K417" s="62"/>
      <c r="L417" s="57"/>
    </row>
    <row r="418" spans="1:12" ht="86.25" x14ac:dyDescent="0.25">
      <c r="A418" s="1">
        <v>8</v>
      </c>
      <c r="B418" s="55">
        <f t="shared" si="22"/>
        <v>10</v>
      </c>
      <c r="C418" s="65" t="s">
        <v>537</v>
      </c>
      <c r="D418" s="66" t="s">
        <v>153</v>
      </c>
      <c r="E418" s="67">
        <v>202.16200000000001</v>
      </c>
      <c r="F418" s="68">
        <v>202.16200000000001</v>
      </c>
      <c r="G418" s="68">
        <v>202.16200000000001</v>
      </c>
      <c r="H418" s="68">
        <v>202.16200000000001</v>
      </c>
      <c r="I418" s="68">
        <v>0</v>
      </c>
      <c r="J418" s="61" t="s">
        <v>45</v>
      </c>
      <c r="K418" s="62"/>
      <c r="L418" s="57"/>
    </row>
    <row r="419" spans="1:12" ht="120.75" x14ac:dyDescent="0.25">
      <c r="A419" s="1">
        <v>8</v>
      </c>
      <c r="B419" s="55">
        <f t="shared" si="22"/>
        <v>11</v>
      </c>
      <c r="C419" s="65" t="s">
        <v>538</v>
      </c>
      <c r="D419" s="66" t="s">
        <v>153</v>
      </c>
      <c r="E419" s="67">
        <v>288.96300000000002</v>
      </c>
      <c r="F419" s="68">
        <v>288.96300000000002</v>
      </c>
      <c r="G419" s="68">
        <v>288.96300000000002</v>
      </c>
      <c r="H419" s="68">
        <v>285.59048999999999</v>
      </c>
      <c r="I419" s="68">
        <v>0</v>
      </c>
      <c r="J419" s="96" t="s">
        <v>29</v>
      </c>
      <c r="K419" s="71" t="s">
        <v>539</v>
      </c>
      <c r="L419" s="115" t="s">
        <v>57</v>
      </c>
    </row>
    <row r="420" spans="1:12" ht="103.5" x14ac:dyDescent="0.25">
      <c r="A420" s="1">
        <v>8</v>
      </c>
      <c r="B420" s="55">
        <f t="shared" si="22"/>
        <v>12</v>
      </c>
      <c r="C420" s="65" t="s">
        <v>540</v>
      </c>
      <c r="D420" s="66" t="s">
        <v>153</v>
      </c>
      <c r="E420" s="67">
        <v>325.12099999999998</v>
      </c>
      <c r="F420" s="68">
        <v>325.12099999999998</v>
      </c>
      <c r="G420" s="68">
        <v>325.12099999999998</v>
      </c>
      <c r="H420" s="68">
        <v>325.12099999999998</v>
      </c>
      <c r="I420" s="68">
        <v>0</v>
      </c>
      <c r="J420" s="61" t="s">
        <v>29</v>
      </c>
      <c r="K420" s="62" t="s">
        <v>541</v>
      </c>
      <c r="L420" s="57" t="s">
        <v>542</v>
      </c>
    </row>
    <row r="421" spans="1:12" ht="52.5" thickBot="1" x14ac:dyDescent="0.3">
      <c r="A421" s="1">
        <v>8</v>
      </c>
      <c r="B421" s="82">
        <f t="shared" si="22"/>
        <v>13</v>
      </c>
      <c r="C421" s="83" t="s">
        <v>543</v>
      </c>
      <c r="D421" s="84" t="s">
        <v>153</v>
      </c>
      <c r="E421" s="85">
        <v>301.65699999999998</v>
      </c>
      <c r="F421" s="86">
        <v>301.65699999999998</v>
      </c>
      <c r="G421" s="86">
        <v>301.65699999999998</v>
      </c>
      <c r="H421" s="86">
        <v>259.37</v>
      </c>
      <c r="I421" s="86">
        <v>0</v>
      </c>
      <c r="J421" s="89" t="s">
        <v>29</v>
      </c>
      <c r="K421" s="90" t="s">
        <v>108</v>
      </c>
      <c r="L421" s="123" t="s">
        <v>544</v>
      </c>
    </row>
    <row r="422" spans="1:12" ht="15.75" thickBot="1" x14ac:dyDescent="0.3">
      <c r="A422" s="1">
        <v>9</v>
      </c>
      <c r="B422" s="186" t="s">
        <v>545</v>
      </c>
      <c r="C422" s="187"/>
      <c r="D422" s="187"/>
      <c r="E422" s="187"/>
      <c r="F422" s="187"/>
      <c r="G422" s="187"/>
      <c r="H422" s="187"/>
      <c r="I422" s="187"/>
      <c r="J422" s="187"/>
      <c r="K422" s="187"/>
      <c r="L422" s="188"/>
    </row>
    <row r="423" spans="1:12" ht="18.75" x14ac:dyDescent="0.25">
      <c r="A423" s="1">
        <v>9</v>
      </c>
      <c r="B423" s="36"/>
      <c r="C423" s="37" t="s">
        <v>24</v>
      </c>
      <c r="D423" s="38"/>
      <c r="E423" s="39">
        <f t="shared" ref="E423:I423" si="23">SUM(E424,E426:E460)</f>
        <v>126978.20699999998</v>
      </c>
      <c r="F423" s="40">
        <f t="shared" si="23"/>
        <v>126978.20699999998</v>
      </c>
      <c r="G423" s="40">
        <f t="shared" si="23"/>
        <v>126978.20699999998</v>
      </c>
      <c r="H423" s="40">
        <f t="shared" si="23"/>
        <v>125287.76999999996</v>
      </c>
      <c r="I423" s="40">
        <f t="shared" si="23"/>
        <v>1165.7570000000001</v>
      </c>
      <c r="J423" s="92"/>
      <c r="K423" s="93"/>
      <c r="L423" s="38"/>
    </row>
    <row r="424" spans="1:12" ht="18.75" x14ac:dyDescent="0.25">
      <c r="A424" s="1">
        <v>9</v>
      </c>
      <c r="B424" s="46"/>
      <c r="C424" s="24" t="s">
        <v>21</v>
      </c>
      <c r="D424" s="47"/>
      <c r="E424" s="48">
        <f>(1401.767+363.77302)-(1401.767+363.77302)</f>
        <v>0</v>
      </c>
      <c r="F424" s="49">
        <v>0</v>
      </c>
      <c r="G424" s="49">
        <v>0</v>
      </c>
      <c r="H424" s="49"/>
      <c r="I424" s="49"/>
      <c r="J424" s="95"/>
      <c r="K424" s="25"/>
      <c r="L424" s="47"/>
    </row>
    <row r="425" spans="1:12" ht="16.5" x14ac:dyDescent="0.25">
      <c r="A425" s="1">
        <v>9</v>
      </c>
      <c r="B425" s="46"/>
      <c r="C425" s="54" t="s">
        <v>22</v>
      </c>
      <c r="D425" s="47"/>
      <c r="E425" s="48">
        <f t="shared" ref="E425:I425" si="24">SUM(E426:E460)</f>
        <v>126978.20699999998</v>
      </c>
      <c r="F425" s="49">
        <f t="shared" si="24"/>
        <v>126978.20699999998</v>
      </c>
      <c r="G425" s="49">
        <f t="shared" si="24"/>
        <v>126978.20699999998</v>
      </c>
      <c r="H425" s="49">
        <f t="shared" si="24"/>
        <v>125287.76999999996</v>
      </c>
      <c r="I425" s="49">
        <f t="shared" si="24"/>
        <v>1165.7570000000001</v>
      </c>
      <c r="J425" s="95"/>
      <c r="K425" s="25"/>
      <c r="L425" s="47"/>
    </row>
    <row r="426" spans="1:12" ht="69" x14ac:dyDescent="0.25">
      <c r="A426" s="1">
        <v>9</v>
      </c>
      <c r="B426" s="55">
        <v>1</v>
      </c>
      <c r="C426" s="65" t="s">
        <v>546</v>
      </c>
      <c r="D426" s="66"/>
      <c r="E426" s="67">
        <v>82.055000000000007</v>
      </c>
      <c r="F426" s="68">
        <v>82.055000000000007</v>
      </c>
      <c r="G426" s="68">
        <v>82.055000000000007</v>
      </c>
      <c r="H426" s="69">
        <v>37.441000000000003</v>
      </c>
      <c r="I426" s="68">
        <v>37.441000000000003</v>
      </c>
      <c r="J426" s="61"/>
      <c r="K426" s="62"/>
      <c r="L426" s="57" t="s">
        <v>33</v>
      </c>
    </row>
    <row r="427" spans="1:12" ht="69" x14ac:dyDescent="0.25">
      <c r="A427" s="1">
        <v>9</v>
      </c>
      <c r="B427" s="55">
        <f>B426+1</f>
        <v>2</v>
      </c>
      <c r="C427" s="65" t="s">
        <v>547</v>
      </c>
      <c r="D427" s="66"/>
      <c r="E427" s="67">
        <v>1075.8130000000001</v>
      </c>
      <c r="F427" s="68">
        <v>1075.8130000000001</v>
      </c>
      <c r="G427" s="68">
        <v>1075.8130000000001</v>
      </c>
      <c r="H427" s="69">
        <v>1075.8130000000001</v>
      </c>
      <c r="I427" s="68">
        <v>1075.8130000000001</v>
      </c>
      <c r="J427" s="61"/>
      <c r="K427" s="62"/>
      <c r="L427" s="57" t="s">
        <v>33</v>
      </c>
    </row>
    <row r="428" spans="1:12" ht="69" x14ac:dyDescent="0.25">
      <c r="A428" s="1">
        <v>9</v>
      </c>
      <c r="B428" s="55">
        <f>B427+1</f>
        <v>3</v>
      </c>
      <c r="C428" s="65" t="s">
        <v>548</v>
      </c>
      <c r="D428" s="66"/>
      <c r="E428" s="67">
        <v>52.503</v>
      </c>
      <c r="F428" s="68">
        <v>52.503</v>
      </c>
      <c r="G428" s="68">
        <v>52.503</v>
      </c>
      <c r="H428" s="69">
        <v>52.503</v>
      </c>
      <c r="I428" s="68">
        <v>52.503</v>
      </c>
      <c r="J428" s="61"/>
      <c r="K428" s="62"/>
      <c r="L428" s="57" t="s">
        <v>33</v>
      </c>
    </row>
    <row r="429" spans="1:12" ht="51.75" x14ac:dyDescent="0.25">
      <c r="A429" s="1">
        <v>9</v>
      </c>
      <c r="B429" s="55">
        <f t="shared" ref="B429:B460" si="25">B428+1</f>
        <v>4</v>
      </c>
      <c r="C429" s="65" t="s">
        <v>549</v>
      </c>
      <c r="D429" s="66" t="s">
        <v>550</v>
      </c>
      <c r="E429" s="67">
        <v>6905.7960000000003</v>
      </c>
      <c r="F429" s="68">
        <v>6905.7960000000003</v>
      </c>
      <c r="G429" s="68">
        <v>6905.7960000000003</v>
      </c>
      <c r="H429" s="69">
        <v>6905.7960000000003</v>
      </c>
      <c r="I429" s="68">
        <v>0</v>
      </c>
      <c r="J429" s="61" t="s">
        <v>29</v>
      </c>
      <c r="K429" s="62" t="s">
        <v>551</v>
      </c>
      <c r="L429" s="57"/>
    </row>
    <row r="430" spans="1:12" ht="86.25" x14ac:dyDescent="0.25">
      <c r="A430" s="1">
        <v>9</v>
      </c>
      <c r="B430" s="55">
        <f t="shared" si="25"/>
        <v>5</v>
      </c>
      <c r="C430" s="65" t="s">
        <v>552</v>
      </c>
      <c r="D430" s="66" t="s">
        <v>69</v>
      </c>
      <c r="E430" s="67">
        <v>1050</v>
      </c>
      <c r="F430" s="68">
        <v>1050</v>
      </c>
      <c r="G430" s="68">
        <v>1050</v>
      </c>
      <c r="H430" s="69">
        <v>1049.3720000000001</v>
      </c>
      <c r="I430" s="68">
        <v>0</v>
      </c>
      <c r="J430" s="61" t="s">
        <v>29</v>
      </c>
      <c r="K430" s="62" t="s">
        <v>30</v>
      </c>
      <c r="L430" s="57"/>
    </row>
    <row r="431" spans="1:12" ht="51.75" x14ac:dyDescent="0.25">
      <c r="A431" s="1">
        <v>9</v>
      </c>
      <c r="B431" s="55">
        <f t="shared" si="25"/>
        <v>6</v>
      </c>
      <c r="C431" s="65" t="s">
        <v>553</v>
      </c>
      <c r="D431" s="66" t="s">
        <v>101</v>
      </c>
      <c r="E431" s="67">
        <v>1971</v>
      </c>
      <c r="F431" s="68">
        <v>1971</v>
      </c>
      <c r="G431" s="68">
        <v>1971</v>
      </c>
      <c r="H431" s="69">
        <v>1968.26</v>
      </c>
      <c r="I431" s="68">
        <v>0</v>
      </c>
      <c r="J431" s="61" t="s">
        <v>29</v>
      </c>
      <c r="K431" s="62" t="s">
        <v>30</v>
      </c>
      <c r="L431" s="57"/>
    </row>
    <row r="432" spans="1:12" ht="69" x14ac:dyDescent="0.25">
      <c r="A432" s="1">
        <v>9</v>
      </c>
      <c r="B432" s="55">
        <f t="shared" si="25"/>
        <v>7</v>
      </c>
      <c r="C432" s="65" t="s">
        <v>554</v>
      </c>
      <c r="D432" s="66" t="s">
        <v>59</v>
      </c>
      <c r="E432" s="67">
        <v>1926.4</v>
      </c>
      <c r="F432" s="68">
        <v>1926.4</v>
      </c>
      <c r="G432" s="68">
        <v>1926.4</v>
      </c>
      <c r="H432" s="69">
        <v>1921.1279999999999</v>
      </c>
      <c r="I432" s="68">
        <v>0</v>
      </c>
      <c r="J432" s="61" t="s">
        <v>45</v>
      </c>
      <c r="K432" s="62"/>
      <c r="L432" s="57"/>
    </row>
    <row r="433" spans="1:12" ht="51.75" x14ac:dyDescent="0.25">
      <c r="A433" s="1">
        <v>9</v>
      </c>
      <c r="B433" s="55">
        <f t="shared" si="25"/>
        <v>8</v>
      </c>
      <c r="C433" s="65" t="s">
        <v>555</v>
      </c>
      <c r="D433" s="66" t="s">
        <v>59</v>
      </c>
      <c r="E433" s="67">
        <v>1108</v>
      </c>
      <c r="F433" s="68">
        <v>1108</v>
      </c>
      <c r="G433" s="68">
        <v>1108</v>
      </c>
      <c r="H433" s="69">
        <v>1106.876</v>
      </c>
      <c r="I433" s="68">
        <v>0</v>
      </c>
      <c r="J433" s="61" t="s">
        <v>45</v>
      </c>
      <c r="K433" s="62"/>
      <c r="L433" s="57"/>
    </row>
    <row r="434" spans="1:12" ht="51.75" x14ac:dyDescent="0.25">
      <c r="A434" s="1">
        <v>9</v>
      </c>
      <c r="B434" s="55">
        <f t="shared" si="25"/>
        <v>9</v>
      </c>
      <c r="C434" s="65" t="s">
        <v>556</v>
      </c>
      <c r="D434" s="66" t="s">
        <v>28</v>
      </c>
      <c r="E434" s="67">
        <v>4500</v>
      </c>
      <c r="F434" s="68">
        <v>4500</v>
      </c>
      <c r="G434" s="68">
        <v>4500</v>
      </c>
      <c r="H434" s="69">
        <v>4498.5690000000004</v>
      </c>
      <c r="I434" s="68">
        <v>0</v>
      </c>
      <c r="J434" s="61" t="s">
        <v>45</v>
      </c>
      <c r="K434" s="62"/>
      <c r="L434" s="57"/>
    </row>
    <row r="435" spans="1:12" ht="51.75" x14ac:dyDescent="0.25">
      <c r="A435" s="1">
        <v>9</v>
      </c>
      <c r="B435" s="55">
        <f t="shared" si="25"/>
        <v>10</v>
      </c>
      <c r="C435" s="65" t="s">
        <v>557</v>
      </c>
      <c r="D435" s="66" t="s">
        <v>59</v>
      </c>
      <c r="E435" s="67">
        <v>4000</v>
      </c>
      <c r="F435" s="68">
        <v>4000</v>
      </c>
      <c r="G435" s="68">
        <v>4000</v>
      </c>
      <c r="H435" s="69">
        <v>4000</v>
      </c>
      <c r="I435" s="68">
        <v>0</v>
      </c>
      <c r="J435" s="61" t="s">
        <v>29</v>
      </c>
      <c r="K435" s="62" t="s">
        <v>558</v>
      </c>
      <c r="L435" s="57"/>
    </row>
    <row r="436" spans="1:12" ht="60" x14ac:dyDescent="0.25">
      <c r="A436" s="1">
        <v>9</v>
      </c>
      <c r="B436" s="55">
        <f t="shared" si="25"/>
        <v>11</v>
      </c>
      <c r="C436" s="65" t="s">
        <v>559</v>
      </c>
      <c r="D436" s="66" t="s">
        <v>28</v>
      </c>
      <c r="E436" s="67">
        <v>3300</v>
      </c>
      <c r="F436" s="68">
        <v>3300</v>
      </c>
      <c r="G436" s="68">
        <v>3300</v>
      </c>
      <c r="H436" s="69">
        <v>3300</v>
      </c>
      <c r="I436" s="68">
        <v>0</v>
      </c>
      <c r="J436" s="61" t="s">
        <v>29</v>
      </c>
      <c r="K436" s="62" t="s">
        <v>560</v>
      </c>
      <c r="L436" s="57"/>
    </row>
    <row r="437" spans="1:12" ht="86.25" x14ac:dyDescent="0.25">
      <c r="A437" s="1">
        <v>9</v>
      </c>
      <c r="B437" s="55">
        <f t="shared" si="25"/>
        <v>12</v>
      </c>
      <c r="C437" s="65" t="s">
        <v>561</v>
      </c>
      <c r="D437" s="66" t="s">
        <v>59</v>
      </c>
      <c r="E437" s="67">
        <v>2268.9</v>
      </c>
      <c r="F437" s="68">
        <v>2268.9</v>
      </c>
      <c r="G437" s="68">
        <v>2268.9</v>
      </c>
      <c r="H437" s="69">
        <v>2268.9</v>
      </c>
      <c r="I437" s="68">
        <v>0</v>
      </c>
      <c r="J437" s="61" t="s">
        <v>45</v>
      </c>
      <c r="K437" s="62" t="s">
        <v>562</v>
      </c>
      <c r="L437" s="57"/>
    </row>
    <row r="438" spans="1:12" ht="69" x14ac:dyDescent="0.25">
      <c r="A438" s="1">
        <v>9</v>
      </c>
      <c r="B438" s="55">
        <f t="shared" si="25"/>
        <v>13</v>
      </c>
      <c r="C438" s="65" t="s">
        <v>563</v>
      </c>
      <c r="D438" s="66" t="s">
        <v>153</v>
      </c>
      <c r="E438" s="67">
        <v>806.2</v>
      </c>
      <c r="F438" s="68">
        <v>806.2</v>
      </c>
      <c r="G438" s="68">
        <v>806.2</v>
      </c>
      <c r="H438" s="69">
        <v>805.85</v>
      </c>
      <c r="I438" s="68">
        <v>0</v>
      </c>
      <c r="J438" s="61" t="s">
        <v>29</v>
      </c>
      <c r="K438" s="62" t="s">
        <v>268</v>
      </c>
      <c r="L438" s="57"/>
    </row>
    <row r="439" spans="1:12" ht="69" x14ac:dyDescent="0.25">
      <c r="A439" s="1">
        <v>9</v>
      </c>
      <c r="B439" s="55">
        <f t="shared" si="25"/>
        <v>14</v>
      </c>
      <c r="C439" s="65" t="s">
        <v>564</v>
      </c>
      <c r="D439" s="66" t="s">
        <v>59</v>
      </c>
      <c r="E439" s="67">
        <v>2180</v>
      </c>
      <c r="F439" s="68">
        <v>2180</v>
      </c>
      <c r="G439" s="68">
        <v>2180</v>
      </c>
      <c r="H439" s="69">
        <v>1257.549</v>
      </c>
      <c r="I439" s="68">
        <v>0</v>
      </c>
      <c r="J439" s="61" t="s">
        <v>45</v>
      </c>
      <c r="K439" s="62"/>
      <c r="L439" s="57"/>
    </row>
    <row r="440" spans="1:12" ht="103.5" x14ac:dyDescent="0.25">
      <c r="A440" s="1">
        <v>9</v>
      </c>
      <c r="B440" s="55">
        <f t="shared" si="25"/>
        <v>15</v>
      </c>
      <c r="C440" s="65" t="s">
        <v>565</v>
      </c>
      <c r="D440" s="66" t="s">
        <v>28</v>
      </c>
      <c r="E440" s="67">
        <v>450</v>
      </c>
      <c r="F440" s="68">
        <v>450</v>
      </c>
      <c r="G440" s="68">
        <v>450</v>
      </c>
      <c r="H440" s="69">
        <v>450</v>
      </c>
      <c r="I440" s="68">
        <v>0</v>
      </c>
      <c r="J440" s="61" t="s">
        <v>29</v>
      </c>
      <c r="K440" s="62" t="s">
        <v>428</v>
      </c>
      <c r="L440" s="57"/>
    </row>
    <row r="441" spans="1:12" ht="51.75" x14ac:dyDescent="0.25">
      <c r="A441" s="1">
        <v>9</v>
      </c>
      <c r="B441" s="64">
        <f t="shared" si="25"/>
        <v>16</v>
      </c>
      <c r="C441" s="65" t="s">
        <v>566</v>
      </c>
      <c r="D441" s="66" t="s">
        <v>153</v>
      </c>
      <c r="E441" s="67">
        <f>2000-336.6</f>
        <v>1663.4</v>
      </c>
      <c r="F441" s="68">
        <v>1663.4</v>
      </c>
      <c r="G441" s="68">
        <v>1663.4</v>
      </c>
      <c r="H441" s="69">
        <v>1439.172</v>
      </c>
      <c r="I441" s="68">
        <v>0</v>
      </c>
      <c r="J441" s="61" t="s">
        <v>29</v>
      </c>
      <c r="K441" s="62" t="s">
        <v>567</v>
      </c>
      <c r="L441" s="57" t="s">
        <v>492</v>
      </c>
    </row>
    <row r="442" spans="1:12" ht="69" x14ac:dyDescent="0.25">
      <c r="A442" s="1">
        <v>9</v>
      </c>
      <c r="B442" s="55">
        <f t="shared" si="25"/>
        <v>17</v>
      </c>
      <c r="C442" s="65" t="s">
        <v>568</v>
      </c>
      <c r="D442" s="66" t="s">
        <v>153</v>
      </c>
      <c r="E442" s="67">
        <v>486</v>
      </c>
      <c r="F442" s="68">
        <v>486</v>
      </c>
      <c r="G442" s="68">
        <v>486</v>
      </c>
      <c r="H442" s="69">
        <v>486</v>
      </c>
      <c r="I442" s="68">
        <v>0</v>
      </c>
      <c r="J442" s="61" t="s">
        <v>29</v>
      </c>
      <c r="K442" s="62" t="s">
        <v>569</v>
      </c>
      <c r="L442" s="57"/>
    </row>
    <row r="443" spans="1:12" ht="51.75" x14ac:dyDescent="0.25">
      <c r="A443" s="1">
        <v>9</v>
      </c>
      <c r="B443" s="64">
        <f t="shared" si="25"/>
        <v>18</v>
      </c>
      <c r="C443" s="65" t="s">
        <v>570</v>
      </c>
      <c r="D443" s="66" t="s">
        <v>153</v>
      </c>
      <c r="E443" s="67">
        <f>40000+10253</f>
        <v>50253</v>
      </c>
      <c r="F443" s="68">
        <v>50253</v>
      </c>
      <c r="G443" s="68">
        <v>50253</v>
      </c>
      <c r="H443" s="69">
        <v>50253</v>
      </c>
      <c r="I443" s="68">
        <v>0</v>
      </c>
      <c r="J443" s="61" t="s">
        <v>29</v>
      </c>
      <c r="K443" s="62" t="s">
        <v>571</v>
      </c>
      <c r="L443" s="57" t="s">
        <v>492</v>
      </c>
    </row>
    <row r="444" spans="1:12" ht="69" x14ac:dyDescent="0.25">
      <c r="A444" s="1">
        <v>9</v>
      </c>
      <c r="B444" s="55">
        <f t="shared" si="25"/>
        <v>19</v>
      </c>
      <c r="C444" s="65" t="s">
        <v>572</v>
      </c>
      <c r="D444" s="66" t="s">
        <v>59</v>
      </c>
      <c r="E444" s="67">
        <v>1800</v>
      </c>
      <c r="F444" s="68">
        <v>1800</v>
      </c>
      <c r="G444" s="68">
        <v>1800</v>
      </c>
      <c r="H444" s="69">
        <v>1800</v>
      </c>
      <c r="I444" s="68">
        <v>0</v>
      </c>
      <c r="J444" s="61" t="s">
        <v>45</v>
      </c>
      <c r="K444" s="62" t="s">
        <v>573</v>
      </c>
      <c r="L444" s="57"/>
    </row>
    <row r="445" spans="1:12" ht="51.75" x14ac:dyDescent="0.25">
      <c r="A445" s="1">
        <v>9</v>
      </c>
      <c r="B445" s="55">
        <f t="shared" si="25"/>
        <v>20</v>
      </c>
      <c r="C445" s="65" t="s">
        <v>574</v>
      </c>
      <c r="D445" s="66" t="s">
        <v>69</v>
      </c>
      <c r="E445" s="67">
        <v>4000</v>
      </c>
      <c r="F445" s="68">
        <v>4000</v>
      </c>
      <c r="G445" s="68">
        <v>4000</v>
      </c>
      <c r="H445" s="69">
        <v>4000</v>
      </c>
      <c r="I445" s="68">
        <v>0</v>
      </c>
      <c r="J445" s="61" t="s">
        <v>45</v>
      </c>
      <c r="K445" s="62" t="s">
        <v>575</v>
      </c>
      <c r="L445" s="57"/>
    </row>
    <row r="446" spans="1:12" ht="51.75" x14ac:dyDescent="0.25">
      <c r="A446" s="1">
        <v>9</v>
      </c>
      <c r="B446" s="55">
        <f t="shared" si="25"/>
        <v>21</v>
      </c>
      <c r="C446" s="65" t="s">
        <v>576</v>
      </c>
      <c r="D446" s="66" t="s">
        <v>153</v>
      </c>
      <c r="E446" s="67">
        <v>5000</v>
      </c>
      <c r="F446" s="68">
        <v>5000</v>
      </c>
      <c r="G446" s="68">
        <v>5000</v>
      </c>
      <c r="H446" s="69">
        <v>5000</v>
      </c>
      <c r="I446" s="68">
        <v>0</v>
      </c>
      <c r="J446" s="61" t="s">
        <v>29</v>
      </c>
      <c r="K446" s="62" t="s">
        <v>303</v>
      </c>
      <c r="L446" s="57"/>
    </row>
    <row r="447" spans="1:12" ht="86.25" x14ac:dyDescent="0.25">
      <c r="A447" s="1">
        <v>9</v>
      </c>
      <c r="B447" s="64">
        <f t="shared" si="25"/>
        <v>22</v>
      </c>
      <c r="C447" s="65" t="s">
        <v>577</v>
      </c>
      <c r="D447" s="66" t="s">
        <v>153</v>
      </c>
      <c r="E447" s="67">
        <f>1500-91.1</f>
        <v>1408.9</v>
      </c>
      <c r="F447" s="68">
        <v>1408.9</v>
      </c>
      <c r="G447" s="68">
        <v>1408.9</v>
      </c>
      <c r="H447" s="69">
        <v>1408.9</v>
      </c>
      <c r="I447" s="68">
        <v>0</v>
      </c>
      <c r="J447" s="61" t="s">
        <v>29</v>
      </c>
      <c r="K447" s="62" t="s">
        <v>578</v>
      </c>
      <c r="L447" s="57" t="s">
        <v>492</v>
      </c>
    </row>
    <row r="448" spans="1:12" ht="69" x14ac:dyDescent="0.25">
      <c r="A448" s="1">
        <v>9</v>
      </c>
      <c r="B448" s="64">
        <f t="shared" si="25"/>
        <v>23</v>
      </c>
      <c r="C448" s="65" t="s">
        <v>579</v>
      </c>
      <c r="D448" s="66" t="s">
        <v>153</v>
      </c>
      <c r="E448" s="67">
        <f>7000-3930.6</f>
        <v>3069.4</v>
      </c>
      <c r="F448" s="68">
        <v>3069.4</v>
      </c>
      <c r="G448" s="68">
        <v>3069.4</v>
      </c>
      <c r="H448" s="69">
        <v>3069.4</v>
      </c>
      <c r="I448" s="68">
        <v>0</v>
      </c>
      <c r="J448" s="61" t="s">
        <v>29</v>
      </c>
      <c r="K448" s="62" t="s">
        <v>580</v>
      </c>
      <c r="L448" s="57" t="s">
        <v>492</v>
      </c>
    </row>
    <row r="449" spans="1:12" ht="51.75" x14ac:dyDescent="0.25">
      <c r="A449" s="1">
        <v>9</v>
      </c>
      <c r="B449" s="64">
        <f t="shared" si="25"/>
        <v>24</v>
      </c>
      <c r="C449" s="65" t="s">
        <v>581</v>
      </c>
      <c r="D449" s="66" t="s">
        <v>153</v>
      </c>
      <c r="E449" s="67">
        <f>1000-70.5</f>
        <v>929.5</v>
      </c>
      <c r="F449" s="68">
        <v>929.5</v>
      </c>
      <c r="G449" s="68">
        <v>929.5</v>
      </c>
      <c r="H449" s="69">
        <v>821.85900000000004</v>
      </c>
      <c r="I449" s="68">
        <v>0</v>
      </c>
      <c r="J449" s="61" t="s">
        <v>29</v>
      </c>
      <c r="K449" s="62" t="s">
        <v>582</v>
      </c>
      <c r="L449" s="57" t="s">
        <v>492</v>
      </c>
    </row>
    <row r="450" spans="1:12" ht="51.75" x14ac:dyDescent="0.25">
      <c r="A450" s="1">
        <v>9</v>
      </c>
      <c r="B450" s="64">
        <f t="shared" si="25"/>
        <v>25</v>
      </c>
      <c r="C450" s="65" t="s">
        <v>583</v>
      </c>
      <c r="D450" s="66" t="s">
        <v>153</v>
      </c>
      <c r="E450" s="67">
        <f>8200-1883</f>
        <v>6317</v>
      </c>
      <c r="F450" s="68">
        <v>6317</v>
      </c>
      <c r="G450" s="68">
        <v>6317</v>
      </c>
      <c r="H450" s="69">
        <v>6317</v>
      </c>
      <c r="I450" s="68">
        <v>0</v>
      </c>
      <c r="J450" s="61" t="s">
        <v>29</v>
      </c>
      <c r="K450" s="62" t="s">
        <v>505</v>
      </c>
      <c r="L450" s="57" t="s">
        <v>492</v>
      </c>
    </row>
    <row r="451" spans="1:12" ht="51.75" x14ac:dyDescent="0.25">
      <c r="A451" s="1">
        <v>9</v>
      </c>
      <c r="B451" s="64">
        <f t="shared" si="25"/>
        <v>26</v>
      </c>
      <c r="C451" s="65" t="s">
        <v>584</v>
      </c>
      <c r="D451" s="66" t="s">
        <v>153</v>
      </c>
      <c r="E451" s="67">
        <f>2000-109.7</f>
        <v>1890.3</v>
      </c>
      <c r="F451" s="68">
        <v>1890.3</v>
      </c>
      <c r="G451" s="68">
        <v>1890.3</v>
      </c>
      <c r="H451" s="69">
        <v>1890.3</v>
      </c>
      <c r="I451" s="68">
        <v>0</v>
      </c>
      <c r="J451" s="61" t="s">
        <v>29</v>
      </c>
      <c r="K451" s="62" t="s">
        <v>505</v>
      </c>
      <c r="L451" s="57" t="s">
        <v>492</v>
      </c>
    </row>
    <row r="452" spans="1:12" ht="69" x14ac:dyDescent="0.25">
      <c r="A452" s="1">
        <v>9</v>
      </c>
      <c r="B452" s="64">
        <f t="shared" si="25"/>
        <v>27</v>
      </c>
      <c r="C452" s="65" t="s">
        <v>585</v>
      </c>
      <c r="D452" s="66" t="s">
        <v>153</v>
      </c>
      <c r="E452" s="67">
        <f>1000-187.7</f>
        <v>812.3</v>
      </c>
      <c r="F452" s="68">
        <v>812.3</v>
      </c>
      <c r="G452" s="68">
        <v>812.3</v>
      </c>
      <c r="H452" s="69">
        <v>812.3</v>
      </c>
      <c r="I452" s="68">
        <v>0</v>
      </c>
      <c r="J452" s="61" t="s">
        <v>29</v>
      </c>
      <c r="K452" s="62" t="s">
        <v>586</v>
      </c>
      <c r="L452" s="57" t="s">
        <v>492</v>
      </c>
    </row>
    <row r="453" spans="1:12" ht="51.75" x14ac:dyDescent="0.25">
      <c r="A453" s="1">
        <v>9</v>
      </c>
      <c r="B453" s="64">
        <f t="shared" si="25"/>
        <v>28</v>
      </c>
      <c r="C453" s="65" t="s">
        <v>587</v>
      </c>
      <c r="D453" s="66" t="s">
        <v>153</v>
      </c>
      <c r="E453" s="67">
        <f>2000-105.8</f>
        <v>1894.2</v>
      </c>
      <c r="F453" s="68">
        <v>1894.2</v>
      </c>
      <c r="G453" s="68">
        <v>1894.2</v>
      </c>
      <c r="H453" s="69">
        <v>1609.0070000000001</v>
      </c>
      <c r="I453" s="68">
        <v>0</v>
      </c>
      <c r="J453" s="61" t="s">
        <v>29</v>
      </c>
      <c r="K453" s="62" t="s">
        <v>588</v>
      </c>
      <c r="L453" s="57" t="s">
        <v>492</v>
      </c>
    </row>
    <row r="454" spans="1:12" ht="51.75" x14ac:dyDescent="0.25">
      <c r="A454" s="1">
        <v>9</v>
      </c>
      <c r="B454" s="64">
        <f t="shared" si="25"/>
        <v>29</v>
      </c>
      <c r="C454" s="65" t="s">
        <v>589</v>
      </c>
      <c r="D454" s="66" t="s">
        <v>153</v>
      </c>
      <c r="E454" s="67">
        <f>1800-68.3</f>
        <v>1731.7</v>
      </c>
      <c r="F454" s="68">
        <v>1731.7</v>
      </c>
      <c r="G454" s="68">
        <v>1731.7</v>
      </c>
      <c r="H454" s="69">
        <v>1731.7</v>
      </c>
      <c r="I454" s="68">
        <v>0</v>
      </c>
      <c r="J454" s="61" t="s">
        <v>29</v>
      </c>
      <c r="K454" s="62" t="s">
        <v>590</v>
      </c>
      <c r="L454" s="57" t="s">
        <v>492</v>
      </c>
    </row>
    <row r="455" spans="1:12" ht="51.75" x14ac:dyDescent="0.25">
      <c r="A455" s="1">
        <v>9</v>
      </c>
      <c r="B455" s="64">
        <f t="shared" si="25"/>
        <v>30</v>
      </c>
      <c r="C455" s="65" t="s">
        <v>591</v>
      </c>
      <c r="D455" s="66" t="s">
        <v>153</v>
      </c>
      <c r="E455" s="67">
        <f>1800-67.3</f>
        <v>1732.7</v>
      </c>
      <c r="F455" s="68">
        <v>1732.7</v>
      </c>
      <c r="G455" s="68">
        <v>1732.7</v>
      </c>
      <c r="H455" s="69">
        <v>1732.7</v>
      </c>
      <c r="I455" s="68">
        <v>0</v>
      </c>
      <c r="J455" s="61" t="s">
        <v>29</v>
      </c>
      <c r="K455" s="62" t="s">
        <v>334</v>
      </c>
      <c r="L455" s="57" t="s">
        <v>492</v>
      </c>
    </row>
    <row r="456" spans="1:12" ht="51.75" x14ac:dyDescent="0.25">
      <c r="A456" s="1">
        <v>9</v>
      </c>
      <c r="B456" s="55">
        <f t="shared" si="25"/>
        <v>31</v>
      </c>
      <c r="C456" s="65" t="s">
        <v>592</v>
      </c>
      <c r="D456" s="66" t="s">
        <v>153</v>
      </c>
      <c r="E456" s="67">
        <v>2000</v>
      </c>
      <c r="F456" s="68">
        <v>2000</v>
      </c>
      <c r="G456" s="68">
        <v>2000</v>
      </c>
      <c r="H456" s="69">
        <v>2000</v>
      </c>
      <c r="I456" s="68">
        <v>0</v>
      </c>
      <c r="J456" s="61" t="s">
        <v>29</v>
      </c>
      <c r="K456" s="62" t="s">
        <v>593</v>
      </c>
      <c r="L456" s="57" t="s">
        <v>492</v>
      </c>
    </row>
    <row r="457" spans="1:12" ht="51.75" x14ac:dyDescent="0.25">
      <c r="A457" s="1">
        <v>9</v>
      </c>
      <c r="B457" s="64">
        <f t="shared" si="25"/>
        <v>32</v>
      </c>
      <c r="C457" s="65" t="s">
        <v>594</v>
      </c>
      <c r="D457" s="66" t="s">
        <v>153</v>
      </c>
      <c r="E457" s="67">
        <f>500-27.3</f>
        <v>472.7</v>
      </c>
      <c r="F457" s="68">
        <v>472.7</v>
      </c>
      <c r="G457" s="68">
        <v>472.7</v>
      </c>
      <c r="H457" s="69">
        <v>472.7</v>
      </c>
      <c r="I457" s="68">
        <v>0</v>
      </c>
      <c r="J457" s="61" t="s">
        <v>29</v>
      </c>
      <c r="K457" s="62" t="s">
        <v>590</v>
      </c>
      <c r="L457" s="57" t="s">
        <v>492</v>
      </c>
    </row>
    <row r="458" spans="1:12" ht="51.75" x14ac:dyDescent="0.25">
      <c r="A458" s="1">
        <v>9</v>
      </c>
      <c r="B458" s="64">
        <f t="shared" si="25"/>
        <v>33</v>
      </c>
      <c r="C458" s="65" t="s">
        <v>595</v>
      </c>
      <c r="D458" s="66" t="s">
        <v>153</v>
      </c>
      <c r="E458" s="67">
        <f>1450+342.7</f>
        <v>1792.7</v>
      </c>
      <c r="F458" s="68">
        <v>1792.7</v>
      </c>
      <c r="G458" s="68">
        <v>1792.7</v>
      </c>
      <c r="H458" s="69">
        <v>1792.7</v>
      </c>
      <c r="I458" s="68">
        <v>0</v>
      </c>
      <c r="J458" s="61" t="s">
        <v>29</v>
      </c>
      <c r="K458" s="62" t="s">
        <v>590</v>
      </c>
      <c r="L458" s="57" t="s">
        <v>492</v>
      </c>
    </row>
    <row r="459" spans="1:12" ht="51.75" x14ac:dyDescent="0.25">
      <c r="A459" s="1">
        <v>9</v>
      </c>
      <c r="B459" s="124">
        <f t="shared" si="25"/>
        <v>34</v>
      </c>
      <c r="C459" s="73" t="s">
        <v>596</v>
      </c>
      <c r="D459" s="74" t="s">
        <v>153</v>
      </c>
      <c r="E459" s="75">
        <f>10000-3717.8</f>
        <v>6282.2</v>
      </c>
      <c r="F459" s="76">
        <v>6282.2</v>
      </c>
      <c r="G459" s="76">
        <v>6282.2</v>
      </c>
      <c r="H459" s="77">
        <v>6282.2</v>
      </c>
      <c r="I459" s="76">
        <v>0</v>
      </c>
      <c r="J459" s="79" t="s">
        <v>29</v>
      </c>
      <c r="K459" s="80" t="s">
        <v>334</v>
      </c>
      <c r="L459" s="57" t="s">
        <v>492</v>
      </c>
    </row>
    <row r="460" spans="1:12" ht="52.5" thickBot="1" x14ac:dyDescent="0.3">
      <c r="A460" s="1">
        <v>9</v>
      </c>
      <c r="B460" s="82">
        <f t="shared" si="25"/>
        <v>35</v>
      </c>
      <c r="C460" s="83" t="s">
        <v>597</v>
      </c>
      <c r="D460" s="84" t="s">
        <v>153</v>
      </c>
      <c r="E460" s="85">
        <v>1765.54</v>
      </c>
      <c r="F460" s="86">
        <v>1765.54</v>
      </c>
      <c r="G460" s="86">
        <v>1765.54</v>
      </c>
      <c r="H460" s="87">
        <v>1670.7750000000001</v>
      </c>
      <c r="I460" s="86">
        <v>0</v>
      </c>
      <c r="J460" s="89" t="s">
        <v>45</v>
      </c>
      <c r="K460" s="90"/>
      <c r="L460" s="123"/>
    </row>
    <row r="461" spans="1:12" ht="15.75" thickBot="1" x14ac:dyDescent="0.3">
      <c r="A461" s="1">
        <v>10</v>
      </c>
      <c r="B461" s="186" t="s">
        <v>598</v>
      </c>
      <c r="C461" s="187"/>
      <c r="D461" s="187"/>
      <c r="E461" s="187"/>
      <c r="F461" s="187"/>
      <c r="G461" s="187"/>
      <c r="H461" s="187"/>
      <c r="I461" s="187"/>
      <c r="J461" s="187"/>
      <c r="K461" s="187"/>
      <c r="L461" s="188"/>
    </row>
    <row r="462" spans="1:12" ht="18.75" x14ac:dyDescent="0.25">
      <c r="A462" s="1">
        <v>10</v>
      </c>
      <c r="B462" s="36"/>
      <c r="C462" s="37" t="s">
        <v>24</v>
      </c>
      <c r="D462" s="38"/>
      <c r="E462" s="39">
        <f t="shared" ref="E462:I462" si="26">SUM(E463,E465:E490)</f>
        <v>92963.157999999981</v>
      </c>
      <c r="F462" s="40">
        <f t="shared" si="26"/>
        <v>92963.157999999981</v>
      </c>
      <c r="G462" s="40">
        <f t="shared" si="26"/>
        <v>92963.157999999981</v>
      </c>
      <c r="H462" s="40">
        <f t="shared" si="26"/>
        <v>85047.466050000017</v>
      </c>
      <c r="I462" s="40">
        <f t="shared" si="26"/>
        <v>4149.9709999999995</v>
      </c>
      <c r="J462" s="92"/>
      <c r="K462" s="93"/>
      <c r="L462" s="38"/>
    </row>
    <row r="463" spans="1:12" ht="18.75" x14ac:dyDescent="0.25">
      <c r="A463" s="1">
        <v>10</v>
      </c>
      <c r="B463" s="46"/>
      <c r="C463" s="24" t="s">
        <v>21</v>
      </c>
      <c r="D463" s="47"/>
      <c r="E463" s="48">
        <v>0</v>
      </c>
      <c r="F463" s="49">
        <v>0</v>
      </c>
      <c r="G463" s="49">
        <v>0</v>
      </c>
      <c r="H463" s="49"/>
      <c r="I463" s="49"/>
      <c r="J463" s="95"/>
      <c r="K463" s="25"/>
      <c r="L463" s="47"/>
    </row>
    <row r="464" spans="1:12" ht="16.5" x14ac:dyDescent="0.25">
      <c r="A464" s="1">
        <v>10</v>
      </c>
      <c r="B464" s="46"/>
      <c r="C464" s="54" t="s">
        <v>22</v>
      </c>
      <c r="D464" s="47"/>
      <c r="E464" s="48">
        <f>SUM(E465:E490)</f>
        <v>92963.157999999981</v>
      </c>
      <c r="F464" s="49">
        <f t="shared" ref="F464:I464" si="27">SUM(F465:F490)</f>
        <v>92963.157999999981</v>
      </c>
      <c r="G464" s="49">
        <f t="shared" si="27"/>
        <v>92963.157999999981</v>
      </c>
      <c r="H464" s="49">
        <f t="shared" si="27"/>
        <v>85047.466050000017</v>
      </c>
      <c r="I464" s="49">
        <f t="shared" si="27"/>
        <v>4149.9709999999995</v>
      </c>
      <c r="J464" s="95"/>
      <c r="K464" s="25"/>
      <c r="L464" s="47"/>
    </row>
    <row r="465" spans="1:12" ht="69" x14ac:dyDescent="0.25">
      <c r="A465" s="1">
        <v>10</v>
      </c>
      <c r="B465" s="55">
        <v>1</v>
      </c>
      <c r="C465" s="97" t="s">
        <v>599</v>
      </c>
      <c r="D465" s="66"/>
      <c r="E465" s="67">
        <v>4149.9709999999995</v>
      </c>
      <c r="F465" s="68">
        <v>4149.9709999999995</v>
      </c>
      <c r="G465" s="68">
        <v>4149.9709999999995</v>
      </c>
      <c r="H465" s="69">
        <v>4149.9709999999995</v>
      </c>
      <c r="I465" s="68">
        <v>4149.9709999999995</v>
      </c>
      <c r="J465" s="61"/>
      <c r="K465" s="62"/>
      <c r="L465" s="57" t="s">
        <v>33</v>
      </c>
    </row>
    <row r="466" spans="1:12" ht="69" x14ac:dyDescent="0.25">
      <c r="A466" s="1">
        <v>10</v>
      </c>
      <c r="B466" s="55">
        <f>B465+1</f>
        <v>2</v>
      </c>
      <c r="C466" s="97" t="s">
        <v>600</v>
      </c>
      <c r="D466" s="66" t="s">
        <v>59</v>
      </c>
      <c r="E466" s="67">
        <v>9819.6029999999992</v>
      </c>
      <c r="F466" s="68">
        <v>9819.6029999999992</v>
      </c>
      <c r="G466" s="68">
        <v>9819.6029999999992</v>
      </c>
      <c r="H466" s="69">
        <v>9533.5376099999994</v>
      </c>
      <c r="I466" s="68">
        <v>0</v>
      </c>
      <c r="J466" s="96" t="s">
        <v>45</v>
      </c>
      <c r="K466" s="71"/>
      <c r="L466" s="115"/>
    </row>
    <row r="467" spans="1:12" ht="51.75" x14ac:dyDescent="0.25">
      <c r="A467" s="1">
        <v>10</v>
      </c>
      <c r="B467" s="55">
        <f t="shared" ref="B467:B490" si="28">B466+1</f>
        <v>3</v>
      </c>
      <c r="C467" s="97" t="s">
        <v>601</v>
      </c>
      <c r="D467" s="66" t="s">
        <v>59</v>
      </c>
      <c r="E467" s="67">
        <v>1618.059</v>
      </c>
      <c r="F467" s="68">
        <v>1618.059</v>
      </c>
      <c r="G467" s="68">
        <v>1618.059</v>
      </c>
      <c r="H467" s="69">
        <v>1551.7239999999999</v>
      </c>
      <c r="I467" s="68">
        <v>0</v>
      </c>
      <c r="J467" s="61" t="s">
        <v>110</v>
      </c>
      <c r="K467" s="62" t="s">
        <v>115</v>
      </c>
      <c r="L467" s="115" t="s">
        <v>57</v>
      </c>
    </row>
    <row r="468" spans="1:12" ht="69" x14ac:dyDescent="0.25">
      <c r="A468" s="1">
        <v>10</v>
      </c>
      <c r="B468" s="55">
        <f t="shared" si="28"/>
        <v>4</v>
      </c>
      <c r="C468" s="97" t="s">
        <v>602</v>
      </c>
      <c r="D468" s="66" t="s">
        <v>153</v>
      </c>
      <c r="E468" s="67">
        <v>1402.3420000000001</v>
      </c>
      <c r="F468" s="68">
        <v>1402.3420000000001</v>
      </c>
      <c r="G468" s="68">
        <v>1402.3420000000001</v>
      </c>
      <c r="H468" s="69">
        <f>1129.497-0.0003</f>
        <v>1129.4967000000001</v>
      </c>
      <c r="I468" s="68">
        <v>0</v>
      </c>
      <c r="J468" s="61" t="s">
        <v>110</v>
      </c>
      <c r="K468" s="62" t="s">
        <v>115</v>
      </c>
      <c r="L468" s="115" t="s">
        <v>57</v>
      </c>
    </row>
    <row r="469" spans="1:12" ht="51.75" x14ac:dyDescent="0.25">
      <c r="A469" s="1">
        <v>10</v>
      </c>
      <c r="B469" s="55">
        <f t="shared" si="28"/>
        <v>5</v>
      </c>
      <c r="C469" s="97" t="s">
        <v>603</v>
      </c>
      <c r="D469" s="66" t="s">
        <v>153</v>
      </c>
      <c r="E469" s="67">
        <v>849.01400000000001</v>
      </c>
      <c r="F469" s="68">
        <v>849.01400000000001</v>
      </c>
      <c r="G469" s="68">
        <v>849.01400000000001</v>
      </c>
      <c r="H469" s="69">
        <v>802.08318999999995</v>
      </c>
      <c r="I469" s="68">
        <v>0</v>
      </c>
      <c r="J469" s="61" t="s">
        <v>110</v>
      </c>
      <c r="K469" s="62" t="s">
        <v>115</v>
      </c>
      <c r="L469" s="115" t="s">
        <v>57</v>
      </c>
    </row>
    <row r="470" spans="1:12" ht="69" x14ac:dyDescent="0.25">
      <c r="A470" s="1">
        <v>10</v>
      </c>
      <c r="B470" s="55">
        <f t="shared" si="28"/>
        <v>6</v>
      </c>
      <c r="C470" s="97" t="s">
        <v>604</v>
      </c>
      <c r="D470" s="66" t="s">
        <v>153</v>
      </c>
      <c r="E470" s="67">
        <v>11339.944</v>
      </c>
      <c r="F470" s="68">
        <v>11339.944</v>
      </c>
      <c r="G470" s="68">
        <v>11339.944</v>
      </c>
      <c r="H470" s="69">
        <f>11029.523-0.0003</f>
        <v>11029.5227</v>
      </c>
      <c r="I470" s="68">
        <v>0</v>
      </c>
      <c r="J470" s="61" t="s">
        <v>110</v>
      </c>
      <c r="K470" s="62" t="s">
        <v>115</v>
      </c>
      <c r="L470" s="115" t="s">
        <v>57</v>
      </c>
    </row>
    <row r="471" spans="1:12" ht="86.25" x14ac:dyDescent="0.25">
      <c r="A471" s="1">
        <v>10</v>
      </c>
      <c r="B471" s="55">
        <f t="shared" si="28"/>
        <v>7</v>
      </c>
      <c r="C471" s="97" t="s">
        <v>605</v>
      </c>
      <c r="D471" s="66" t="s">
        <v>153</v>
      </c>
      <c r="E471" s="67">
        <v>8995.7369999999992</v>
      </c>
      <c r="F471" s="68">
        <v>8995.7369999999992</v>
      </c>
      <c r="G471" s="68">
        <v>8995.7369999999992</v>
      </c>
      <c r="H471" s="69">
        <v>8485.7947999999997</v>
      </c>
      <c r="I471" s="68">
        <v>0</v>
      </c>
      <c r="J471" s="96" t="s">
        <v>45</v>
      </c>
      <c r="K471" s="71"/>
      <c r="L471" s="115"/>
    </row>
    <row r="472" spans="1:12" ht="51.75" x14ac:dyDescent="0.25">
      <c r="A472" s="1">
        <v>10</v>
      </c>
      <c r="B472" s="55">
        <f t="shared" si="28"/>
        <v>8</v>
      </c>
      <c r="C472" s="97" t="s">
        <v>606</v>
      </c>
      <c r="D472" s="66" t="s">
        <v>153</v>
      </c>
      <c r="E472" s="67">
        <v>8500.2739999999994</v>
      </c>
      <c r="F472" s="68">
        <v>8500.2739999999994</v>
      </c>
      <c r="G472" s="68">
        <v>8500.2739999999994</v>
      </c>
      <c r="H472" s="69">
        <f>7567.745-0.0004</f>
        <v>7567.7446</v>
      </c>
      <c r="I472" s="68">
        <v>0</v>
      </c>
      <c r="J472" s="96" t="s">
        <v>45</v>
      </c>
      <c r="K472" s="71"/>
      <c r="L472" s="115"/>
    </row>
    <row r="473" spans="1:12" ht="69" x14ac:dyDescent="0.25">
      <c r="A473" s="1">
        <v>10</v>
      </c>
      <c r="B473" s="55">
        <f t="shared" si="28"/>
        <v>9</v>
      </c>
      <c r="C473" s="97" t="s">
        <v>607</v>
      </c>
      <c r="D473" s="66" t="s">
        <v>153</v>
      </c>
      <c r="E473" s="67">
        <v>5310.4369999999999</v>
      </c>
      <c r="F473" s="68">
        <v>5310.4369999999999</v>
      </c>
      <c r="G473" s="68">
        <v>5310.4369999999999</v>
      </c>
      <c r="H473" s="69">
        <v>4459.7514000000001</v>
      </c>
      <c r="I473" s="68">
        <v>0</v>
      </c>
      <c r="J473" s="96" t="s">
        <v>45</v>
      </c>
      <c r="K473" s="71"/>
      <c r="L473" s="115"/>
    </row>
    <row r="474" spans="1:12" ht="69" x14ac:dyDescent="0.25">
      <c r="A474" s="1">
        <v>10</v>
      </c>
      <c r="B474" s="55">
        <f t="shared" si="28"/>
        <v>10</v>
      </c>
      <c r="C474" s="97" t="s">
        <v>608</v>
      </c>
      <c r="D474" s="66">
        <v>2015</v>
      </c>
      <c r="E474" s="67">
        <v>1367.095</v>
      </c>
      <c r="F474" s="68">
        <v>1367.095</v>
      </c>
      <c r="G474" s="68">
        <v>1367.095</v>
      </c>
      <c r="H474" s="69">
        <v>1088.059</v>
      </c>
      <c r="I474" s="68">
        <v>0</v>
      </c>
      <c r="J474" s="61" t="s">
        <v>110</v>
      </c>
      <c r="K474" s="62" t="s">
        <v>108</v>
      </c>
      <c r="L474" s="115" t="s">
        <v>57</v>
      </c>
    </row>
    <row r="475" spans="1:12" ht="51.75" x14ac:dyDescent="0.25">
      <c r="A475" s="1">
        <v>10</v>
      </c>
      <c r="B475" s="72">
        <f t="shared" si="28"/>
        <v>11</v>
      </c>
      <c r="C475" s="118" t="s">
        <v>609</v>
      </c>
      <c r="D475" s="74" t="s">
        <v>153</v>
      </c>
      <c r="E475" s="75">
        <v>2721.7159999999999</v>
      </c>
      <c r="F475" s="76">
        <v>2721.7159999999999</v>
      </c>
      <c r="G475" s="76">
        <v>2721.7159999999999</v>
      </c>
      <c r="H475" s="77">
        <v>2619.9389999999999</v>
      </c>
      <c r="I475" s="76">
        <v>0</v>
      </c>
      <c r="J475" s="61" t="s">
        <v>110</v>
      </c>
      <c r="K475" s="62" t="s">
        <v>108</v>
      </c>
      <c r="L475" s="115" t="s">
        <v>57</v>
      </c>
    </row>
    <row r="476" spans="1:12" ht="69" x14ac:dyDescent="0.25">
      <c r="A476" s="1">
        <v>10</v>
      </c>
      <c r="B476" s="72">
        <f t="shared" si="28"/>
        <v>12</v>
      </c>
      <c r="C476" s="118" t="s">
        <v>610</v>
      </c>
      <c r="D476" s="74" t="s">
        <v>153</v>
      </c>
      <c r="E476" s="75">
        <v>237.428</v>
      </c>
      <c r="F476" s="76">
        <v>237.428</v>
      </c>
      <c r="G476" s="76">
        <v>237.428</v>
      </c>
      <c r="H476" s="77">
        <v>213.273</v>
      </c>
      <c r="I476" s="76">
        <v>0</v>
      </c>
      <c r="J476" s="61" t="s">
        <v>110</v>
      </c>
      <c r="K476" s="62" t="s">
        <v>115</v>
      </c>
      <c r="L476" s="115" t="s">
        <v>57</v>
      </c>
    </row>
    <row r="477" spans="1:12" ht="51.75" x14ac:dyDescent="0.25">
      <c r="A477" s="1">
        <v>10</v>
      </c>
      <c r="B477" s="72">
        <f t="shared" si="28"/>
        <v>13</v>
      </c>
      <c r="C477" s="118" t="s">
        <v>611</v>
      </c>
      <c r="D477" s="74" t="s">
        <v>153</v>
      </c>
      <c r="E477" s="75">
        <v>4882.3779999999997</v>
      </c>
      <c r="F477" s="76">
        <v>4882.3779999999997</v>
      </c>
      <c r="G477" s="76">
        <v>4882.3779999999997</v>
      </c>
      <c r="H477" s="77">
        <v>4326.1530000000002</v>
      </c>
      <c r="I477" s="76">
        <v>0</v>
      </c>
      <c r="J477" s="61" t="s">
        <v>110</v>
      </c>
      <c r="K477" s="62" t="s">
        <v>115</v>
      </c>
      <c r="L477" s="115" t="s">
        <v>57</v>
      </c>
    </row>
    <row r="478" spans="1:12" ht="51.75" x14ac:dyDescent="0.25">
      <c r="A478" s="1">
        <v>10</v>
      </c>
      <c r="B478" s="72">
        <f t="shared" si="28"/>
        <v>14</v>
      </c>
      <c r="C478" s="118" t="s">
        <v>612</v>
      </c>
      <c r="D478" s="74" t="s">
        <v>153</v>
      </c>
      <c r="E478" s="75">
        <v>11893.415000000001</v>
      </c>
      <c r="F478" s="77">
        <v>11893.415000000001</v>
      </c>
      <c r="G478" s="77">
        <v>11893.415000000001</v>
      </c>
      <c r="H478" s="77">
        <v>11885.065000000001</v>
      </c>
      <c r="I478" s="76">
        <v>0</v>
      </c>
      <c r="J478" s="61" t="s">
        <v>110</v>
      </c>
      <c r="K478" s="62" t="s">
        <v>108</v>
      </c>
      <c r="L478" s="115" t="s">
        <v>57</v>
      </c>
    </row>
    <row r="479" spans="1:12" ht="34.5" x14ac:dyDescent="0.25">
      <c r="A479" s="1">
        <v>10</v>
      </c>
      <c r="B479" s="72">
        <f t="shared" si="28"/>
        <v>15</v>
      </c>
      <c r="C479" s="118" t="s">
        <v>613</v>
      </c>
      <c r="D479" s="74" t="s">
        <v>153</v>
      </c>
      <c r="E479" s="75">
        <v>9572.9539999999997</v>
      </c>
      <c r="F479" s="76">
        <v>9572.9539999999997</v>
      </c>
      <c r="G479" s="76">
        <v>9572.9539999999997</v>
      </c>
      <c r="H479" s="77">
        <v>6507.107</v>
      </c>
      <c r="I479" s="76">
        <v>0</v>
      </c>
      <c r="J479" s="96" t="s">
        <v>45</v>
      </c>
      <c r="K479" s="71"/>
      <c r="L479" s="115"/>
    </row>
    <row r="480" spans="1:12" ht="86.25" x14ac:dyDescent="0.25">
      <c r="A480" s="1">
        <v>10</v>
      </c>
      <c r="B480" s="72">
        <f t="shared" si="28"/>
        <v>16</v>
      </c>
      <c r="C480" s="118" t="s">
        <v>614</v>
      </c>
      <c r="D480" s="74" t="s">
        <v>153</v>
      </c>
      <c r="E480" s="75">
        <v>1077.5809999999999</v>
      </c>
      <c r="F480" s="76">
        <v>1077.5809999999999</v>
      </c>
      <c r="G480" s="76">
        <v>1077.5809999999999</v>
      </c>
      <c r="H480" s="77">
        <v>1025.1687999999999</v>
      </c>
      <c r="I480" s="76">
        <v>0</v>
      </c>
      <c r="J480" s="61" t="s">
        <v>110</v>
      </c>
      <c r="K480" s="62" t="s">
        <v>115</v>
      </c>
      <c r="L480" s="115" t="s">
        <v>57</v>
      </c>
    </row>
    <row r="481" spans="1:12" ht="86.25" x14ac:dyDescent="0.25">
      <c r="A481" s="1">
        <v>10</v>
      </c>
      <c r="B481" s="72">
        <f t="shared" si="28"/>
        <v>17</v>
      </c>
      <c r="C481" s="118" t="s">
        <v>615</v>
      </c>
      <c r="D481" s="74" t="s">
        <v>153</v>
      </c>
      <c r="E481" s="75">
        <v>1079.47</v>
      </c>
      <c r="F481" s="76">
        <v>1079.47</v>
      </c>
      <c r="G481" s="76">
        <v>1079.47</v>
      </c>
      <c r="H481" s="77">
        <v>1026.175</v>
      </c>
      <c r="I481" s="76">
        <v>0</v>
      </c>
      <c r="J481" s="61" t="s">
        <v>110</v>
      </c>
      <c r="K481" s="62" t="s">
        <v>121</v>
      </c>
      <c r="L481" s="115" t="s">
        <v>57</v>
      </c>
    </row>
    <row r="482" spans="1:12" ht="51.75" x14ac:dyDescent="0.25">
      <c r="A482" s="1">
        <v>10</v>
      </c>
      <c r="B482" s="72">
        <f t="shared" si="28"/>
        <v>18</v>
      </c>
      <c r="C482" s="118" t="s">
        <v>616</v>
      </c>
      <c r="D482" s="74" t="s">
        <v>153</v>
      </c>
      <c r="E482" s="75">
        <v>795.84299999999996</v>
      </c>
      <c r="F482" s="76">
        <v>795.84299999999996</v>
      </c>
      <c r="G482" s="76">
        <v>795.84299999999996</v>
      </c>
      <c r="H482" s="77">
        <v>777.58799999999997</v>
      </c>
      <c r="I482" s="76">
        <v>0</v>
      </c>
      <c r="J482" s="61" t="s">
        <v>110</v>
      </c>
      <c r="K482" s="62" t="s">
        <v>121</v>
      </c>
      <c r="L482" s="115" t="s">
        <v>57</v>
      </c>
    </row>
    <row r="483" spans="1:12" ht="69" x14ac:dyDescent="0.25">
      <c r="A483" s="1">
        <v>10</v>
      </c>
      <c r="B483" s="72">
        <f t="shared" si="28"/>
        <v>19</v>
      </c>
      <c r="C483" s="118" t="s">
        <v>617</v>
      </c>
      <c r="D483" s="74" t="s">
        <v>153</v>
      </c>
      <c r="E483" s="75">
        <v>871.83600000000001</v>
      </c>
      <c r="F483" s="76">
        <v>871.83600000000001</v>
      </c>
      <c r="G483" s="76">
        <v>871.83600000000001</v>
      </c>
      <c r="H483" s="77">
        <v>767.80890999999997</v>
      </c>
      <c r="I483" s="76">
        <v>0</v>
      </c>
      <c r="J483" s="61" t="s">
        <v>110</v>
      </c>
      <c r="K483" s="62" t="s">
        <v>108</v>
      </c>
      <c r="L483" s="115" t="s">
        <v>57</v>
      </c>
    </row>
    <row r="484" spans="1:12" ht="69" x14ac:dyDescent="0.25">
      <c r="A484" s="1">
        <v>10</v>
      </c>
      <c r="B484" s="72">
        <f t="shared" si="28"/>
        <v>20</v>
      </c>
      <c r="C484" s="118" t="s">
        <v>618</v>
      </c>
      <c r="D484" s="74" t="s">
        <v>153</v>
      </c>
      <c r="E484" s="75">
        <v>1017.139</v>
      </c>
      <c r="F484" s="76">
        <v>1017.139</v>
      </c>
      <c r="G484" s="76">
        <v>1017.139</v>
      </c>
      <c r="H484" s="77">
        <v>949.40413999999998</v>
      </c>
      <c r="I484" s="76">
        <v>0</v>
      </c>
      <c r="J484" s="61" t="s">
        <v>110</v>
      </c>
      <c r="K484" s="62" t="s">
        <v>115</v>
      </c>
      <c r="L484" s="115" t="s">
        <v>57</v>
      </c>
    </row>
    <row r="485" spans="1:12" ht="69" x14ac:dyDescent="0.25">
      <c r="A485" s="1">
        <v>10</v>
      </c>
      <c r="B485" s="72">
        <f t="shared" si="28"/>
        <v>21</v>
      </c>
      <c r="C485" s="118" t="s">
        <v>619</v>
      </c>
      <c r="D485" s="74" t="s">
        <v>153</v>
      </c>
      <c r="E485" s="75">
        <v>1004.215</v>
      </c>
      <c r="F485" s="76">
        <v>1004.215</v>
      </c>
      <c r="G485" s="76">
        <v>1004.215</v>
      </c>
      <c r="H485" s="77">
        <v>940.34699999999998</v>
      </c>
      <c r="I485" s="76">
        <v>0</v>
      </c>
      <c r="J485" s="61" t="s">
        <v>110</v>
      </c>
      <c r="K485" s="62" t="s">
        <v>115</v>
      </c>
      <c r="L485" s="115" t="s">
        <v>57</v>
      </c>
    </row>
    <row r="486" spans="1:12" ht="69" x14ac:dyDescent="0.25">
      <c r="A486" s="1">
        <v>10</v>
      </c>
      <c r="B486" s="72">
        <f t="shared" si="28"/>
        <v>22</v>
      </c>
      <c r="C486" s="118" t="s">
        <v>620</v>
      </c>
      <c r="D486" s="74" t="s">
        <v>153</v>
      </c>
      <c r="E486" s="75">
        <v>1079.6179999999999</v>
      </c>
      <c r="F486" s="76">
        <v>1079.6179999999999</v>
      </c>
      <c r="G486" s="76">
        <v>1079.6179999999999</v>
      </c>
      <c r="H486" s="77">
        <v>1026.373</v>
      </c>
      <c r="I486" s="76">
        <v>0</v>
      </c>
      <c r="J486" s="61" t="s">
        <v>110</v>
      </c>
      <c r="K486" s="62" t="s">
        <v>115</v>
      </c>
      <c r="L486" s="115" t="s">
        <v>57</v>
      </c>
    </row>
    <row r="487" spans="1:12" ht="69" x14ac:dyDescent="0.25">
      <c r="A487" s="1">
        <v>10</v>
      </c>
      <c r="B487" s="72">
        <f t="shared" si="28"/>
        <v>23</v>
      </c>
      <c r="C487" s="118" t="s">
        <v>621</v>
      </c>
      <c r="D487" s="74" t="s">
        <v>153</v>
      </c>
      <c r="E487" s="75">
        <v>1076.9380000000001</v>
      </c>
      <c r="F487" s="76">
        <v>1076.9380000000001</v>
      </c>
      <c r="G487" s="76">
        <v>1076.9380000000001</v>
      </c>
      <c r="H487" s="77">
        <v>1024.5848000000001</v>
      </c>
      <c r="I487" s="76">
        <v>0</v>
      </c>
      <c r="J487" s="61" t="s">
        <v>110</v>
      </c>
      <c r="K487" s="62" t="s">
        <v>115</v>
      </c>
      <c r="L487" s="115" t="s">
        <v>57</v>
      </c>
    </row>
    <row r="488" spans="1:12" ht="103.5" x14ac:dyDescent="0.25">
      <c r="A488" s="1">
        <v>10</v>
      </c>
      <c r="B488" s="72">
        <f t="shared" si="28"/>
        <v>24</v>
      </c>
      <c r="C488" s="118" t="s">
        <v>622</v>
      </c>
      <c r="D488" s="74" t="s">
        <v>153</v>
      </c>
      <c r="E488" s="75">
        <v>1077.001</v>
      </c>
      <c r="F488" s="76">
        <v>1077.001</v>
      </c>
      <c r="G488" s="76">
        <v>1077.001</v>
      </c>
      <c r="H488" s="77">
        <v>1024.712</v>
      </c>
      <c r="I488" s="76">
        <v>0</v>
      </c>
      <c r="J488" s="61" t="s">
        <v>110</v>
      </c>
      <c r="K488" s="62" t="s">
        <v>121</v>
      </c>
      <c r="L488" s="115" t="s">
        <v>57</v>
      </c>
    </row>
    <row r="489" spans="1:12" ht="51.75" x14ac:dyDescent="0.25">
      <c r="A489" s="1">
        <v>10</v>
      </c>
      <c r="B489" s="72">
        <f t="shared" si="28"/>
        <v>25</v>
      </c>
      <c r="C489" s="118" t="s">
        <v>623</v>
      </c>
      <c r="D489" s="74" t="s">
        <v>153</v>
      </c>
      <c r="E489" s="75">
        <v>806.84500000000003</v>
      </c>
      <c r="F489" s="76">
        <v>806.84500000000003</v>
      </c>
      <c r="G489" s="76">
        <v>806.84500000000003</v>
      </c>
      <c r="H489" s="77">
        <v>721.98900000000003</v>
      </c>
      <c r="I489" s="76">
        <v>0</v>
      </c>
      <c r="J489" s="61" t="s">
        <v>110</v>
      </c>
      <c r="K489" s="62" t="s">
        <v>303</v>
      </c>
      <c r="L489" s="125" t="s">
        <v>57</v>
      </c>
    </row>
    <row r="490" spans="1:12" ht="69.75" thickBot="1" x14ac:dyDescent="0.3">
      <c r="A490" s="1">
        <v>10</v>
      </c>
      <c r="B490" s="82">
        <f t="shared" si="28"/>
        <v>26</v>
      </c>
      <c r="C490" s="104" t="s">
        <v>624</v>
      </c>
      <c r="D490" s="84" t="s">
        <v>153</v>
      </c>
      <c r="E490" s="85">
        <v>416.30500000000001</v>
      </c>
      <c r="F490" s="86">
        <v>416.30500000000001</v>
      </c>
      <c r="G490" s="86">
        <v>416.30500000000001</v>
      </c>
      <c r="H490" s="86">
        <v>414.09339999999997</v>
      </c>
      <c r="I490" s="86">
        <v>0</v>
      </c>
      <c r="J490" s="89" t="s">
        <v>110</v>
      </c>
      <c r="K490" s="90" t="s">
        <v>115</v>
      </c>
      <c r="L490" s="123" t="s">
        <v>57</v>
      </c>
    </row>
    <row r="491" spans="1:12" ht="15.75" thickBot="1" x14ac:dyDescent="0.3">
      <c r="A491" s="1">
        <v>11</v>
      </c>
      <c r="B491" s="186" t="s">
        <v>625</v>
      </c>
      <c r="C491" s="187"/>
      <c r="D491" s="187"/>
      <c r="E491" s="187"/>
      <c r="F491" s="187"/>
      <c r="G491" s="187"/>
      <c r="H491" s="187"/>
      <c r="I491" s="187"/>
      <c r="J491" s="187"/>
      <c r="K491" s="187"/>
      <c r="L491" s="188"/>
    </row>
    <row r="492" spans="1:12" ht="18.75" x14ac:dyDescent="0.25">
      <c r="A492" s="1">
        <v>11</v>
      </c>
      <c r="B492" s="36"/>
      <c r="C492" s="37" t="s">
        <v>24</v>
      </c>
      <c r="D492" s="38"/>
      <c r="E492" s="39">
        <f>SUM(E493,E495:E522)</f>
        <v>90731.20299999998</v>
      </c>
      <c r="F492" s="40">
        <f t="shared" ref="F492:I492" si="29">SUM(F493,F495:F522)</f>
        <v>90731.20299999998</v>
      </c>
      <c r="G492" s="40">
        <f t="shared" si="29"/>
        <v>90731.20299999998</v>
      </c>
      <c r="H492" s="40">
        <f t="shared" si="29"/>
        <v>84805.292000000001</v>
      </c>
      <c r="I492" s="40">
        <f t="shared" si="29"/>
        <v>0</v>
      </c>
      <c r="J492" s="92"/>
      <c r="K492" s="93"/>
      <c r="L492" s="38"/>
    </row>
    <row r="493" spans="1:12" ht="18.75" x14ac:dyDescent="0.25">
      <c r="A493" s="1">
        <v>11</v>
      </c>
      <c r="B493" s="46"/>
      <c r="C493" s="24" t="s">
        <v>21</v>
      </c>
      <c r="D493" s="47"/>
      <c r="E493" s="48">
        <v>0</v>
      </c>
      <c r="F493" s="49">
        <v>0</v>
      </c>
      <c r="G493" s="49">
        <v>0</v>
      </c>
      <c r="H493" s="49"/>
      <c r="I493" s="49"/>
      <c r="J493" s="95"/>
      <c r="K493" s="25"/>
      <c r="L493" s="47"/>
    </row>
    <row r="494" spans="1:12" ht="16.5" x14ac:dyDescent="0.25">
      <c r="A494" s="1">
        <v>11</v>
      </c>
      <c r="B494" s="46"/>
      <c r="C494" s="54" t="s">
        <v>22</v>
      </c>
      <c r="D494" s="47"/>
      <c r="E494" s="48">
        <f>SUM(E495:E522)</f>
        <v>90731.20299999998</v>
      </c>
      <c r="F494" s="49">
        <f t="shared" ref="F494:I494" si="30">SUM(F495:F522)</f>
        <v>90731.20299999998</v>
      </c>
      <c r="G494" s="49">
        <f t="shared" si="30"/>
        <v>90731.20299999998</v>
      </c>
      <c r="H494" s="49">
        <f t="shared" si="30"/>
        <v>84805.292000000001</v>
      </c>
      <c r="I494" s="49">
        <f t="shared" si="30"/>
        <v>0</v>
      </c>
      <c r="J494" s="95"/>
      <c r="K494" s="25"/>
      <c r="L494" s="47"/>
    </row>
    <row r="495" spans="1:12" ht="69" x14ac:dyDescent="0.25">
      <c r="A495" s="1">
        <v>11</v>
      </c>
      <c r="B495" s="55">
        <v>1</v>
      </c>
      <c r="C495" s="65" t="s">
        <v>626</v>
      </c>
      <c r="D495" s="66" t="s">
        <v>153</v>
      </c>
      <c r="E495" s="67">
        <v>6601.0730000000003</v>
      </c>
      <c r="F495" s="68">
        <v>6601.0730000000003</v>
      </c>
      <c r="G495" s="68">
        <v>6601.0730000000003</v>
      </c>
      <c r="H495" s="68">
        <v>6133.0060000000003</v>
      </c>
      <c r="I495" s="68">
        <v>0</v>
      </c>
      <c r="J495" s="61" t="s">
        <v>627</v>
      </c>
      <c r="K495" s="62"/>
      <c r="L495" s="57"/>
    </row>
    <row r="496" spans="1:12" ht="69" x14ac:dyDescent="0.25">
      <c r="A496" s="1">
        <v>11</v>
      </c>
      <c r="B496" s="55">
        <f>B495+1</f>
        <v>2</v>
      </c>
      <c r="C496" s="65" t="s">
        <v>628</v>
      </c>
      <c r="D496" s="66" t="s">
        <v>153</v>
      </c>
      <c r="E496" s="67">
        <v>31603.748</v>
      </c>
      <c r="F496" s="68">
        <v>31603.748</v>
      </c>
      <c r="G496" s="68">
        <v>31603.748</v>
      </c>
      <c r="H496" s="68">
        <v>31600.156999999999</v>
      </c>
      <c r="I496" s="68">
        <v>0</v>
      </c>
      <c r="J496" s="61" t="s">
        <v>627</v>
      </c>
      <c r="K496" s="62"/>
      <c r="L496" s="57"/>
    </row>
    <row r="497" spans="1:12" ht="69" x14ac:dyDescent="0.25">
      <c r="A497" s="1">
        <v>11</v>
      </c>
      <c r="B497" s="55">
        <f t="shared" ref="B497:B522" si="31">B496+1</f>
        <v>3</v>
      </c>
      <c r="C497" s="65" t="s">
        <v>629</v>
      </c>
      <c r="D497" s="66" t="s">
        <v>153</v>
      </c>
      <c r="E497" s="67">
        <v>7014.8850000000002</v>
      </c>
      <c r="F497" s="68">
        <v>7014.8849999999993</v>
      </c>
      <c r="G497" s="68">
        <v>7014.8849999999993</v>
      </c>
      <c r="H497" s="68">
        <v>6482.2370000000001</v>
      </c>
      <c r="I497" s="68">
        <v>0</v>
      </c>
      <c r="J497" s="61" t="s">
        <v>627</v>
      </c>
      <c r="K497" s="62"/>
      <c r="L497" s="57"/>
    </row>
    <row r="498" spans="1:12" ht="86.25" x14ac:dyDescent="0.25">
      <c r="A498" s="1">
        <v>11</v>
      </c>
      <c r="B498" s="55">
        <f t="shared" si="31"/>
        <v>4</v>
      </c>
      <c r="C498" s="65" t="s">
        <v>630</v>
      </c>
      <c r="D498" s="66" t="s">
        <v>153</v>
      </c>
      <c r="E498" s="67">
        <v>6240.165</v>
      </c>
      <c r="F498" s="68">
        <v>6240.165</v>
      </c>
      <c r="G498" s="68">
        <v>6240.165</v>
      </c>
      <c r="H498" s="68">
        <v>4406.8810000000003</v>
      </c>
      <c r="I498" s="68">
        <v>0</v>
      </c>
      <c r="J498" s="61" t="s">
        <v>631</v>
      </c>
      <c r="K498" s="62"/>
      <c r="L498" s="57"/>
    </row>
    <row r="499" spans="1:12" ht="86.25" x14ac:dyDescent="0.25">
      <c r="A499" s="1">
        <v>11</v>
      </c>
      <c r="B499" s="64">
        <f t="shared" si="31"/>
        <v>5</v>
      </c>
      <c r="C499" s="65" t="s">
        <v>632</v>
      </c>
      <c r="D499" s="66" t="s">
        <v>153</v>
      </c>
      <c r="E499" s="67">
        <f>6895.9-1689.377</f>
        <v>5206.5229999999992</v>
      </c>
      <c r="F499" s="68">
        <v>5206.5230000000001</v>
      </c>
      <c r="G499" s="68">
        <v>5206.5230000000001</v>
      </c>
      <c r="H499" s="68">
        <v>5150.83</v>
      </c>
      <c r="I499" s="68">
        <v>0</v>
      </c>
      <c r="J499" s="61" t="s">
        <v>45</v>
      </c>
      <c r="K499" s="62"/>
      <c r="L499" s="57"/>
    </row>
    <row r="500" spans="1:12" ht="86.25" x14ac:dyDescent="0.25">
      <c r="A500" s="1">
        <v>11</v>
      </c>
      <c r="B500" s="55">
        <f t="shared" si="31"/>
        <v>6</v>
      </c>
      <c r="C500" s="65" t="s">
        <v>633</v>
      </c>
      <c r="D500" s="66" t="s">
        <v>153</v>
      </c>
      <c r="E500" s="67">
        <v>5060.0649999999996</v>
      </c>
      <c r="F500" s="68">
        <v>5060.0649999999996</v>
      </c>
      <c r="G500" s="68">
        <v>5060.0649999999996</v>
      </c>
      <c r="H500" s="68">
        <v>4896.5460000000003</v>
      </c>
      <c r="I500" s="68">
        <v>0</v>
      </c>
      <c r="J500" s="61" t="s">
        <v>627</v>
      </c>
      <c r="K500" s="62" t="s">
        <v>30</v>
      </c>
      <c r="L500" s="57"/>
    </row>
    <row r="501" spans="1:12" ht="86.25" x14ac:dyDescent="0.25">
      <c r="A501" s="1">
        <v>11</v>
      </c>
      <c r="B501" s="55">
        <f t="shared" si="31"/>
        <v>7</v>
      </c>
      <c r="C501" s="65" t="s">
        <v>634</v>
      </c>
      <c r="D501" s="66" t="s">
        <v>153</v>
      </c>
      <c r="E501" s="67">
        <v>342.36</v>
      </c>
      <c r="F501" s="68">
        <v>342.36</v>
      </c>
      <c r="G501" s="68">
        <v>342.36</v>
      </c>
      <c r="H501" s="68">
        <v>342.36</v>
      </c>
      <c r="I501" s="68">
        <v>0</v>
      </c>
      <c r="J501" s="61" t="s">
        <v>110</v>
      </c>
      <c r="K501" s="71" t="s">
        <v>30</v>
      </c>
      <c r="L501" s="57"/>
    </row>
    <row r="502" spans="1:12" ht="86.25" x14ac:dyDescent="0.25">
      <c r="A502" s="1">
        <v>11</v>
      </c>
      <c r="B502" s="55">
        <f t="shared" si="31"/>
        <v>8</v>
      </c>
      <c r="C502" s="65" t="s">
        <v>635</v>
      </c>
      <c r="D502" s="66" t="s">
        <v>69</v>
      </c>
      <c r="E502" s="67">
        <v>809.55200000000002</v>
      </c>
      <c r="F502" s="68">
        <v>809.55200000000002</v>
      </c>
      <c r="G502" s="68">
        <v>809.55200000000002</v>
      </c>
      <c r="H502" s="68">
        <v>569.13800000000003</v>
      </c>
      <c r="I502" s="68">
        <v>0</v>
      </c>
      <c r="J502" s="61" t="s">
        <v>45</v>
      </c>
      <c r="K502" s="62"/>
      <c r="L502" s="115"/>
    </row>
    <row r="503" spans="1:12" ht="155.25" x14ac:dyDescent="0.25">
      <c r="A503" s="1">
        <v>11</v>
      </c>
      <c r="B503" s="55">
        <f t="shared" si="31"/>
        <v>9</v>
      </c>
      <c r="C503" s="102" t="s">
        <v>636</v>
      </c>
      <c r="D503" s="66" t="s">
        <v>153</v>
      </c>
      <c r="E503" s="67">
        <v>1789.4110000000001</v>
      </c>
      <c r="F503" s="68">
        <v>1789.4110000000001</v>
      </c>
      <c r="G503" s="68">
        <v>1789.4110000000001</v>
      </c>
      <c r="H503" s="68">
        <v>1557.4390000000001</v>
      </c>
      <c r="I503" s="68">
        <v>0</v>
      </c>
      <c r="J503" s="61" t="s">
        <v>110</v>
      </c>
      <c r="K503" s="62" t="s">
        <v>30</v>
      </c>
      <c r="L503" s="57"/>
    </row>
    <row r="504" spans="1:12" ht="103.5" x14ac:dyDescent="0.25">
      <c r="A504" s="1">
        <v>11</v>
      </c>
      <c r="B504" s="55">
        <f t="shared" si="31"/>
        <v>10</v>
      </c>
      <c r="C504" s="65" t="s">
        <v>637</v>
      </c>
      <c r="D504" s="66" t="s">
        <v>153</v>
      </c>
      <c r="E504" s="67">
        <v>2065.866</v>
      </c>
      <c r="F504" s="68">
        <v>2065.866</v>
      </c>
      <c r="G504" s="68">
        <v>2065.866</v>
      </c>
      <c r="H504" s="68">
        <v>1837.8340000000001</v>
      </c>
      <c r="I504" s="68">
        <v>0</v>
      </c>
      <c r="J504" s="61" t="s">
        <v>29</v>
      </c>
      <c r="K504" s="62" t="s">
        <v>30</v>
      </c>
      <c r="L504" s="57"/>
    </row>
    <row r="505" spans="1:12" ht="86.25" x14ac:dyDescent="0.25">
      <c r="A505" s="1">
        <v>11</v>
      </c>
      <c r="B505" s="55">
        <f t="shared" si="31"/>
        <v>11</v>
      </c>
      <c r="C505" s="65" t="s">
        <v>638</v>
      </c>
      <c r="D505" s="66" t="s">
        <v>153</v>
      </c>
      <c r="E505" s="67">
        <v>2993.1239999999998</v>
      </c>
      <c r="F505" s="68">
        <v>2993.1240000000003</v>
      </c>
      <c r="G505" s="68">
        <v>2993.1240000000003</v>
      </c>
      <c r="H505" s="68">
        <v>1616.0239999999999</v>
      </c>
      <c r="I505" s="68">
        <v>0</v>
      </c>
      <c r="J505" s="61" t="s">
        <v>45</v>
      </c>
      <c r="K505" s="62"/>
      <c r="L505" s="57"/>
    </row>
    <row r="506" spans="1:12" ht="69" x14ac:dyDescent="0.25">
      <c r="A506" s="1">
        <v>11</v>
      </c>
      <c r="B506" s="55">
        <f t="shared" si="31"/>
        <v>12</v>
      </c>
      <c r="C506" s="65" t="s">
        <v>639</v>
      </c>
      <c r="D506" s="66" t="s">
        <v>153</v>
      </c>
      <c r="E506" s="67">
        <v>471.2</v>
      </c>
      <c r="F506" s="68">
        <v>471.2</v>
      </c>
      <c r="G506" s="68">
        <v>471.2</v>
      </c>
      <c r="H506" s="68">
        <v>470.99299999999999</v>
      </c>
      <c r="I506" s="68">
        <v>0</v>
      </c>
      <c r="J506" s="61" t="s">
        <v>110</v>
      </c>
      <c r="K506" s="62" t="s">
        <v>30</v>
      </c>
      <c r="L506" s="57"/>
    </row>
    <row r="507" spans="1:12" ht="69" x14ac:dyDescent="0.25">
      <c r="A507" s="1">
        <v>11</v>
      </c>
      <c r="B507" s="55">
        <f t="shared" si="31"/>
        <v>13</v>
      </c>
      <c r="C507" s="65" t="s">
        <v>640</v>
      </c>
      <c r="D507" s="66" t="s">
        <v>153</v>
      </c>
      <c r="E507" s="67">
        <v>757.9</v>
      </c>
      <c r="F507" s="68">
        <v>757.9</v>
      </c>
      <c r="G507" s="68">
        <v>757.9</v>
      </c>
      <c r="H507" s="68">
        <v>756.64700000000005</v>
      </c>
      <c r="I507" s="68">
        <v>0</v>
      </c>
      <c r="J507" s="61" t="s">
        <v>110</v>
      </c>
      <c r="K507" s="62" t="s">
        <v>30</v>
      </c>
      <c r="L507" s="57"/>
    </row>
    <row r="508" spans="1:12" ht="51.75" x14ac:dyDescent="0.25">
      <c r="A508" s="1">
        <v>11</v>
      </c>
      <c r="B508" s="55">
        <f t="shared" si="31"/>
        <v>14</v>
      </c>
      <c r="C508" s="65" t="s">
        <v>641</v>
      </c>
      <c r="D508" s="66" t="s">
        <v>153</v>
      </c>
      <c r="E508" s="67">
        <v>898.60400000000004</v>
      </c>
      <c r="F508" s="68">
        <v>898.60400000000004</v>
      </c>
      <c r="G508" s="68">
        <v>898.60400000000004</v>
      </c>
      <c r="H508" s="68">
        <v>878.97</v>
      </c>
      <c r="I508" s="68">
        <v>0</v>
      </c>
      <c r="J508" s="61" t="s">
        <v>110</v>
      </c>
      <c r="K508" s="62" t="s">
        <v>30</v>
      </c>
      <c r="L508" s="57"/>
    </row>
    <row r="509" spans="1:12" ht="69" x14ac:dyDescent="0.25">
      <c r="A509" s="1">
        <v>11</v>
      </c>
      <c r="B509" s="55">
        <f t="shared" si="31"/>
        <v>15</v>
      </c>
      <c r="C509" s="65" t="s">
        <v>642</v>
      </c>
      <c r="D509" s="66" t="s">
        <v>153</v>
      </c>
      <c r="E509" s="67">
        <v>461.29399999999998</v>
      </c>
      <c r="F509" s="68">
        <v>461.29399999999998</v>
      </c>
      <c r="G509" s="68">
        <v>461.29399999999998</v>
      </c>
      <c r="H509" s="68">
        <v>461.29399999999998</v>
      </c>
      <c r="I509" s="68">
        <v>0</v>
      </c>
      <c r="J509" s="61" t="s">
        <v>29</v>
      </c>
      <c r="K509" s="62" t="s">
        <v>30</v>
      </c>
      <c r="L509" s="57"/>
    </row>
    <row r="510" spans="1:12" ht="86.25" x14ac:dyDescent="0.25">
      <c r="A510" s="1">
        <v>11</v>
      </c>
      <c r="B510" s="55">
        <f t="shared" si="31"/>
        <v>16</v>
      </c>
      <c r="C510" s="65" t="s">
        <v>643</v>
      </c>
      <c r="D510" s="66" t="s">
        <v>153</v>
      </c>
      <c r="E510" s="67">
        <v>2861.252</v>
      </c>
      <c r="F510" s="68">
        <v>2861.252</v>
      </c>
      <c r="G510" s="68">
        <v>2861.252</v>
      </c>
      <c r="H510" s="68">
        <v>2715.174</v>
      </c>
      <c r="I510" s="68">
        <v>0</v>
      </c>
      <c r="J510" s="61" t="s">
        <v>627</v>
      </c>
      <c r="K510" s="62"/>
      <c r="L510" s="57"/>
    </row>
    <row r="511" spans="1:12" ht="86.25" x14ac:dyDescent="0.25">
      <c r="A511" s="1">
        <v>11</v>
      </c>
      <c r="B511" s="55">
        <f t="shared" si="31"/>
        <v>17</v>
      </c>
      <c r="C511" s="65" t="s">
        <v>644</v>
      </c>
      <c r="D511" s="66" t="s">
        <v>153</v>
      </c>
      <c r="E511" s="67">
        <v>677.18200000000002</v>
      </c>
      <c r="F511" s="68">
        <v>677.18200000000002</v>
      </c>
      <c r="G511" s="68">
        <v>677.18200000000002</v>
      </c>
      <c r="H511" s="68">
        <v>674.61800000000005</v>
      </c>
      <c r="I511" s="68">
        <v>0</v>
      </c>
      <c r="J511" s="61" t="s">
        <v>45</v>
      </c>
      <c r="K511" s="62"/>
      <c r="L511" s="99" t="s">
        <v>126</v>
      </c>
    </row>
    <row r="512" spans="1:12" ht="86.25" x14ac:dyDescent="0.25">
      <c r="A512" s="1">
        <v>11</v>
      </c>
      <c r="B512" s="55">
        <f t="shared" si="31"/>
        <v>18</v>
      </c>
      <c r="C512" s="65" t="s">
        <v>645</v>
      </c>
      <c r="D512" s="66" t="s">
        <v>153</v>
      </c>
      <c r="E512" s="67">
        <v>656.11</v>
      </c>
      <c r="F512" s="68">
        <v>656.11</v>
      </c>
      <c r="G512" s="68">
        <v>656.11</v>
      </c>
      <c r="H512" s="68">
        <v>656.11</v>
      </c>
      <c r="I512" s="68">
        <v>0</v>
      </c>
      <c r="J512" s="61" t="s">
        <v>45</v>
      </c>
      <c r="K512" s="62"/>
      <c r="L512" s="63" t="s">
        <v>126</v>
      </c>
    </row>
    <row r="513" spans="1:12" ht="69" x14ac:dyDescent="0.25">
      <c r="A513" s="1">
        <v>11</v>
      </c>
      <c r="B513" s="55">
        <f t="shared" si="31"/>
        <v>19</v>
      </c>
      <c r="C513" s="65" t="s">
        <v>646</v>
      </c>
      <c r="D513" s="66" t="s">
        <v>153</v>
      </c>
      <c r="E513" s="67">
        <v>800.90599999999995</v>
      </c>
      <c r="F513" s="68">
        <v>800.90599999999995</v>
      </c>
      <c r="G513" s="68">
        <v>800.90599999999995</v>
      </c>
      <c r="H513" s="68">
        <v>800.56700000000001</v>
      </c>
      <c r="I513" s="68">
        <v>0</v>
      </c>
      <c r="J513" s="61" t="s">
        <v>45</v>
      </c>
      <c r="K513" s="62"/>
      <c r="L513" s="63" t="s">
        <v>126</v>
      </c>
    </row>
    <row r="514" spans="1:12" ht="51.75" x14ac:dyDescent="0.25">
      <c r="A514" s="1">
        <v>11</v>
      </c>
      <c r="B514" s="55">
        <f t="shared" si="31"/>
        <v>20</v>
      </c>
      <c r="C514" s="65" t="s">
        <v>647</v>
      </c>
      <c r="D514" s="66" t="s">
        <v>153</v>
      </c>
      <c r="E514" s="67">
        <v>144</v>
      </c>
      <c r="F514" s="68">
        <v>144</v>
      </c>
      <c r="G514" s="68">
        <v>144</v>
      </c>
      <c r="H514" s="68">
        <v>143.916</v>
      </c>
      <c r="I514" s="68">
        <v>0</v>
      </c>
      <c r="J514" s="61" t="s">
        <v>110</v>
      </c>
      <c r="K514" s="62" t="s">
        <v>30</v>
      </c>
      <c r="L514" s="57"/>
    </row>
    <row r="515" spans="1:12" ht="69" x14ac:dyDescent="0.25">
      <c r="A515" s="1">
        <v>11</v>
      </c>
      <c r="B515" s="55">
        <f t="shared" si="31"/>
        <v>21</v>
      </c>
      <c r="C515" s="65" t="s">
        <v>648</v>
      </c>
      <c r="D515" s="66" t="s">
        <v>153</v>
      </c>
      <c r="E515" s="67">
        <v>167.934</v>
      </c>
      <c r="F515" s="68">
        <v>167.934</v>
      </c>
      <c r="G515" s="68">
        <v>167.934</v>
      </c>
      <c r="H515" s="68">
        <v>160.71899999999999</v>
      </c>
      <c r="I515" s="68">
        <v>0</v>
      </c>
      <c r="J515" s="61" t="s">
        <v>110</v>
      </c>
      <c r="K515" s="62" t="s">
        <v>30</v>
      </c>
      <c r="L515" s="57"/>
    </row>
    <row r="516" spans="1:12" ht="86.25" x14ac:dyDescent="0.25">
      <c r="A516" s="1">
        <v>11</v>
      </c>
      <c r="B516" s="55">
        <f t="shared" si="31"/>
        <v>22</v>
      </c>
      <c r="C516" s="65" t="s">
        <v>649</v>
      </c>
      <c r="D516" s="66" t="s">
        <v>153</v>
      </c>
      <c r="E516" s="67">
        <v>6795.09</v>
      </c>
      <c r="F516" s="68">
        <v>6795.09</v>
      </c>
      <c r="G516" s="68">
        <v>6795.09</v>
      </c>
      <c r="H516" s="68">
        <v>6776.5169999999998</v>
      </c>
      <c r="I516" s="68">
        <v>0</v>
      </c>
      <c r="J516" s="61" t="s">
        <v>45</v>
      </c>
      <c r="K516" s="62"/>
      <c r="L516" s="57"/>
    </row>
    <row r="517" spans="1:12" ht="51.75" x14ac:dyDescent="0.25">
      <c r="A517" s="1">
        <v>11</v>
      </c>
      <c r="B517" s="55">
        <f t="shared" si="31"/>
        <v>23</v>
      </c>
      <c r="C517" s="65" t="s">
        <v>650</v>
      </c>
      <c r="D517" s="66" t="s">
        <v>69</v>
      </c>
      <c r="E517" s="67">
        <v>306</v>
      </c>
      <c r="F517" s="68">
        <v>306</v>
      </c>
      <c r="G517" s="68">
        <v>306</v>
      </c>
      <c r="H517" s="68">
        <v>298.55099999999999</v>
      </c>
      <c r="I517" s="68">
        <v>0</v>
      </c>
      <c r="J517" s="61" t="s">
        <v>110</v>
      </c>
      <c r="K517" s="62" t="s">
        <v>30</v>
      </c>
      <c r="L517" s="57"/>
    </row>
    <row r="518" spans="1:12" ht="103.5" x14ac:dyDescent="0.25">
      <c r="A518" s="1">
        <v>11</v>
      </c>
      <c r="B518" s="55">
        <f t="shared" si="31"/>
        <v>24</v>
      </c>
      <c r="C518" s="65" t="s">
        <v>651</v>
      </c>
      <c r="D518" s="66" t="s">
        <v>69</v>
      </c>
      <c r="E518" s="67">
        <v>671</v>
      </c>
      <c r="F518" s="68">
        <v>671</v>
      </c>
      <c r="G518" s="68">
        <v>671</v>
      </c>
      <c r="H518" s="68">
        <v>666.053</v>
      </c>
      <c r="I518" s="68">
        <v>0</v>
      </c>
      <c r="J518" s="61" t="s">
        <v>652</v>
      </c>
      <c r="K518" s="71" t="s">
        <v>30</v>
      </c>
      <c r="L518" s="57"/>
    </row>
    <row r="519" spans="1:12" ht="69" x14ac:dyDescent="0.25">
      <c r="A519" s="1">
        <v>11</v>
      </c>
      <c r="B519" s="55">
        <f t="shared" si="31"/>
        <v>25</v>
      </c>
      <c r="C519" s="65" t="s">
        <v>653</v>
      </c>
      <c r="D519" s="66" t="s">
        <v>153</v>
      </c>
      <c r="E519" s="67">
        <v>1396.0889999999999</v>
      </c>
      <c r="F519" s="68">
        <v>1396.0889999999999</v>
      </c>
      <c r="G519" s="68">
        <v>1396.0889999999999</v>
      </c>
      <c r="H519" s="68">
        <v>1164.694</v>
      </c>
      <c r="I519" s="68">
        <v>0</v>
      </c>
      <c r="J519" s="61" t="s">
        <v>45</v>
      </c>
      <c r="K519" s="62"/>
      <c r="L519" s="57" t="s">
        <v>126</v>
      </c>
    </row>
    <row r="520" spans="1:12" ht="69" x14ac:dyDescent="0.25">
      <c r="A520" s="1">
        <v>11</v>
      </c>
      <c r="B520" s="55">
        <f t="shared" si="31"/>
        <v>26</v>
      </c>
      <c r="C520" s="65" t="s">
        <v>654</v>
      </c>
      <c r="D520" s="66" t="s">
        <v>153</v>
      </c>
      <c r="E520" s="67">
        <v>2987.828</v>
      </c>
      <c r="F520" s="68">
        <v>2987.8280000000004</v>
      </c>
      <c r="G520" s="68">
        <v>2987.8280000000004</v>
      </c>
      <c r="H520" s="68">
        <v>2636.136</v>
      </c>
      <c r="I520" s="68">
        <v>0</v>
      </c>
      <c r="J520" s="61" t="s">
        <v>45</v>
      </c>
      <c r="K520" s="62"/>
      <c r="L520" s="57"/>
    </row>
    <row r="521" spans="1:12" ht="51.75" x14ac:dyDescent="0.25">
      <c r="A521" s="1">
        <v>11</v>
      </c>
      <c r="B521" s="55">
        <f t="shared" si="31"/>
        <v>27</v>
      </c>
      <c r="C521" s="65" t="s">
        <v>655</v>
      </c>
      <c r="D521" s="66" t="s">
        <v>153</v>
      </c>
      <c r="E521" s="67">
        <v>852.04200000000003</v>
      </c>
      <c r="F521" s="68">
        <v>852.04200000000014</v>
      </c>
      <c r="G521" s="68">
        <v>852.04200000000014</v>
      </c>
      <c r="H521" s="68">
        <v>852.04200000000003</v>
      </c>
      <c r="I521" s="68">
        <v>0</v>
      </c>
      <c r="J521" s="61" t="s">
        <v>110</v>
      </c>
      <c r="K521" s="62" t="s">
        <v>30</v>
      </c>
      <c r="L521" s="57"/>
    </row>
    <row r="522" spans="1:12" ht="87" thickBot="1" x14ac:dyDescent="0.3">
      <c r="A522" s="1">
        <v>11</v>
      </c>
      <c r="B522" s="82">
        <f t="shared" si="31"/>
        <v>28</v>
      </c>
      <c r="C522" s="83" t="s">
        <v>656</v>
      </c>
      <c r="D522" s="84" t="s">
        <v>153</v>
      </c>
      <c r="E522" s="85">
        <v>100</v>
      </c>
      <c r="F522" s="86">
        <v>100</v>
      </c>
      <c r="G522" s="86">
        <v>100</v>
      </c>
      <c r="H522" s="86">
        <v>99.838999999999999</v>
      </c>
      <c r="I522" s="86">
        <v>0</v>
      </c>
      <c r="J522" s="89" t="s">
        <v>110</v>
      </c>
      <c r="K522" s="90" t="s">
        <v>30</v>
      </c>
      <c r="L522" s="123"/>
    </row>
    <row r="523" spans="1:12" ht="15.75" thickBot="1" x14ac:dyDescent="0.3">
      <c r="A523" s="1">
        <v>12</v>
      </c>
      <c r="B523" s="189" t="s">
        <v>657</v>
      </c>
      <c r="C523" s="190"/>
      <c r="D523" s="190"/>
      <c r="E523" s="187"/>
      <c r="F523" s="187"/>
      <c r="G523" s="187"/>
      <c r="H523" s="187"/>
      <c r="I523" s="187"/>
      <c r="J523" s="187"/>
      <c r="K523" s="187"/>
      <c r="L523" s="188"/>
    </row>
    <row r="524" spans="1:12" ht="18.75" x14ac:dyDescent="0.25">
      <c r="A524" s="1">
        <v>12</v>
      </c>
      <c r="B524" s="36"/>
      <c r="C524" s="37" t="s">
        <v>24</v>
      </c>
      <c r="D524" s="38"/>
      <c r="E524" s="39">
        <f t="shared" ref="E524:I524" si="32">SUM(E525,E527:E566)</f>
        <v>120655.54200000002</v>
      </c>
      <c r="F524" s="40">
        <f t="shared" si="32"/>
        <v>109735.87600000003</v>
      </c>
      <c r="G524" s="40">
        <f t="shared" si="32"/>
        <v>87748.569000000003</v>
      </c>
      <c r="H524" s="40">
        <f t="shared" si="32"/>
        <v>20527.56135</v>
      </c>
      <c r="I524" s="40">
        <f t="shared" si="32"/>
        <v>0</v>
      </c>
      <c r="J524" s="92"/>
      <c r="K524" s="93"/>
      <c r="L524" s="38"/>
    </row>
    <row r="525" spans="1:12" ht="18.75" x14ac:dyDescent="0.25">
      <c r="A525" s="1">
        <v>12</v>
      </c>
      <c r="B525" s="46"/>
      <c r="C525" s="24" t="s">
        <v>21</v>
      </c>
      <c r="D525" s="47"/>
      <c r="E525" s="48">
        <v>10919.665999999999</v>
      </c>
      <c r="F525" s="49">
        <v>0</v>
      </c>
      <c r="G525" s="49">
        <v>0</v>
      </c>
      <c r="H525" s="49"/>
      <c r="I525" s="49"/>
      <c r="J525" s="95"/>
      <c r="K525" s="25"/>
      <c r="L525" s="47"/>
    </row>
    <row r="526" spans="1:12" ht="16.5" x14ac:dyDescent="0.25">
      <c r="A526" s="1">
        <v>12</v>
      </c>
      <c r="B526" s="46"/>
      <c r="C526" s="54" t="s">
        <v>22</v>
      </c>
      <c r="D526" s="47"/>
      <c r="E526" s="48">
        <f t="shared" ref="E526:I526" si="33">SUM(E527:E566)</f>
        <v>109735.87600000003</v>
      </c>
      <c r="F526" s="49">
        <f t="shared" si="33"/>
        <v>109735.87600000003</v>
      </c>
      <c r="G526" s="49">
        <f t="shared" si="33"/>
        <v>87748.569000000003</v>
      </c>
      <c r="H526" s="49">
        <f t="shared" si="33"/>
        <v>20527.56135</v>
      </c>
      <c r="I526" s="49">
        <f t="shared" si="33"/>
        <v>0</v>
      </c>
      <c r="J526" s="95"/>
      <c r="K526" s="25"/>
      <c r="L526" s="47"/>
    </row>
    <row r="527" spans="1:12" ht="86.25" x14ac:dyDescent="0.25">
      <c r="A527" s="1">
        <v>12</v>
      </c>
      <c r="B527" s="55">
        <v>1</v>
      </c>
      <c r="C527" s="65" t="s">
        <v>658</v>
      </c>
      <c r="D527" s="66" t="s">
        <v>95</v>
      </c>
      <c r="E527" s="67">
        <v>10041.290999999999</v>
      </c>
      <c r="F527" s="68">
        <v>10041.290999999999</v>
      </c>
      <c r="G527" s="68">
        <v>8284.0650000000005</v>
      </c>
      <c r="H527" s="68">
        <v>0</v>
      </c>
      <c r="I527" s="68">
        <v>0</v>
      </c>
      <c r="J527" s="61" t="s">
        <v>45</v>
      </c>
      <c r="K527" s="62"/>
      <c r="L527" s="57"/>
    </row>
    <row r="528" spans="1:12" ht="51.75" x14ac:dyDescent="0.25">
      <c r="A528" s="1">
        <v>12</v>
      </c>
      <c r="B528" s="55">
        <f>B527+1</f>
        <v>2</v>
      </c>
      <c r="C528" s="65" t="s">
        <v>659</v>
      </c>
      <c r="D528" s="66" t="s">
        <v>153</v>
      </c>
      <c r="E528" s="67">
        <v>2902</v>
      </c>
      <c r="F528" s="68">
        <v>2902</v>
      </c>
      <c r="G528" s="68">
        <v>2902</v>
      </c>
      <c r="H528" s="68">
        <v>0</v>
      </c>
      <c r="I528" s="68">
        <v>0</v>
      </c>
      <c r="J528" s="61" t="s">
        <v>45</v>
      </c>
      <c r="K528" s="62"/>
      <c r="L528" s="57"/>
    </row>
    <row r="529" spans="1:12" ht="69" x14ac:dyDescent="0.25">
      <c r="A529" s="1">
        <v>12</v>
      </c>
      <c r="B529" s="55">
        <f t="shared" ref="B529:B566" si="34">B528+1</f>
        <v>3</v>
      </c>
      <c r="C529" s="65" t="s">
        <v>660</v>
      </c>
      <c r="D529" s="66" t="s">
        <v>153</v>
      </c>
      <c r="E529" s="67">
        <v>1079</v>
      </c>
      <c r="F529" s="68">
        <v>1079</v>
      </c>
      <c r="G529" s="68">
        <v>1079</v>
      </c>
      <c r="H529" s="69">
        <v>1047.0239999999999</v>
      </c>
      <c r="I529" s="68">
        <v>0</v>
      </c>
      <c r="J529" s="61" t="s">
        <v>29</v>
      </c>
      <c r="K529" s="62" t="s">
        <v>661</v>
      </c>
      <c r="L529" s="57" t="s">
        <v>57</v>
      </c>
    </row>
    <row r="530" spans="1:12" ht="69" x14ac:dyDescent="0.25">
      <c r="A530" s="1">
        <v>12</v>
      </c>
      <c r="B530" s="55">
        <f t="shared" si="34"/>
        <v>4</v>
      </c>
      <c r="C530" s="65" t="s">
        <v>662</v>
      </c>
      <c r="D530" s="66" t="s">
        <v>153</v>
      </c>
      <c r="E530" s="67">
        <v>12930</v>
      </c>
      <c r="F530" s="68">
        <v>12930</v>
      </c>
      <c r="G530" s="68">
        <v>10211.361999999999</v>
      </c>
      <c r="H530" s="68">
        <v>0</v>
      </c>
      <c r="I530" s="68">
        <v>0</v>
      </c>
      <c r="J530" s="61" t="s">
        <v>45</v>
      </c>
      <c r="K530" s="62"/>
      <c r="L530" s="57"/>
    </row>
    <row r="531" spans="1:12" ht="86.25" x14ac:dyDescent="0.25">
      <c r="A531" s="1">
        <v>12</v>
      </c>
      <c r="B531" s="55">
        <f t="shared" si="34"/>
        <v>5</v>
      </c>
      <c r="C531" s="65" t="s">
        <v>663</v>
      </c>
      <c r="D531" s="66" t="s">
        <v>153</v>
      </c>
      <c r="E531" s="67">
        <v>12765</v>
      </c>
      <c r="F531" s="68">
        <v>12765</v>
      </c>
      <c r="G531" s="68">
        <v>10019.233</v>
      </c>
      <c r="H531" s="68">
        <v>0</v>
      </c>
      <c r="I531" s="68">
        <v>0</v>
      </c>
      <c r="J531" s="61" t="s">
        <v>45</v>
      </c>
      <c r="K531" s="62"/>
      <c r="L531" s="57"/>
    </row>
    <row r="532" spans="1:12" ht="51.75" x14ac:dyDescent="0.25">
      <c r="A532" s="1">
        <v>12</v>
      </c>
      <c r="B532" s="55">
        <f t="shared" si="34"/>
        <v>6</v>
      </c>
      <c r="C532" s="65" t="s">
        <v>664</v>
      </c>
      <c r="D532" s="66" t="s">
        <v>69</v>
      </c>
      <c r="E532" s="67">
        <v>8143.6610000000001</v>
      </c>
      <c r="F532" s="68">
        <v>8143.6610000000001</v>
      </c>
      <c r="G532" s="68">
        <v>6525.6329999999998</v>
      </c>
      <c r="H532" s="68">
        <v>3004.6109999999999</v>
      </c>
      <c r="I532" s="68">
        <v>0</v>
      </c>
      <c r="J532" s="61" t="s">
        <v>45</v>
      </c>
      <c r="K532" s="62" t="s">
        <v>665</v>
      </c>
      <c r="L532" s="57"/>
    </row>
    <row r="533" spans="1:12" ht="69" x14ac:dyDescent="0.25">
      <c r="A533" s="1">
        <v>12</v>
      </c>
      <c r="B533" s="55">
        <f t="shared" si="34"/>
        <v>7</v>
      </c>
      <c r="C533" s="65" t="s">
        <v>666</v>
      </c>
      <c r="D533" s="66" t="s">
        <v>153</v>
      </c>
      <c r="E533" s="67">
        <v>1062</v>
      </c>
      <c r="F533" s="68">
        <v>1062</v>
      </c>
      <c r="G533" s="68">
        <v>1062</v>
      </c>
      <c r="H533" s="68">
        <v>0</v>
      </c>
      <c r="I533" s="68">
        <v>0</v>
      </c>
      <c r="J533" s="61" t="s">
        <v>45</v>
      </c>
      <c r="K533" s="62"/>
      <c r="L533" s="57"/>
    </row>
    <row r="534" spans="1:12" ht="51.75" x14ac:dyDescent="0.25">
      <c r="A534" s="1">
        <v>12</v>
      </c>
      <c r="B534" s="55">
        <f t="shared" si="34"/>
        <v>8</v>
      </c>
      <c r="C534" s="65" t="s">
        <v>667</v>
      </c>
      <c r="D534" s="66" t="s">
        <v>153</v>
      </c>
      <c r="E534" s="67">
        <v>8814.6039999999994</v>
      </c>
      <c r="F534" s="68">
        <v>8814.6039999999994</v>
      </c>
      <c r="G534" s="68">
        <v>6890.982</v>
      </c>
      <c r="H534" s="68">
        <v>0</v>
      </c>
      <c r="I534" s="68">
        <v>0</v>
      </c>
      <c r="J534" s="61" t="s">
        <v>45</v>
      </c>
      <c r="K534" s="62"/>
      <c r="L534" s="57"/>
    </row>
    <row r="535" spans="1:12" ht="86.25" x14ac:dyDescent="0.25">
      <c r="A535" s="1">
        <v>12</v>
      </c>
      <c r="B535" s="55">
        <f t="shared" si="34"/>
        <v>9</v>
      </c>
      <c r="C535" s="65" t="s">
        <v>668</v>
      </c>
      <c r="D535" s="66" t="s">
        <v>153</v>
      </c>
      <c r="E535" s="67">
        <v>490.17899999999997</v>
      </c>
      <c r="F535" s="68">
        <v>490.17899999999997</v>
      </c>
      <c r="G535" s="68">
        <v>490.17899999999997</v>
      </c>
      <c r="H535" s="68">
        <v>443.26909999999998</v>
      </c>
      <c r="I535" s="68">
        <v>0</v>
      </c>
      <c r="J535" s="61" t="s">
        <v>29</v>
      </c>
      <c r="K535" s="62" t="s">
        <v>669</v>
      </c>
      <c r="L535" s="57" t="s">
        <v>670</v>
      </c>
    </row>
    <row r="536" spans="1:12" ht="69" x14ac:dyDescent="0.25">
      <c r="A536" s="1">
        <v>12</v>
      </c>
      <c r="B536" s="55">
        <f t="shared" si="34"/>
        <v>10</v>
      </c>
      <c r="C536" s="65" t="s">
        <v>671</v>
      </c>
      <c r="D536" s="66" t="s">
        <v>153</v>
      </c>
      <c r="E536" s="67">
        <v>879.26900000000001</v>
      </c>
      <c r="F536" s="68">
        <v>879.26900000000001</v>
      </c>
      <c r="G536" s="68">
        <v>879.26900000000001</v>
      </c>
      <c r="H536" s="68">
        <v>238.23400000000001</v>
      </c>
      <c r="I536" s="68">
        <v>0</v>
      </c>
      <c r="J536" s="61" t="s">
        <v>45</v>
      </c>
      <c r="K536" s="62"/>
      <c r="L536" s="57"/>
    </row>
    <row r="537" spans="1:12" ht="103.5" x14ac:dyDescent="0.25">
      <c r="A537" s="1">
        <v>12</v>
      </c>
      <c r="B537" s="55">
        <f t="shared" si="34"/>
        <v>11</v>
      </c>
      <c r="C537" s="65" t="s">
        <v>672</v>
      </c>
      <c r="D537" s="66" t="s">
        <v>153</v>
      </c>
      <c r="E537" s="67">
        <v>804.42</v>
      </c>
      <c r="F537" s="68">
        <v>804.42</v>
      </c>
      <c r="G537" s="68">
        <v>804.42</v>
      </c>
      <c r="H537" s="68">
        <v>589.01300000000003</v>
      </c>
      <c r="I537" s="68">
        <v>0</v>
      </c>
      <c r="J537" s="61" t="s">
        <v>45</v>
      </c>
      <c r="K537" s="62"/>
      <c r="L537" s="57"/>
    </row>
    <row r="538" spans="1:12" ht="103.5" x14ac:dyDescent="0.25">
      <c r="A538" s="1">
        <v>12</v>
      </c>
      <c r="B538" s="55">
        <f t="shared" si="34"/>
        <v>12</v>
      </c>
      <c r="C538" s="65" t="s">
        <v>673</v>
      </c>
      <c r="D538" s="66" t="s">
        <v>153</v>
      </c>
      <c r="E538" s="67">
        <v>835.88099999999997</v>
      </c>
      <c r="F538" s="68">
        <v>835.88099999999997</v>
      </c>
      <c r="G538" s="68">
        <v>835.88099999999997</v>
      </c>
      <c r="H538" s="68">
        <v>601.20899999999995</v>
      </c>
      <c r="I538" s="68">
        <v>0</v>
      </c>
      <c r="J538" s="61" t="s">
        <v>45</v>
      </c>
      <c r="K538" s="62"/>
      <c r="L538" s="57"/>
    </row>
    <row r="539" spans="1:12" ht="86.25" x14ac:dyDescent="0.25">
      <c r="A539" s="1">
        <v>12</v>
      </c>
      <c r="B539" s="55">
        <f t="shared" si="34"/>
        <v>13</v>
      </c>
      <c r="C539" s="65" t="s">
        <v>674</v>
      </c>
      <c r="D539" s="66" t="s">
        <v>153</v>
      </c>
      <c r="E539" s="67">
        <v>499.851</v>
      </c>
      <c r="F539" s="68">
        <v>499.851</v>
      </c>
      <c r="G539" s="68">
        <v>499.851</v>
      </c>
      <c r="H539" s="68">
        <v>466.78300000000002</v>
      </c>
      <c r="I539" s="68">
        <v>0</v>
      </c>
      <c r="J539" s="61" t="s">
        <v>29</v>
      </c>
      <c r="K539" s="62" t="s">
        <v>675</v>
      </c>
      <c r="L539" s="57"/>
    </row>
    <row r="540" spans="1:12" ht="103.5" x14ac:dyDescent="0.25">
      <c r="A540" s="1">
        <v>12</v>
      </c>
      <c r="B540" s="55">
        <f t="shared" si="34"/>
        <v>14</v>
      </c>
      <c r="C540" s="65" t="s">
        <v>676</v>
      </c>
      <c r="D540" s="66" t="s">
        <v>153</v>
      </c>
      <c r="E540" s="67">
        <v>785.01800000000003</v>
      </c>
      <c r="F540" s="68">
        <v>785.01800000000003</v>
      </c>
      <c r="G540" s="68">
        <v>785.01800000000003</v>
      </c>
      <c r="H540" s="68">
        <v>654.24699999999996</v>
      </c>
      <c r="I540" s="68">
        <v>0</v>
      </c>
      <c r="J540" s="61" t="s">
        <v>29</v>
      </c>
      <c r="K540" s="62" t="s">
        <v>677</v>
      </c>
      <c r="L540" s="57"/>
    </row>
    <row r="541" spans="1:12" ht="103.5" x14ac:dyDescent="0.25">
      <c r="A541" s="1">
        <v>12</v>
      </c>
      <c r="B541" s="55">
        <f t="shared" si="34"/>
        <v>15</v>
      </c>
      <c r="C541" s="65" t="s">
        <v>678</v>
      </c>
      <c r="D541" s="66" t="s">
        <v>153</v>
      </c>
      <c r="E541" s="67">
        <v>277.15600000000001</v>
      </c>
      <c r="F541" s="68">
        <v>277.15600000000001</v>
      </c>
      <c r="G541" s="68">
        <v>277.15600000000001</v>
      </c>
      <c r="H541" s="68">
        <v>211.535</v>
      </c>
      <c r="I541" s="68">
        <v>0</v>
      </c>
      <c r="J541" s="61" t="s">
        <v>29</v>
      </c>
      <c r="K541" s="62" t="s">
        <v>495</v>
      </c>
      <c r="L541" s="57"/>
    </row>
    <row r="542" spans="1:12" ht="103.5" x14ac:dyDescent="0.25">
      <c r="A542" s="1">
        <v>12</v>
      </c>
      <c r="B542" s="55">
        <f t="shared" si="34"/>
        <v>16</v>
      </c>
      <c r="C542" s="65" t="s">
        <v>679</v>
      </c>
      <c r="D542" s="66" t="s">
        <v>153</v>
      </c>
      <c r="E542" s="67">
        <v>352.28399999999999</v>
      </c>
      <c r="F542" s="68">
        <v>352.28399999999999</v>
      </c>
      <c r="G542" s="68">
        <v>352.28399999999999</v>
      </c>
      <c r="H542" s="68">
        <v>321.74</v>
      </c>
      <c r="I542" s="68">
        <v>0</v>
      </c>
      <c r="J542" s="61" t="s">
        <v>29</v>
      </c>
      <c r="K542" s="62" t="s">
        <v>680</v>
      </c>
      <c r="L542" s="57"/>
    </row>
    <row r="543" spans="1:12" ht="103.5" x14ac:dyDescent="0.25">
      <c r="A543" s="1">
        <v>12</v>
      </c>
      <c r="B543" s="55">
        <f t="shared" si="34"/>
        <v>17</v>
      </c>
      <c r="C543" s="65" t="s">
        <v>681</v>
      </c>
      <c r="D543" s="66" t="s">
        <v>153</v>
      </c>
      <c r="E543" s="67">
        <v>716.947</v>
      </c>
      <c r="F543" s="68">
        <v>716.947</v>
      </c>
      <c r="G543" s="68">
        <v>716.947</v>
      </c>
      <c r="H543" s="68">
        <v>707.70699999999999</v>
      </c>
      <c r="I543" s="68">
        <v>0</v>
      </c>
      <c r="J543" s="61" t="s">
        <v>29</v>
      </c>
      <c r="K543" s="62" t="s">
        <v>682</v>
      </c>
      <c r="L543" s="57"/>
    </row>
    <row r="544" spans="1:12" ht="103.5" x14ac:dyDescent="0.25">
      <c r="A544" s="1">
        <v>12</v>
      </c>
      <c r="B544" s="55">
        <f t="shared" si="34"/>
        <v>18</v>
      </c>
      <c r="C544" s="65" t="s">
        <v>683</v>
      </c>
      <c r="D544" s="66" t="s">
        <v>153</v>
      </c>
      <c r="E544" s="67">
        <v>364.50099999999998</v>
      </c>
      <c r="F544" s="68">
        <v>364.50099999999998</v>
      </c>
      <c r="G544" s="68">
        <v>364.50099999999998</v>
      </c>
      <c r="H544" s="68">
        <v>270.31700000000001</v>
      </c>
      <c r="I544" s="68">
        <v>0</v>
      </c>
      <c r="J544" s="61" t="s">
        <v>29</v>
      </c>
      <c r="K544" s="62" t="s">
        <v>684</v>
      </c>
      <c r="L544" s="57"/>
    </row>
    <row r="545" spans="1:12" ht="69" x14ac:dyDescent="0.25">
      <c r="A545" s="1">
        <v>12</v>
      </c>
      <c r="B545" s="55">
        <f t="shared" si="34"/>
        <v>19</v>
      </c>
      <c r="C545" s="65" t="s">
        <v>685</v>
      </c>
      <c r="D545" s="66" t="s">
        <v>153</v>
      </c>
      <c r="E545" s="67">
        <v>896.54100000000005</v>
      </c>
      <c r="F545" s="68">
        <v>896.54100000000005</v>
      </c>
      <c r="G545" s="68">
        <v>896.54100000000005</v>
      </c>
      <c r="H545" s="68">
        <v>895.14200000000005</v>
      </c>
      <c r="I545" s="68">
        <v>0</v>
      </c>
      <c r="J545" s="61" t="s">
        <v>29</v>
      </c>
      <c r="K545" s="62" t="s">
        <v>381</v>
      </c>
      <c r="L545" s="57"/>
    </row>
    <row r="546" spans="1:12" ht="51.75" x14ac:dyDescent="0.25">
      <c r="A546" s="1">
        <v>12</v>
      </c>
      <c r="B546" s="55">
        <f t="shared" si="34"/>
        <v>20</v>
      </c>
      <c r="C546" s="65" t="s">
        <v>686</v>
      </c>
      <c r="D546" s="66" t="s">
        <v>153</v>
      </c>
      <c r="E546" s="67">
        <v>676.8</v>
      </c>
      <c r="F546" s="68">
        <v>676.8</v>
      </c>
      <c r="G546" s="68">
        <v>676.8</v>
      </c>
      <c r="H546" s="68">
        <v>462.82</v>
      </c>
      <c r="I546" s="68">
        <v>0</v>
      </c>
      <c r="J546" s="61" t="s">
        <v>29</v>
      </c>
      <c r="K546" s="62" t="s">
        <v>394</v>
      </c>
      <c r="L546" s="57"/>
    </row>
    <row r="547" spans="1:12" ht="69" x14ac:dyDescent="0.25">
      <c r="A547" s="1">
        <v>12</v>
      </c>
      <c r="B547" s="55">
        <f t="shared" si="34"/>
        <v>21</v>
      </c>
      <c r="C547" s="65" t="s">
        <v>687</v>
      </c>
      <c r="D547" s="66" t="s">
        <v>153</v>
      </c>
      <c r="E547" s="67">
        <v>1973.1279999999999</v>
      </c>
      <c r="F547" s="68">
        <v>1973.1279999999999</v>
      </c>
      <c r="G547" s="68">
        <v>1973.1279999999999</v>
      </c>
      <c r="H547" s="68">
        <v>1921.02953</v>
      </c>
      <c r="I547" s="68">
        <v>0</v>
      </c>
      <c r="J547" s="61" t="s">
        <v>29</v>
      </c>
      <c r="K547" s="62" t="s">
        <v>211</v>
      </c>
      <c r="L547" s="57"/>
    </row>
    <row r="548" spans="1:12" ht="51.75" x14ac:dyDescent="0.25">
      <c r="A548" s="1">
        <v>12</v>
      </c>
      <c r="B548" s="55">
        <f t="shared" si="34"/>
        <v>22</v>
      </c>
      <c r="C548" s="65" t="s">
        <v>688</v>
      </c>
      <c r="D548" s="66" t="s">
        <v>153</v>
      </c>
      <c r="E548" s="67">
        <v>1795.0119999999999</v>
      </c>
      <c r="F548" s="68">
        <v>1795.0119999999999</v>
      </c>
      <c r="G548" s="68">
        <v>1795.0119999999999</v>
      </c>
      <c r="H548" s="68">
        <v>1791.07698</v>
      </c>
      <c r="I548" s="68">
        <v>0</v>
      </c>
      <c r="J548" s="61" t="s">
        <v>29</v>
      </c>
      <c r="K548" s="62" t="s">
        <v>211</v>
      </c>
      <c r="L548" s="57"/>
    </row>
    <row r="549" spans="1:12" ht="86.25" x14ac:dyDescent="0.25">
      <c r="A549" s="1">
        <v>12</v>
      </c>
      <c r="B549" s="55">
        <f t="shared" si="34"/>
        <v>23</v>
      </c>
      <c r="C549" s="65" t="s">
        <v>689</v>
      </c>
      <c r="D549" s="66" t="s">
        <v>153</v>
      </c>
      <c r="E549" s="67">
        <v>2164.047</v>
      </c>
      <c r="F549" s="68">
        <v>2164.047</v>
      </c>
      <c r="G549" s="68">
        <v>2164.047</v>
      </c>
      <c r="H549" s="68">
        <v>1313.7539999999999</v>
      </c>
      <c r="I549" s="68">
        <v>0</v>
      </c>
      <c r="J549" s="61" t="s">
        <v>45</v>
      </c>
      <c r="K549" s="62" t="s">
        <v>359</v>
      </c>
      <c r="L549" s="57"/>
    </row>
    <row r="550" spans="1:12" ht="51.75" x14ac:dyDescent="0.25">
      <c r="A550" s="1">
        <v>12</v>
      </c>
      <c r="B550" s="55">
        <f t="shared" si="34"/>
        <v>24</v>
      </c>
      <c r="C550" s="65" t="s">
        <v>690</v>
      </c>
      <c r="D550" s="66" t="s">
        <v>153</v>
      </c>
      <c r="E550" s="67">
        <v>1146.768</v>
      </c>
      <c r="F550" s="68">
        <v>1146.768</v>
      </c>
      <c r="G550" s="68">
        <v>1146.768</v>
      </c>
      <c r="H550" s="68">
        <v>1139.8679999999999</v>
      </c>
      <c r="I550" s="68">
        <v>0</v>
      </c>
      <c r="J550" s="61" t="s">
        <v>29</v>
      </c>
      <c r="K550" s="62" t="s">
        <v>359</v>
      </c>
      <c r="L550" s="57"/>
    </row>
    <row r="551" spans="1:12" ht="51.75" x14ac:dyDescent="0.25">
      <c r="A551" s="1">
        <v>12</v>
      </c>
      <c r="B551" s="55">
        <f t="shared" si="34"/>
        <v>25</v>
      </c>
      <c r="C551" s="65" t="s">
        <v>691</v>
      </c>
      <c r="D551" s="66" t="s">
        <v>153</v>
      </c>
      <c r="E551" s="67">
        <v>2254.0120000000002</v>
      </c>
      <c r="F551" s="68">
        <v>2254.0120000000002</v>
      </c>
      <c r="G551" s="68">
        <v>1413.0740000000001</v>
      </c>
      <c r="H551" s="68">
        <v>0</v>
      </c>
      <c r="I551" s="68">
        <v>0</v>
      </c>
      <c r="J551" s="61" t="s">
        <v>45</v>
      </c>
      <c r="K551" s="62"/>
      <c r="L551" s="57"/>
    </row>
    <row r="552" spans="1:12" ht="51.75" x14ac:dyDescent="0.25">
      <c r="A552" s="1">
        <v>12</v>
      </c>
      <c r="B552" s="55">
        <f t="shared" si="34"/>
        <v>26</v>
      </c>
      <c r="C552" s="65" t="s">
        <v>692</v>
      </c>
      <c r="D552" s="66" t="s">
        <v>153</v>
      </c>
      <c r="E552" s="67">
        <v>675</v>
      </c>
      <c r="F552" s="68">
        <v>675</v>
      </c>
      <c r="G552" s="68">
        <v>675</v>
      </c>
      <c r="H552" s="68">
        <v>664.75099999999998</v>
      </c>
      <c r="I552" s="68">
        <v>0</v>
      </c>
      <c r="J552" s="61" t="s">
        <v>29</v>
      </c>
      <c r="K552" s="62" t="s">
        <v>586</v>
      </c>
      <c r="L552" s="57" t="s">
        <v>57</v>
      </c>
    </row>
    <row r="553" spans="1:12" ht="69" x14ac:dyDescent="0.25">
      <c r="A553" s="1">
        <v>12</v>
      </c>
      <c r="B553" s="55">
        <f t="shared" si="34"/>
        <v>27</v>
      </c>
      <c r="C553" s="65" t="s">
        <v>693</v>
      </c>
      <c r="D553" s="66" t="s">
        <v>153</v>
      </c>
      <c r="E553" s="67">
        <v>3419.9749999999999</v>
      </c>
      <c r="F553" s="68">
        <v>3419.9749999999999</v>
      </c>
      <c r="G553" s="68">
        <v>3419.9749999999999</v>
      </c>
      <c r="H553" s="68">
        <v>0</v>
      </c>
      <c r="I553" s="68">
        <v>0</v>
      </c>
      <c r="J553" s="61" t="s">
        <v>45</v>
      </c>
      <c r="K553" s="62"/>
      <c r="L553" s="57"/>
    </row>
    <row r="554" spans="1:12" ht="86.25" x14ac:dyDescent="0.25">
      <c r="A554" s="1">
        <v>12</v>
      </c>
      <c r="B554" s="55">
        <f t="shared" si="34"/>
        <v>28</v>
      </c>
      <c r="C554" s="65" t="s">
        <v>694</v>
      </c>
      <c r="D554" s="66" t="s">
        <v>153</v>
      </c>
      <c r="E554" s="67">
        <v>733.98599999999999</v>
      </c>
      <c r="F554" s="68">
        <v>733.98599999999999</v>
      </c>
      <c r="G554" s="68">
        <v>733.98599999999999</v>
      </c>
      <c r="H554" s="68">
        <v>163.999</v>
      </c>
      <c r="I554" s="68">
        <v>0</v>
      </c>
      <c r="J554" s="61" t="s">
        <v>45</v>
      </c>
      <c r="K554" s="62"/>
      <c r="L554" s="57"/>
    </row>
    <row r="555" spans="1:12" ht="69" x14ac:dyDescent="0.25">
      <c r="A555" s="1">
        <v>12</v>
      </c>
      <c r="B555" s="55">
        <f t="shared" si="34"/>
        <v>29</v>
      </c>
      <c r="C555" s="65" t="s">
        <v>695</v>
      </c>
      <c r="D555" s="66" t="s">
        <v>153</v>
      </c>
      <c r="E555" s="67">
        <v>589.73900000000003</v>
      </c>
      <c r="F555" s="68">
        <v>589.73900000000003</v>
      </c>
      <c r="G555" s="68">
        <v>589.73900000000003</v>
      </c>
      <c r="H555" s="68">
        <v>562.49779999999998</v>
      </c>
      <c r="I555" s="68">
        <v>0</v>
      </c>
      <c r="J555" s="61" t="s">
        <v>29</v>
      </c>
      <c r="K555" s="62" t="s">
        <v>696</v>
      </c>
      <c r="L555" s="57" t="s">
        <v>57</v>
      </c>
    </row>
    <row r="556" spans="1:12" ht="69" x14ac:dyDescent="0.25">
      <c r="A556" s="1">
        <v>12</v>
      </c>
      <c r="B556" s="55">
        <f t="shared" si="34"/>
        <v>30</v>
      </c>
      <c r="C556" s="65" t="s">
        <v>697</v>
      </c>
      <c r="D556" s="66" t="s">
        <v>153</v>
      </c>
      <c r="E556" s="67">
        <v>2680.86</v>
      </c>
      <c r="F556" s="68">
        <v>2680.86</v>
      </c>
      <c r="G556" s="68">
        <v>2680.86</v>
      </c>
      <c r="H556" s="68">
        <v>0</v>
      </c>
      <c r="I556" s="68">
        <v>0</v>
      </c>
      <c r="J556" s="61" t="s">
        <v>45</v>
      </c>
      <c r="K556" s="62"/>
      <c r="L556" s="57"/>
    </row>
    <row r="557" spans="1:12" ht="86.25" x14ac:dyDescent="0.25">
      <c r="A557" s="1">
        <v>12</v>
      </c>
      <c r="B557" s="55">
        <f t="shared" si="34"/>
        <v>31</v>
      </c>
      <c r="C557" s="65" t="s">
        <v>698</v>
      </c>
      <c r="D557" s="66" t="s">
        <v>95</v>
      </c>
      <c r="E557" s="67">
        <v>6811.2</v>
      </c>
      <c r="F557" s="68">
        <v>6811.2</v>
      </c>
      <c r="G557" s="68">
        <v>5619.24</v>
      </c>
      <c r="H557" s="68">
        <v>0</v>
      </c>
      <c r="I557" s="68">
        <v>0</v>
      </c>
      <c r="J557" s="61" t="s">
        <v>45</v>
      </c>
      <c r="K557" s="62"/>
      <c r="L557" s="57"/>
    </row>
    <row r="558" spans="1:12" ht="86.25" x14ac:dyDescent="0.25">
      <c r="A558" s="1">
        <v>12</v>
      </c>
      <c r="B558" s="55">
        <f t="shared" si="34"/>
        <v>32</v>
      </c>
      <c r="C558" s="65" t="s">
        <v>699</v>
      </c>
      <c r="D558" s="66" t="s">
        <v>153</v>
      </c>
      <c r="E558" s="67">
        <v>3550.5</v>
      </c>
      <c r="F558" s="68">
        <v>3550.5</v>
      </c>
      <c r="G558" s="68">
        <v>2929.1619999999998</v>
      </c>
      <c r="H558" s="68">
        <v>0</v>
      </c>
      <c r="I558" s="68">
        <v>0</v>
      </c>
      <c r="J558" s="61" t="s">
        <v>45</v>
      </c>
      <c r="K558" s="62"/>
      <c r="L558" s="57"/>
    </row>
    <row r="559" spans="1:12" ht="51.75" x14ac:dyDescent="0.25">
      <c r="A559" s="1">
        <v>12</v>
      </c>
      <c r="B559" s="55">
        <f t="shared" si="34"/>
        <v>33</v>
      </c>
      <c r="C559" s="65" t="s">
        <v>700</v>
      </c>
      <c r="D559" s="66" t="s">
        <v>153</v>
      </c>
      <c r="E559" s="67">
        <v>2880</v>
      </c>
      <c r="F559" s="68">
        <v>2880</v>
      </c>
      <c r="G559" s="68">
        <v>2376</v>
      </c>
      <c r="H559" s="68">
        <v>0</v>
      </c>
      <c r="I559" s="68">
        <v>0</v>
      </c>
      <c r="J559" s="61" t="s">
        <v>45</v>
      </c>
      <c r="K559" s="62"/>
      <c r="L559" s="57"/>
    </row>
    <row r="560" spans="1:12" ht="51.75" x14ac:dyDescent="0.25">
      <c r="A560" s="1">
        <v>12</v>
      </c>
      <c r="B560" s="55">
        <f t="shared" si="34"/>
        <v>34</v>
      </c>
      <c r="C560" s="65" t="s">
        <v>701</v>
      </c>
      <c r="D560" s="66" t="s">
        <v>153</v>
      </c>
      <c r="E560" s="67">
        <v>1890</v>
      </c>
      <c r="F560" s="68">
        <v>1890</v>
      </c>
      <c r="G560" s="68">
        <v>1890</v>
      </c>
      <c r="H560" s="68">
        <v>700.19799999999998</v>
      </c>
      <c r="I560" s="68">
        <v>0</v>
      </c>
      <c r="J560" s="61" t="s">
        <v>45</v>
      </c>
      <c r="K560" s="62" t="s">
        <v>702</v>
      </c>
      <c r="L560" s="57"/>
    </row>
    <row r="561" spans="1:12" ht="51.75" x14ac:dyDescent="0.25">
      <c r="A561" s="1">
        <v>12</v>
      </c>
      <c r="B561" s="55">
        <f t="shared" si="34"/>
        <v>35</v>
      </c>
      <c r="C561" s="65" t="s">
        <v>703</v>
      </c>
      <c r="D561" s="66" t="s">
        <v>153</v>
      </c>
      <c r="E561" s="67">
        <v>1890</v>
      </c>
      <c r="F561" s="68">
        <v>1890</v>
      </c>
      <c r="G561" s="68">
        <v>1890</v>
      </c>
      <c r="H561" s="68">
        <v>1048.319</v>
      </c>
      <c r="I561" s="68">
        <v>0</v>
      </c>
      <c r="J561" s="61" t="s">
        <v>45</v>
      </c>
      <c r="K561" s="62" t="s">
        <v>704</v>
      </c>
      <c r="L561" s="57"/>
    </row>
    <row r="562" spans="1:12" ht="86.25" x14ac:dyDescent="0.25">
      <c r="A562" s="1">
        <v>12</v>
      </c>
      <c r="B562" s="55">
        <f t="shared" si="34"/>
        <v>36</v>
      </c>
      <c r="C562" s="65" t="s">
        <v>705</v>
      </c>
      <c r="D562" s="66" t="s">
        <v>153</v>
      </c>
      <c r="E562" s="67">
        <v>490.98099999999999</v>
      </c>
      <c r="F562" s="68">
        <v>490.98099999999999</v>
      </c>
      <c r="G562" s="68">
        <v>490.98099999999999</v>
      </c>
      <c r="H562" s="68">
        <v>364.62349999999998</v>
      </c>
      <c r="I562" s="68">
        <v>0</v>
      </c>
      <c r="J562" s="61" t="s">
        <v>29</v>
      </c>
      <c r="K562" s="62" t="s">
        <v>706</v>
      </c>
      <c r="L562" s="57"/>
    </row>
    <row r="563" spans="1:12" ht="86.25" x14ac:dyDescent="0.25">
      <c r="A563" s="1">
        <v>12</v>
      </c>
      <c r="B563" s="55">
        <f t="shared" si="34"/>
        <v>37</v>
      </c>
      <c r="C563" s="65" t="s">
        <v>707</v>
      </c>
      <c r="D563" s="66" t="s">
        <v>153</v>
      </c>
      <c r="E563" s="67">
        <v>357.37299999999999</v>
      </c>
      <c r="F563" s="68">
        <v>357.37299999999999</v>
      </c>
      <c r="G563" s="68">
        <v>357.37299999999999</v>
      </c>
      <c r="H563" s="68">
        <v>353.41471999999999</v>
      </c>
      <c r="I563" s="68">
        <v>0</v>
      </c>
      <c r="J563" s="61" t="s">
        <v>29</v>
      </c>
      <c r="K563" s="62" t="s">
        <v>708</v>
      </c>
      <c r="L563" s="57"/>
    </row>
    <row r="564" spans="1:12" ht="103.5" x14ac:dyDescent="0.25">
      <c r="A564" s="1">
        <v>12</v>
      </c>
      <c r="B564" s="72">
        <f t="shared" si="34"/>
        <v>38</v>
      </c>
      <c r="C564" s="73" t="s">
        <v>709</v>
      </c>
      <c r="D564" s="74" t="s">
        <v>153</v>
      </c>
      <c r="E564" s="75">
        <v>357.37299999999999</v>
      </c>
      <c r="F564" s="76">
        <v>357.37299999999999</v>
      </c>
      <c r="G564" s="76">
        <v>357.37299999999999</v>
      </c>
      <c r="H564" s="68">
        <v>353.41471999999999</v>
      </c>
      <c r="I564" s="68">
        <v>0</v>
      </c>
      <c r="J564" s="61" t="s">
        <v>29</v>
      </c>
      <c r="K564" s="62" t="s">
        <v>682</v>
      </c>
      <c r="L564" s="57"/>
    </row>
    <row r="565" spans="1:12" ht="69" x14ac:dyDescent="0.25">
      <c r="A565" s="1">
        <v>12</v>
      </c>
      <c r="B565" s="72">
        <f t="shared" si="34"/>
        <v>39</v>
      </c>
      <c r="C565" s="73" t="s">
        <v>710</v>
      </c>
      <c r="D565" s="74" t="s">
        <v>95</v>
      </c>
      <c r="E565" s="75">
        <v>8444.52</v>
      </c>
      <c r="F565" s="76">
        <v>8444.52</v>
      </c>
      <c r="G565" s="76">
        <v>378.73</v>
      </c>
      <c r="H565" s="76">
        <v>0</v>
      </c>
      <c r="I565" s="76">
        <v>0</v>
      </c>
      <c r="J565" s="79" t="s">
        <v>45</v>
      </c>
      <c r="K565" s="80"/>
      <c r="L565" s="125"/>
    </row>
    <row r="566" spans="1:12" ht="69.75" thickBot="1" x14ac:dyDescent="0.3">
      <c r="A566" s="1">
        <v>12</v>
      </c>
      <c r="B566" s="82">
        <f t="shared" si="34"/>
        <v>40</v>
      </c>
      <c r="C566" s="83" t="s">
        <v>711</v>
      </c>
      <c r="D566" s="84" t="s">
        <v>153</v>
      </c>
      <c r="E566" s="85">
        <v>314.99900000000002</v>
      </c>
      <c r="F566" s="86">
        <v>314.99900000000002</v>
      </c>
      <c r="G566" s="86">
        <v>314.99900000000002</v>
      </c>
      <c r="H566" s="86">
        <v>236.964</v>
      </c>
      <c r="I566" s="86">
        <v>0</v>
      </c>
      <c r="J566" s="89" t="s">
        <v>29</v>
      </c>
      <c r="K566" s="90" t="s">
        <v>593</v>
      </c>
      <c r="L566" s="123" t="s">
        <v>57</v>
      </c>
    </row>
    <row r="567" spans="1:12" ht="15.75" thickBot="1" x14ac:dyDescent="0.3">
      <c r="A567" s="1">
        <v>13</v>
      </c>
      <c r="B567" s="186" t="s">
        <v>712</v>
      </c>
      <c r="C567" s="187"/>
      <c r="D567" s="187"/>
      <c r="E567" s="187"/>
      <c r="F567" s="187"/>
      <c r="G567" s="187"/>
      <c r="H567" s="187"/>
      <c r="I567" s="187"/>
      <c r="J567" s="187"/>
      <c r="K567" s="187"/>
      <c r="L567" s="188"/>
    </row>
    <row r="568" spans="1:12" ht="18.75" x14ac:dyDescent="0.25">
      <c r="A568" s="1">
        <v>13</v>
      </c>
      <c r="B568" s="36"/>
      <c r="C568" s="37" t="s">
        <v>24</v>
      </c>
      <c r="D568" s="38"/>
      <c r="E568" s="39">
        <f t="shared" ref="E568:I568" si="35">SUM(E569,E571:E622)</f>
        <v>136762.698</v>
      </c>
      <c r="F568" s="40">
        <f t="shared" si="35"/>
        <v>136762.698</v>
      </c>
      <c r="G568" s="40">
        <f t="shared" si="35"/>
        <v>136195.56500000003</v>
      </c>
      <c r="H568" s="40">
        <f t="shared" si="35"/>
        <v>127371.25433000001</v>
      </c>
      <c r="I568" s="40">
        <f t="shared" si="35"/>
        <v>534.85732999999993</v>
      </c>
      <c r="J568" s="92"/>
      <c r="K568" s="93"/>
      <c r="L568" s="38"/>
    </row>
    <row r="569" spans="1:12" ht="18.75" x14ac:dyDescent="0.25">
      <c r="A569" s="1">
        <v>13</v>
      </c>
      <c r="B569" s="46"/>
      <c r="C569" s="24" t="s">
        <v>21</v>
      </c>
      <c r="D569" s="47"/>
      <c r="E569" s="48">
        <v>0</v>
      </c>
      <c r="F569" s="49">
        <v>0</v>
      </c>
      <c r="G569" s="49">
        <v>0</v>
      </c>
      <c r="H569" s="49"/>
      <c r="I569" s="49"/>
      <c r="J569" s="95"/>
      <c r="K569" s="25"/>
      <c r="L569" s="47"/>
    </row>
    <row r="570" spans="1:12" ht="16.5" x14ac:dyDescent="0.25">
      <c r="A570" s="1">
        <v>13</v>
      </c>
      <c r="B570" s="46"/>
      <c r="C570" s="54" t="s">
        <v>22</v>
      </c>
      <c r="D570" s="47"/>
      <c r="E570" s="48">
        <f t="shared" ref="E570:I570" si="36">SUM(E571:E622)</f>
        <v>136762.698</v>
      </c>
      <c r="F570" s="49">
        <f t="shared" si="36"/>
        <v>136762.698</v>
      </c>
      <c r="G570" s="49">
        <f t="shared" si="36"/>
        <v>136195.56500000003</v>
      </c>
      <c r="H570" s="106">
        <f t="shared" si="36"/>
        <v>127371.25433000001</v>
      </c>
      <c r="I570" s="49">
        <f t="shared" si="36"/>
        <v>534.85732999999993</v>
      </c>
      <c r="J570" s="95"/>
      <c r="K570" s="25"/>
      <c r="L570" s="47"/>
    </row>
    <row r="571" spans="1:12" ht="86.25" x14ac:dyDescent="0.25">
      <c r="A571" s="1">
        <v>13</v>
      </c>
      <c r="B571" s="55">
        <v>1</v>
      </c>
      <c r="C571" s="65" t="s">
        <v>713</v>
      </c>
      <c r="D571" s="66"/>
      <c r="E571" s="67">
        <v>67.986999999999995</v>
      </c>
      <c r="F571" s="68">
        <v>67.986999999999995</v>
      </c>
      <c r="G571" s="68">
        <v>67.986999999999995</v>
      </c>
      <c r="H571" s="68">
        <v>67.986999999999995</v>
      </c>
      <c r="I571" s="68">
        <v>67.986999999999995</v>
      </c>
      <c r="J571" s="61"/>
      <c r="K571" s="62"/>
      <c r="L571" s="57" t="s">
        <v>33</v>
      </c>
    </row>
    <row r="572" spans="1:12" ht="69" x14ac:dyDescent="0.25">
      <c r="A572" s="1">
        <v>13</v>
      </c>
      <c r="B572" s="55">
        <f>B571+1</f>
        <v>2</v>
      </c>
      <c r="C572" s="65" t="s">
        <v>714</v>
      </c>
      <c r="D572" s="66"/>
      <c r="E572" s="67">
        <v>352.07499999999999</v>
      </c>
      <c r="F572" s="68">
        <v>352.07499999999999</v>
      </c>
      <c r="G572" s="68">
        <v>352.07499999999999</v>
      </c>
      <c r="H572" s="68">
        <v>352.07479999999998</v>
      </c>
      <c r="I572" s="68">
        <v>352.07479999999998</v>
      </c>
      <c r="J572" s="61"/>
      <c r="K572" s="62"/>
      <c r="L572" s="57" t="s">
        <v>33</v>
      </c>
    </row>
    <row r="573" spans="1:12" ht="86.25" x14ac:dyDescent="0.25">
      <c r="A573" s="1">
        <v>13</v>
      </c>
      <c r="B573" s="55">
        <f t="shared" ref="B573:B622" si="37">B572+1</f>
        <v>3</v>
      </c>
      <c r="C573" s="65" t="s">
        <v>715</v>
      </c>
      <c r="D573" s="66"/>
      <c r="E573" s="67">
        <v>114.79600000000001</v>
      </c>
      <c r="F573" s="68">
        <v>114.79600000000001</v>
      </c>
      <c r="G573" s="68">
        <v>114.79600000000001</v>
      </c>
      <c r="H573" s="68">
        <v>114.79553</v>
      </c>
      <c r="I573" s="68">
        <v>114.79553</v>
      </c>
      <c r="J573" s="61"/>
      <c r="K573" s="62"/>
      <c r="L573" s="57" t="s">
        <v>33</v>
      </c>
    </row>
    <row r="574" spans="1:12" ht="51.75" x14ac:dyDescent="0.25">
      <c r="A574" s="1">
        <v>13</v>
      </c>
      <c r="B574" s="64">
        <f t="shared" si="37"/>
        <v>4</v>
      </c>
      <c r="C574" s="65" t="s">
        <v>716</v>
      </c>
      <c r="D574" s="66" t="s">
        <v>717</v>
      </c>
      <c r="E574" s="67">
        <f>5488-2400</f>
        <v>3088</v>
      </c>
      <c r="F574" s="68">
        <f>5488-2400</f>
        <v>3088</v>
      </c>
      <c r="G574" s="68">
        <f>5488-2400</f>
        <v>3088</v>
      </c>
      <c r="H574" s="68">
        <v>1999.9960000000001</v>
      </c>
      <c r="I574" s="68">
        <v>0</v>
      </c>
      <c r="J574" s="61" t="s">
        <v>45</v>
      </c>
      <c r="K574" s="62"/>
      <c r="L574" s="57"/>
    </row>
    <row r="575" spans="1:12" ht="103.5" x14ac:dyDescent="0.25">
      <c r="A575" s="1">
        <v>13</v>
      </c>
      <c r="B575" s="64">
        <f t="shared" si="37"/>
        <v>5</v>
      </c>
      <c r="C575" s="65" t="s">
        <v>718</v>
      </c>
      <c r="D575" s="66">
        <v>2015</v>
      </c>
      <c r="E575" s="67">
        <f>1675.87-125</f>
        <v>1550.87</v>
      </c>
      <c r="F575" s="68">
        <f>1675.87-125</f>
        <v>1550.87</v>
      </c>
      <c r="G575" s="68">
        <f>1675.87-125</f>
        <v>1550.87</v>
      </c>
      <c r="H575" s="68">
        <v>1550.8679999999999</v>
      </c>
      <c r="I575" s="68">
        <v>0</v>
      </c>
      <c r="J575" s="61" t="s">
        <v>29</v>
      </c>
      <c r="K575" s="62" t="s">
        <v>719</v>
      </c>
      <c r="L575" s="57" t="s">
        <v>75</v>
      </c>
    </row>
    <row r="576" spans="1:12" ht="69" x14ac:dyDescent="0.25">
      <c r="A576" s="1">
        <v>13</v>
      </c>
      <c r="B576" s="55">
        <f t="shared" si="37"/>
        <v>6</v>
      </c>
      <c r="C576" s="97" t="s">
        <v>720</v>
      </c>
      <c r="D576" s="66" t="s">
        <v>69</v>
      </c>
      <c r="E576" s="67">
        <v>709</v>
      </c>
      <c r="F576" s="68">
        <v>709</v>
      </c>
      <c r="G576" s="68">
        <v>709</v>
      </c>
      <c r="H576" s="68">
        <v>709</v>
      </c>
      <c r="I576" s="68">
        <v>0</v>
      </c>
      <c r="J576" s="61" t="s">
        <v>29</v>
      </c>
      <c r="K576" s="62" t="s">
        <v>721</v>
      </c>
      <c r="L576" s="57" t="s">
        <v>126</v>
      </c>
    </row>
    <row r="577" spans="1:12" ht="51.75" x14ac:dyDescent="0.25">
      <c r="A577" s="1">
        <v>13</v>
      </c>
      <c r="B577" s="55">
        <f t="shared" si="37"/>
        <v>7</v>
      </c>
      <c r="C577" s="65" t="s">
        <v>722</v>
      </c>
      <c r="D577" s="66">
        <v>2015</v>
      </c>
      <c r="E577" s="67">
        <v>3855</v>
      </c>
      <c r="F577" s="68">
        <v>3855</v>
      </c>
      <c r="G577" s="68">
        <v>3855</v>
      </c>
      <c r="H577" s="68">
        <v>3181.2869999999998</v>
      </c>
      <c r="I577" s="68">
        <v>0</v>
      </c>
      <c r="J577" s="61" t="s">
        <v>45</v>
      </c>
      <c r="K577" s="62" t="s">
        <v>723</v>
      </c>
      <c r="L577" s="57"/>
    </row>
    <row r="578" spans="1:12" ht="69" x14ac:dyDescent="0.25">
      <c r="A578" s="1">
        <v>13</v>
      </c>
      <c r="B578" s="55">
        <f t="shared" si="37"/>
        <v>8</v>
      </c>
      <c r="C578" s="65" t="s">
        <v>724</v>
      </c>
      <c r="D578" s="66">
        <v>2015</v>
      </c>
      <c r="E578" s="67">
        <v>1150</v>
      </c>
      <c r="F578" s="68">
        <v>1150</v>
      </c>
      <c r="G578" s="68">
        <v>1150</v>
      </c>
      <c r="H578" s="68">
        <v>1150</v>
      </c>
      <c r="I578" s="68">
        <v>0</v>
      </c>
      <c r="J578" s="61" t="s">
        <v>45</v>
      </c>
      <c r="K578" s="62"/>
      <c r="L578" s="57"/>
    </row>
    <row r="579" spans="1:12" ht="51.75" x14ac:dyDescent="0.25">
      <c r="A579" s="1">
        <v>13</v>
      </c>
      <c r="B579" s="64">
        <f t="shared" si="37"/>
        <v>9</v>
      </c>
      <c r="C579" s="65" t="s">
        <v>725</v>
      </c>
      <c r="D579" s="98" t="s">
        <v>726</v>
      </c>
      <c r="E579" s="70">
        <f>644+400</f>
        <v>1044</v>
      </c>
      <c r="F579" s="69">
        <f>644+400</f>
        <v>1044</v>
      </c>
      <c r="G579" s="69">
        <v>1044</v>
      </c>
      <c r="H579" s="69">
        <v>1044</v>
      </c>
      <c r="I579" s="69">
        <v>0</v>
      </c>
      <c r="J579" s="96" t="s">
        <v>45</v>
      </c>
      <c r="K579" s="62" t="s">
        <v>719</v>
      </c>
      <c r="L579" s="57"/>
    </row>
    <row r="580" spans="1:12" ht="69" x14ac:dyDescent="0.25">
      <c r="A580" s="1">
        <v>13</v>
      </c>
      <c r="B580" s="55">
        <f t="shared" si="37"/>
        <v>10</v>
      </c>
      <c r="C580" s="65" t="s">
        <v>727</v>
      </c>
      <c r="D580" s="66" t="s">
        <v>44</v>
      </c>
      <c r="E580" s="67">
        <v>1141.56</v>
      </c>
      <c r="F580" s="68">
        <v>1141.56</v>
      </c>
      <c r="G580" s="68">
        <v>1141.56</v>
      </c>
      <c r="H580" s="68">
        <v>1141.56</v>
      </c>
      <c r="I580" s="68">
        <v>0</v>
      </c>
      <c r="J580" s="61" t="s">
        <v>29</v>
      </c>
      <c r="K580" s="62" t="s">
        <v>593</v>
      </c>
      <c r="L580" s="57"/>
    </row>
    <row r="581" spans="1:12" ht="69" x14ac:dyDescent="0.25">
      <c r="A581" s="1">
        <v>13</v>
      </c>
      <c r="B581" s="55">
        <f t="shared" si="37"/>
        <v>11</v>
      </c>
      <c r="C581" s="65" t="s">
        <v>728</v>
      </c>
      <c r="D581" s="66">
        <v>2015</v>
      </c>
      <c r="E581" s="67">
        <v>877.05</v>
      </c>
      <c r="F581" s="68">
        <v>877.05</v>
      </c>
      <c r="G581" s="68">
        <v>877.05</v>
      </c>
      <c r="H581" s="68">
        <v>877.05</v>
      </c>
      <c r="I581" s="68">
        <v>0</v>
      </c>
      <c r="J581" s="61" t="s">
        <v>29</v>
      </c>
      <c r="K581" s="62" t="s">
        <v>252</v>
      </c>
      <c r="L581" s="57"/>
    </row>
    <row r="582" spans="1:12" ht="69" x14ac:dyDescent="0.25">
      <c r="A582" s="1">
        <v>13</v>
      </c>
      <c r="B582" s="55">
        <f t="shared" si="37"/>
        <v>12</v>
      </c>
      <c r="C582" s="65" t="s">
        <v>729</v>
      </c>
      <c r="D582" s="66" t="s">
        <v>37</v>
      </c>
      <c r="E582" s="67">
        <v>900</v>
      </c>
      <c r="F582" s="68">
        <v>900</v>
      </c>
      <c r="G582" s="68">
        <v>900</v>
      </c>
      <c r="H582" s="68">
        <v>900</v>
      </c>
      <c r="I582" s="68">
        <v>0</v>
      </c>
      <c r="J582" s="61" t="s">
        <v>29</v>
      </c>
      <c r="K582" s="62" t="s">
        <v>730</v>
      </c>
      <c r="L582" s="57" t="s">
        <v>731</v>
      </c>
    </row>
    <row r="583" spans="1:12" ht="69" x14ac:dyDescent="0.25">
      <c r="A583" s="1">
        <v>13</v>
      </c>
      <c r="B583" s="55">
        <f t="shared" si="37"/>
        <v>13</v>
      </c>
      <c r="C583" s="65" t="s">
        <v>732</v>
      </c>
      <c r="D583" s="98" t="s">
        <v>726</v>
      </c>
      <c r="E583" s="67">
        <v>2900</v>
      </c>
      <c r="F583" s="68">
        <v>2900</v>
      </c>
      <c r="G583" s="68">
        <v>2900</v>
      </c>
      <c r="H583" s="68">
        <v>2845.4250000000002</v>
      </c>
      <c r="I583" s="68">
        <v>0</v>
      </c>
      <c r="J583" s="61" t="s">
        <v>45</v>
      </c>
      <c r="K583" s="62"/>
      <c r="L583" s="57"/>
    </row>
    <row r="584" spans="1:12" ht="69" x14ac:dyDescent="0.25">
      <c r="A584" s="1">
        <v>13</v>
      </c>
      <c r="B584" s="55">
        <f t="shared" si="37"/>
        <v>14</v>
      </c>
      <c r="C584" s="65" t="s">
        <v>733</v>
      </c>
      <c r="D584" s="66" t="s">
        <v>69</v>
      </c>
      <c r="E584" s="67">
        <v>580</v>
      </c>
      <c r="F584" s="68">
        <v>580</v>
      </c>
      <c r="G584" s="68">
        <v>574.63099999999997</v>
      </c>
      <c r="H584" s="68">
        <v>574.63099999999997</v>
      </c>
      <c r="I584" s="68">
        <v>0</v>
      </c>
      <c r="J584" s="96" t="s">
        <v>29</v>
      </c>
      <c r="K584" s="62" t="s">
        <v>719</v>
      </c>
      <c r="L584" s="57" t="s">
        <v>126</v>
      </c>
    </row>
    <row r="585" spans="1:12" ht="69" x14ac:dyDescent="0.25">
      <c r="A585" s="1">
        <v>13</v>
      </c>
      <c r="B585" s="55">
        <f t="shared" si="37"/>
        <v>15</v>
      </c>
      <c r="C585" s="65" t="s">
        <v>734</v>
      </c>
      <c r="D585" s="66" t="s">
        <v>735</v>
      </c>
      <c r="E585" s="67">
        <v>4374.6000000000004</v>
      </c>
      <c r="F585" s="68">
        <v>4374.6000000000004</v>
      </c>
      <c r="G585" s="68">
        <v>4374.6000000000004</v>
      </c>
      <c r="H585" s="68">
        <v>2060.9119999999998</v>
      </c>
      <c r="I585" s="68">
        <v>0</v>
      </c>
      <c r="J585" s="61" t="s">
        <v>45</v>
      </c>
      <c r="K585" s="62"/>
      <c r="L585" s="57"/>
    </row>
    <row r="586" spans="1:12" ht="69" x14ac:dyDescent="0.25">
      <c r="A586" s="1">
        <v>13</v>
      </c>
      <c r="B586" s="64">
        <f t="shared" si="37"/>
        <v>16</v>
      </c>
      <c r="C586" s="65" t="s">
        <v>736</v>
      </c>
      <c r="D586" s="66" t="s">
        <v>726</v>
      </c>
      <c r="E586" s="67">
        <f>2000+300</f>
        <v>2300</v>
      </c>
      <c r="F586" s="68">
        <f>2000+300</f>
        <v>2300</v>
      </c>
      <c r="G586" s="68">
        <v>2300</v>
      </c>
      <c r="H586" s="68">
        <v>2284.326</v>
      </c>
      <c r="I586" s="68">
        <v>0</v>
      </c>
      <c r="J586" s="61" t="s">
        <v>45</v>
      </c>
      <c r="K586" s="62"/>
      <c r="L586" s="57"/>
    </row>
    <row r="587" spans="1:12" ht="86.25" x14ac:dyDescent="0.25">
      <c r="A587" s="1">
        <v>13</v>
      </c>
      <c r="B587" s="55">
        <f t="shared" si="37"/>
        <v>17</v>
      </c>
      <c r="C587" s="65" t="s">
        <v>737</v>
      </c>
      <c r="D587" s="98" t="s">
        <v>738</v>
      </c>
      <c r="E587" s="70">
        <v>3490.7</v>
      </c>
      <c r="F587" s="69">
        <v>3490.7</v>
      </c>
      <c r="G587" s="69">
        <v>3490.7</v>
      </c>
      <c r="H587" s="69">
        <v>1969.299</v>
      </c>
      <c r="I587" s="69">
        <v>0</v>
      </c>
      <c r="J587" s="61" t="s">
        <v>45</v>
      </c>
      <c r="K587" s="62"/>
      <c r="L587" s="57"/>
    </row>
    <row r="588" spans="1:12" ht="69" x14ac:dyDescent="0.25">
      <c r="A588" s="1">
        <v>13</v>
      </c>
      <c r="B588" s="64">
        <f t="shared" si="37"/>
        <v>18</v>
      </c>
      <c r="C588" s="65" t="s">
        <v>739</v>
      </c>
      <c r="D588" s="66" t="s">
        <v>95</v>
      </c>
      <c r="E588" s="67">
        <f>2333.209+2500</f>
        <v>4833.2089999999998</v>
      </c>
      <c r="F588" s="68">
        <f>2333.209+2500</f>
        <v>4833.2089999999998</v>
      </c>
      <c r="G588" s="68">
        <f>2333.209+2500</f>
        <v>4833.2089999999998</v>
      </c>
      <c r="H588" s="68">
        <v>4833.2089999999998</v>
      </c>
      <c r="I588" s="68">
        <v>0</v>
      </c>
      <c r="J588" s="61" t="s">
        <v>45</v>
      </c>
      <c r="K588" s="62"/>
      <c r="L588" s="57"/>
    </row>
    <row r="589" spans="1:12" ht="103.5" x14ac:dyDescent="0.25">
      <c r="A589" s="1">
        <v>13</v>
      </c>
      <c r="B589" s="55">
        <f t="shared" si="37"/>
        <v>19</v>
      </c>
      <c r="C589" s="65" t="s">
        <v>740</v>
      </c>
      <c r="D589" s="66">
        <v>2015</v>
      </c>
      <c r="E589" s="67">
        <v>525.64499999999998</v>
      </c>
      <c r="F589" s="68">
        <v>525.64499999999998</v>
      </c>
      <c r="G589" s="68">
        <v>525.64499999999998</v>
      </c>
      <c r="H589" s="68">
        <v>512.96400000000006</v>
      </c>
      <c r="I589" s="68">
        <v>0</v>
      </c>
      <c r="J589" s="61" t="s">
        <v>29</v>
      </c>
      <c r="K589" s="62" t="s">
        <v>719</v>
      </c>
      <c r="L589" s="57" t="s">
        <v>741</v>
      </c>
    </row>
    <row r="590" spans="1:12" ht="86.25" x14ac:dyDescent="0.25">
      <c r="A590" s="1">
        <v>13</v>
      </c>
      <c r="B590" s="55">
        <f t="shared" si="37"/>
        <v>20</v>
      </c>
      <c r="C590" s="65" t="s">
        <v>742</v>
      </c>
      <c r="D590" s="66" t="s">
        <v>59</v>
      </c>
      <c r="E590" s="67">
        <v>2070</v>
      </c>
      <c r="F590" s="68">
        <v>2070</v>
      </c>
      <c r="G590" s="68">
        <v>2070</v>
      </c>
      <c r="H590" s="68">
        <v>2070</v>
      </c>
      <c r="I590" s="68">
        <v>0</v>
      </c>
      <c r="J590" s="61" t="s">
        <v>45</v>
      </c>
      <c r="K590" s="62"/>
      <c r="L590" s="57" t="s">
        <v>126</v>
      </c>
    </row>
    <row r="591" spans="1:12" ht="120.75" x14ac:dyDescent="0.25">
      <c r="A591" s="1">
        <v>13</v>
      </c>
      <c r="B591" s="55">
        <f t="shared" si="37"/>
        <v>21</v>
      </c>
      <c r="C591" s="65" t="s">
        <v>743</v>
      </c>
      <c r="D591" s="66">
        <v>2015</v>
      </c>
      <c r="E591" s="67">
        <v>940</v>
      </c>
      <c r="F591" s="68">
        <v>940</v>
      </c>
      <c r="G591" s="68">
        <v>940</v>
      </c>
      <c r="H591" s="68">
        <v>940</v>
      </c>
      <c r="I591" s="68">
        <v>0</v>
      </c>
      <c r="J591" s="61" t="s">
        <v>29</v>
      </c>
      <c r="K591" s="62" t="s">
        <v>744</v>
      </c>
      <c r="L591" s="57" t="s">
        <v>126</v>
      </c>
    </row>
    <row r="592" spans="1:12" ht="103.5" x14ac:dyDescent="0.25">
      <c r="A592" s="1">
        <v>13</v>
      </c>
      <c r="B592" s="55">
        <f t="shared" si="37"/>
        <v>22</v>
      </c>
      <c r="C592" s="65" t="s">
        <v>745</v>
      </c>
      <c r="D592" s="66" t="s">
        <v>746</v>
      </c>
      <c r="E592" s="67">
        <v>4452</v>
      </c>
      <c r="F592" s="68">
        <v>4452</v>
      </c>
      <c r="G592" s="68">
        <v>4452</v>
      </c>
      <c r="H592" s="68">
        <v>3784.7750000000001</v>
      </c>
      <c r="I592" s="68">
        <v>0</v>
      </c>
      <c r="J592" s="61" t="s">
        <v>45</v>
      </c>
      <c r="K592" s="62"/>
      <c r="L592" s="57"/>
    </row>
    <row r="593" spans="1:12" ht="69" x14ac:dyDescent="0.25">
      <c r="A593" s="1">
        <v>13</v>
      </c>
      <c r="B593" s="55">
        <f t="shared" si="37"/>
        <v>23</v>
      </c>
      <c r="C593" s="65" t="s">
        <v>747</v>
      </c>
      <c r="D593" s="66" t="s">
        <v>746</v>
      </c>
      <c r="E593" s="67">
        <v>1728</v>
      </c>
      <c r="F593" s="68">
        <v>1728</v>
      </c>
      <c r="G593" s="68">
        <v>1728</v>
      </c>
      <c r="H593" s="68">
        <v>1675.4</v>
      </c>
      <c r="I593" s="68">
        <v>0</v>
      </c>
      <c r="J593" s="61" t="s">
        <v>45</v>
      </c>
      <c r="K593" s="62"/>
      <c r="L593" s="57"/>
    </row>
    <row r="594" spans="1:12" ht="69" x14ac:dyDescent="0.25">
      <c r="A594" s="1">
        <v>13</v>
      </c>
      <c r="B594" s="55">
        <f t="shared" si="37"/>
        <v>24</v>
      </c>
      <c r="C594" s="65" t="s">
        <v>748</v>
      </c>
      <c r="D594" s="66">
        <v>2015</v>
      </c>
      <c r="E594" s="67">
        <v>829.94799999999998</v>
      </c>
      <c r="F594" s="68">
        <v>829.94799999999998</v>
      </c>
      <c r="G594" s="68">
        <v>636.29999999999995</v>
      </c>
      <c r="H594" s="68">
        <v>636.29999999999995</v>
      </c>
      <c r="I594" s="68">
        <v>0</v>
      </c>
      <c r="J594" s="61" t="s">
        <v>29</v>
      </c>
      <c r="K594" s="62" t="s">
        <v>723</v>
      </c>
      <c r="L594" s="57"/>
    </row>
    <row r="595" spans="1:12" ht="86.25" x14ac:dyDescent="0.25">
      <c r="A595" s="1">
        <v>13</v>
      </c>
      <c r="B595" s="55">
        <f t="shared" si="37"/>
        <v>25</v>
      </c>
      <c r="C595" s="65" t="s">
        <v>749</v>
      </c>
      <c r="D595" s="66">
        <v>2015</v>
      </c>
      <c r="E595" s="67">
        <v>1540.5</v>
      </c>
      <c r="F595" s="68">
        <v>1540.5</v>
      </c>
      <c r="G595" s="68">
        <v>1164.374</v>
      </c>
      <c r="H595" s="68">
        <v>1164.374</v>
      </c>
      <c r="I595" s="68">
        <v>0</v>
      </c>
      <c r="J595" s="61" t="s">
        <v>45</v>
      </c>
      <c r="K595" s="62"/>
      <c r="L595" s="57"/>
    </row>
    <row r="596" spans="1:12" ht="86.25" x14ac:dyDescent="0.25">
      <c r="A596" s="1">
        <v>13</v>
      </c>
      <c r="B596" s="55">
        <f t="shared" si="37"/>
        <v>26</v>
      </c>
      <c r="C596" s="65" t="s">
        <v>750</v>
      </c>
      <c r="D596" s="66" t="s">
        <v>95</v>
      </c>
      <c r="E596" s="67">
        <v>2111.2040000000002</v>
      </c>
      <c r="F596" s="68">
        <v>2111.2040000000002</v>
      </c>
      <c r="G596" s="68">
        <v>2111.2040000000002</v>
      </c>
      <c r="H596" s="68">
        <v>2111.2040000000002</v>
      </c>
      <c r="I596" s="68">
        <v>0</v>
      </c>
      <c r="J596" s="61" t="s">
        <v>45</v>
      </c>
      <c r="K596" s="62"/>
      <c r="L596" s="57"/>
    </row>
    <row r="597" spans="1:12" ht="120.75" x14ac:dyDescent="0.25">
      <c r="A597" s="1">
        <v>13</v>
      </c>
      <c r="B597" s="55">
        <f t="shared" si="37"/>
        <v>27</v>
      </c>
      <c r="C597" s="65" t="s">
        <v>751</v>
      </c>
      <c r="D597" s="66" t="s">
        <v>752</v>
      </c>
      <c r="E597" s="67">
        <v>800</v>
      </c>
      <c r="F597" s="68">
        <v>800</v>
      </c>
      <c r="G597" s="68">
        <v>800</v>
      </c>
      <c r="H597" s="68">
        <v>800</v>
      </c>
      <c r="I597" s="68">
        <v>0</v>
      </c>
      <c r="J597" s="61" t="s">
        <v>45</v>
      </c>
      <c r="K597" s="62"/>
      <c r="L597" s="57" t="s">
        <v>126</v>
      </c>
    </row>
    <row r="598" spans="1:12" ht="69" x14ac:dyDescent="0.25">
      <c r="A598" s="1">
        <v>13</v>
      </c>
      <c r="B598" s="55">
        <f t="shared" si="37"/>
        <v>28</v>
      </c>
      <c r="C598" s="65" t="s">
        <v>753</v>
      </c>
      <c r="D598" s="66" t="s">
        <v>534</v>
      </c>
      <c r="E598" s="67">
        <v>444.5</v>
      </c>
      <c r="F598" s="68">
        <v>444.5</v>
      </c>
      <c r="G598" s="68">
        <v>444.5</v>
      </c>
      <c r="H598" s="68">
        <v>444.5</v>
      </c>
      <c r="I598" s="68">
        <v>0</v>
      </c>
      <c r="J598" s="61" t="s">
        <v>29</v>
      </c>
      <c r="K598" s="62" t="s">
        <v>392</v>
      </c>
      <c r="L598" s="57"/>
    </row>
    <row r="599" spans="1:12" ht="51.75" x14ac:dyDescent="0.25">
      <c r="A599" s="1">
        <v>13</v>
      </c>
      <c r="B599" s="55">
        <f t="shared" si="37"/>
        <v>29</v>
      </c>
      <c r="C599" s="65" t="s">
        <v>754</v>
      </c>
      <c r="D599" s="66">
        <v>2015</v>
      </c>
      <c r="E599" s="67">
        <v>348.3</v>
      </c>
      <c r="F599" s="68">
        <v>348.3</v>
      </c>
      <c r="G599" s="68">
        <v>348.3</v>
      </c>
      <c r="H599" s="68">
        <v>342.178</v>
      </c>
      <c r="I599" s="68">
        <v>0</v>
      </c>
      <c r="J599" s="61" t="s">
        <v>29</v>
      </c>
      <c r="K599" s="62" t="s">
        <v>755</v>
      </c>
      <c r="L599" s="57"/>
    </row>
    <row r="600" spans="1:12" ht="51.75" x14ac:dyDescent="0.25">
      <c r="A600" s="1">
        <v>13</v>
      </c>
      <c r="B600" s="64">
        <f t="shared" si="37"/>
        <v>30</v>
      </c>
      <c r="C600" s="65" t="s">
        <v>756</v>
      </c>
      <c r="D600" s="98" t="s">
        <v>757</v>
      </c>
      <c r="E600" s="67">
        <f>678.566+204</f>
        <v>882.56600000000003</v>
      </c>
      <c r="F600" s="68">
        <f>678.566+204</f>
        <v>882.56600000000003</v>
      </c>
      <c r="G600" s="68">
        <f>678.566+204</f>
        <v>882.56600000000003</v>
      </c>
      <c r="H600" s="68">
        <v>670.35500000000002</v>
      </c>
      <c r="I600" s="68">
        <v>0</v>
      </c>
      <c r="J600" s="96" t="s">
        <v>45</v>
      </c>
      <c r="K600" s="62"/>
      <c r="L600" s="57"/>
    </row>
    <row r="601" spans="1:12" ht="86.25" x14ac:dyDescent="0.25">
      <c r="A601" s="1">
        <v>13</v>
      </c>
      <c r="B601" s="55">
        <f t="shared" si="37"/>
        <v>31</v>
      </c>
      <c r="C601" s="65" t="s">
        <v>758</v>
      </c>
      <c r="D601" s="66">
        <v>2015</v>
      </c>
      <c r="E601" s="67">
        <v>665.721</v>
      </c>
      <c r="F601" s="68">
        <v>665.721</v>
      </c>
      <c r="G601" s="68">
        <v>665.721</v>
      </c>
      <c r="H601" s="68">
        <v>561.39700000000005</v>
      </c>
      <c r="I601" s="68">
        <v>0</v>
      </c>
      <c r="J601" s="61" t="s">
        <v>29</v>
      </c>
      <c r="K601" s="62" t="s">
        <v>719</v>
      </c>
      <c r="L601" s="57"/>
    </row>
    <row r="602" spans="1:12" ht="86.25" x14ac:dyDescent="0.25">
      <c r="A602" s="1">
        <v>13</v>
      </c>
      <c r="B602" s="55">
        <f t="shared" si="37"/>
        <v>32</v>
      </c>
      <c r="C602" s="65" t="s">
        <v>759</v>
      </c>
      <c r="D602" s="66">
        <v>2015</v>
      </c>
      <c r="E602" s="67">
        <v>421.46800000000002</v>
      </c>
      <c r="F602" s="68">
        <v>421.46800000000002</v>
      </c>
      <c r="G602" s="68">
        <v>421.46800000000002</v>
      </c>
      <c r="H602" s="68">
        <v>409.80599999999998</v>
      </c>
      <c r="I602" s="68">
        <v>0</v>
      </c>
      <c r="J602" s="61" t="s">
        <v>29</v>
      </c>
      <c r="K602" s="62" t="s">
        <v>719</v>
      </c>
      <c r="L602" s="57"/>
    </row>
    <row r="603" spans="1:12" ht="103.5" x14ac:dyDescent="0.25">
      <c r="A603" s="1">
        <v>13</v>
      </c>
      <c r="B603" s="55">
        <f t="shared" si="37"/>
        <v>33</v>
      </c>
      <c r="C603" s="65" t="s">
        <v>760</v>
      </c>
      <c r="D603" s="66">
        <v>2015</v>
      </c>
      <c r="E603" s="67">
        <v>581.29999999999995</v>
      </c>
      <c r="F603" s="68">
        <v>581.29999999999995</v>
      </c>
      <c r="G603" s="68">
        <v>581.29999999999995</v>
      </c>
      <c r="H603" s="68">
        <v>503.50099999999998</v>
      </c>
      <c r="I603" s="68">
        <v>0</v>
      </c>
      <c r="J603" s="61" t="s">
        <v>29</v>
      </c>
      <c r="K603" s="62" t="s">
        <v>719</v>
      </c>
      <c r="L603" s="57"/>
    </row>
    <row r="604" spans="1:12" ht="51.75" x14ac:dyDescent="0.25">
      <c r="A604" s="1">
        <v>13</v>
      </c>
      <c r="B604" s="55">
        <f t="shared" si="37"/>
        <v>34</v>
      </c>
      <c r="C604" s="65" t="s">
        <v>761</v>
      </c>
      <c r="D604" s="66" t="s">
        <v>59</v>
      </c>
      <c r="E604" s="67">
        <v>600</v>
      </c>
      <c r="F604" s="68">
        <v>600</v>
      </c>
      <c r="G604" s="68">
        <v>600</v>
      </c>
      <c r="H604" s="68">
        <v>600</v>
      </c>
      <c r="I604" s="68">
        <v>0</v>
      </c>
      <c r="J604" s="96" t="s">
        <v>29</v>
      </c>
      <c r="K604" s="62" t="s">
        <v>719</v>
      </c>
      <c r="L604" s="57" t="s">
        <v>126</v>
      </c>
    </row>
    <row r="605" spans="1:12" ht="69" x14ac:dyDescent="0.25">
      <c r="A605" s="1">
        <v>13</v>
      </c>
      <c r="B605" s="55">
        <f t="shared" si="37"/>
        <v>35</v>
      </c>
      <c r="C605" s="65" t="s">
        <v>762</v>
      </c>
      <c r="D605" s="98" t="s">
        <v>69</v>
      </c>
      <c r="E605" s="67">
        <v>1020</v>
      </c>
      <c r="F605" s="68">
        <v>1020</v>
      </c>
      <c r="G605" s="68">
        <v>1019.696</v>
      </c>
      <c r="H605" s="68">
        <v>1018.476</v>
      </c>
      <c r="I605" s="68">
        <v>0</v>
      </c>
      <c r="J605" s="61" t="s">
        <v>29</v>
      </c>
      <c r="K605" s="62" t="s">
        <v>719</v>
      </c>
      <c r="L605" s="57"/>
    </row>
    <row r="606" spans="1:12" ht="69" x14ac:dyDescent="0.25">
      <c r="A606" s="1">
        <v>13</v>
      </c>
      <c r="B606" s="55">
        <f t="shared" si="37"/>
        <v>36</v>
      </c>
      <c r="C606" s="65" t="s">
        <v>763</v>
      </c>
      <c r="D606" s="66">
        <v>2015</v>
      </c>
      <c r="E606" s="67">
        <v>874.4</v>
      </c>
      <c r="F606" s="68">
        <v>874.4</v>
      </c>
      <c r="G606" s="68">
        <v>837.71400000000006</v>
      </c>
      <c r="H606" s="68">
        <v>837.71299999999997</v>
      </c>
      <c r="I606" s="68">
        <v>0</v>
      </c>
      <c r="J606" s="96" t="s">
        <v>29</v>
      </c>
      <c r="K606" s="62" t="s">
        <v>719</v>
      </c>
      <c r="L606" s="57" t="s">
        <v>126</v>
      </c>
    </row>
    <row r="607" spans="1:12" ht="69" x14ac:dyDescent="0.25">
      <c r="A607" s="1">
        <v>13</v>
      </c>
      <c r="B607" s="55">
        <f t="shared" si="37"/>
        <v>37</v>
      </c>
      <c r="C607" s="65" t="s">
        <v>764</v>
      </c>
      <c r="D607" s="66" t="s">
        <v>153</v>
      </c>
      <c r="E607" s="67">
        <v>1492.5</v>
      </c>
      <c r="F607" s="68">
        <v>1492.5</v>
      </c>
      <c r="G607" s="68">
        <v>1492.5</v>
      </c>
      <c r="H607" s="68">
        <v>1492.499</v>
      </c>
      <c r="I607" s="68">
        <v>0</v>
      </c>
      <c r="J607" s="61" t="s">
        <v>45</v>
      </c>
      <c r="K607" s="62"/>
      <c r="L607" s="63" t="s">
        <v>126</v>
      </c>
    </row>
    <row r="608" spans="1:12" ht="86.25" x14ac:dyDescent="0.25">
      <c r="A608" s="1">
        <v>13</v>
      </c>
      <c r="B608" s="64">
        <f t="shared" si="37"/>
        <v>38</v>
      </c>
      <c r="C608" s="65" t="s">
        <v>765</v>
      </c>
      <c r="D608" s="127" t="s">
        <v>28</v>
      </c>
      <c r="E608" s="67">
        <f>3000+1500</f>
        <v>4500</v>
      </c>
      <c r="F608" s="68">
        <f>3000+1500</f>
        <v>4500</v>
      </c>
      <c r="G608" s="68">
        <v>4500</v>
      </c>
      <c r="H608" s="68">
        <v>4500</v>
      </c>
      <c r="I608" s="68">
        <v>0</v>
      </c>
      <c r="J608" s="61" t="s">
        <v>45</v>
      </c>
      <c r="K608" s="62" t="s">
        <v>766</v>
      </c>
      <c r="L608" s="57" t="s">
        <v>126</v>
      </c>
    </row>
    <row r="609" spans="1:12" ht="51.75" x14ac:dyDescent="0.25">
      <c r="A609" s="1">
        <v>13</v>
      </c>
      <c r="B609" s="55">
        <f t="shared" si="37"/>
        <v>39</v>
      </c>
      <c r="C609" s="65" t="s">
        <v>767</v>
      </c>
      <c r="D609" s="66">
        <v>2015</v>
      </c>
      <c r="E609" s="67">
        <v>516.4</v>
      </c>
      <c r="F609" s="68">
        <v>516.4</v>
      </c>
      <c r="G609" s="68">
        <v>561.4</v>
      </c>
      <c r="H609" s="68">
        <v>516.34400000000005</v>
      </c>
      <c r="I609" s="68">
        <v>0</v>
      </c>
      <c r="J609" s="61" t="s">
        <v>29</v>
      </c>
      <c r="K609" s="62" t="s">
        <v>458</v>
      </c>
      <c r="L609" s="57"/>
    </row>
    <row r="610" spans="1:12" ht="51.75" x14ac:dyDescent="0.25">
      <c r="A610" s="1">
        <v>13</v>
      </c>
      <c r="B610" s="55">
        <f t="shared" si="37"/>
        <v>40</v>
      </c>
      <c r="C610" s="65" t="s">
        <v>768</v>
      </c>
      <c r="D610" s="66" t="s">
        <v>37</v>
      </c>
      <c r="E610" s="67">
        <v>9558.82</v>
      </c>
      <c r="F610" s="68">
        <v>9558.82</v>
      </c>
      <c r="G610" s="68">
        <v>9558.82</v>
      </c>
      <c r="H610" s="68">
        <v>9107.6839999999993</v>
      </c>
      <c r="I610" s="68">
        <v>0</v>
      </c>
      <c r="J610" s="96" t="s">
        <v>29</v>
      </c>
      <c r="K610" s="62" t="s">
        <v>769</v>
      </c>
      <c r="L610" s="57"/>
    </row>
    <row r="611" spans="1:12" ht="51.75" x14ac:dyDescent="0.25">
      <c r="A611" s="1">
        <v>13</v>
      </c>
      <c r="B611" s="55">
        <f t="shared" si="37"/>
        <v>41</v>
      </c>
      <c r="C611" s="65" t="s">
        <v>770</v>
      </c>
      <c r="D611" s="66" t="s">
        <v>59</v>
      </c>
      <c r="E611" s="67">
        <v>16037.6</v>
      </c>
      <c r="F611" s="68">
        <v>16037.6</v>
      </c>
      <c r="G611" s="68">
        <v>16037.6</v>
      </c>
      <c r="H611" s="68">
        <v>16037.6</v>
      </c>
      <c r="I611" s="68">
        <v>0</v>
      </c>
      <c r="J611" s="61" t="s">
        <v>45</v>
      </c>
      <c r="K611" s="62"/>
      <c r="L611" s="57" t="s">
        <v>126</v>
      </c>
    </row>
    <row r="612" spans="1:12" ht="69" x14ac:dyDescent="0.25">
      <c r="A612" s="1">
        <v>13</v>
      </c>
      <c r="B612" s="64">
        <f t="shared" si="37"/>
        <v>42</v>
      </c>
      <c r="C612" s="65" t="s">
        <v>771</v>
      </c>
      <c r="D612" s="98" t="s">
        <v>717</v>
      </c>
      <c r="E612" s="67">
        <f>4677-1499.718</f>
        <v>3177.2820000000002</v>
      </c>
      <c r="F612" s="68">
        <f>4677-1499.718</f>
        <v>3177.2820000000002</v>
      </c>
      <c r="G612" s="68">
        <v>3177.2820000000002</v>
      </c>
      <c r="H612" s="68">
        <v>2169.8609999999999</v>
      </c>
      <c r="I612" s="68">
        <v>0</v>
      </c>
      <c r="J612" s="96" t="s">
        <v>45</v>
      </c>
      <c r="K612" s="62"/>
      <c r="L612" s="57"/>
    </row>
    <row r="613" spans="1:12" ht="69" x14ac:dyDescent="0.25">
      <c r="A613" s="1">
        <v>13</v>
      </c>
      <c r="B613" s="64">
        <f t="shared" si="37"/>
        <v>43</v>
      </c>
      <c r="C613" s="65" t="s">
        <v>772</v>
      </c>
      <c r="D613" s="98" t="s">
        <v>773</v>
      </c>
      <c r="E613" s="67">
        <f>5278.3-1476.938+790</f>
        <v>4591.3620000000001</v>
      </c>
      <c r="F613" s="68">
        <f>5278.3-1476.938+790</f>
        <v>4591.3620000000001</v>
      </c>
      <c r="G613" s="68">
        <v>4591.3620000000001</v>
      </c>
      <c r="H613" s="68">
        <v>4591.2389999999996</v>
      </c>
      <c r="I613" s="68">
        <v>0</v>
      </c>
      <c r="J613" s="96" t="s">
        <v>45</v>
      </c>
      <c r="K613" s="62" t="s">
        <v>774</v>
      </c>
      <c r="L613" s="57"/>
    </row>
    <row r="614" spans="1:12" ht="51.75" x14ac:dyDescent="0.25">
      <c r="A614" s="1">
        <v>13</v>
      </c>
      <c r="B614" s="55">
        <f t="shared" si="37"/>
        <v>44</v>
      </c>
      <c r="C614" s="65" t="s">
        <v>775</v>
      </c>
      <c r="D614" s="66">
        <v>2015</v>
      </c>
      <c r="E614" s="67">
        <v>4594.8410000000003</v>
      </c>
      <c r="F614" s="68">
        <v>4594.8410000000003</v>
      </c>
      <c r="G614" s="68">
        <v>4594.8410000000003</v>
      </c>
      <c r="H614" s="68">
        <v>4594.8410000000003</v>
      </c>
      <c r="I614" s="68">
        <v>0</v>
      </c>
      <c r="J614" s="61" t="s">
        <v>29</v>
      </c>
      <c r="K614" s="62" t="s">
        <v>776</v>
      </c>
      <c r="L614" s="57"/>
    </row>
    <row r="615" spans="1:12" ht="86.25" x14ac:dyDescent="0.25">
      <c r="A615" s="1">
        <v>13</v>
      </c>
      <c r="B615" s="55">
        <f t="shared" si="37"/>
        <v>45</v>
      </c>
      <c r="C615" s="65" t="s">
        <v>777</v>
      </c>
      <c r="D615" s="66" t="s">
        <v>190</v>
      </c>
      <c r="E615" s="67">
        <v>7718.3</v>
      </c>
      <c r="F615" s="68">
        <v>7718.3</v>
      </c>
      <c r="G615" s="68">
        <v>7718.3</v>
      </c>
      <c r="H615" s="68">
        <v>7718.3</v>
      </c>
      <c r="I615" s="68">
        <v>0</v>
      </c>
      <c r="J615" s="61" t="s">
        <v>29</v>
      </c>
      <c r="K615" s="62" t="s">
        <v>778</v>
      </c>
      <c r="L615" s="57"/>
    </row>
    <row r="616" spans="1:12" ht="69" x14ac:dyDescent="0.25">
      <c r="A616" s="1">
        <v>13</v>
      </c>
      <c r="B616" s="55">
        <f t="shared" si="37"/>
        <v>46</v>
      </c>
      <c r="C616" s="65" t="s">
        <v>779</v>
      </c>
      <c r="D616" s="66" t="s">
        <v>69</v>
      </c>
      <c r="E616" s="67">
        <v>6000</v>
      </c>
      <c r="F616" s="68">
        <v>6000</v>
      </c>
      <c r="G616" s="68">
        <v>6000</v>
      </c>
      <c r="H616" s="68">
        <v>6000</v>
      </c>
      <c r="I616" s="68">
        <v>0</v>
      </c>
      <c r="J616" s="96" t="s">
        <v>29</v>
      </c>
      <c r="K616" s="62" t="s">
        <v>780</v>
      </c>
      <c r="L616" s="57" t="s">
        <v>126</v>
      </c>
    </row>
    <row r="617" spans="1:12" ht="86.25" x14ac:dyDescent="0.25">
      <c r="A617" s="1">
        <v>13</v>
      </c>
      <c r="B617" s="55">
        <f t="shared" si="37"/>
        <v>47</v>
      </c>
      <c r="C617" s="65" t="s">
        <v>781</v>
      </c>
      <c r="D617" s="98" t="s">
        <v>782</v>
      </c>
      <c r="E617" s="67">
        <v>6203.1940000000004</v>
      </c>
      <c r="F617" s="68">
        <v>6203.1940000000004</v>
      </c>
      <c r="G617" s="68">
        <v>6203.1940000000004</v>
      </c>
      <c r="H617" s="68">
        <v>6176.2510000000002</v>
      </c>
      <c r="I617" s="68">
        <v>0</v>
      </c>
      <c r="J617" s="96" t="s">
        <v>45</v>
      </c>
      <c r="K617" s="62"/>
      <c r="L617" s="57"/>
    </row>
    <row r="618" spans="1:12" ht="69" x14ac:dyDescent="0.25">
      <c r="A618" s="1">
        <v>13</v>
      </c>
      <c r="B618" s="64">
        <f t="shared" si="37"/>
        <v>48</v>
      </c>
      <c r="C618" s="65" t="s">
        <v>783</v>
      </c>
      <c r="D618" s="98" t="s">
        <v>784</v>
      </c>
      <c r="E618" s="70">
        <f>10805.8-1200</f>
        <v>9605.7999999999993</v>
      </c>
      <c r="F618" s="69">
        <f>10805.8-1200</f>
        <v>9605.7999999999993</v>
      </c>
      <c r="G618" s="69">
        <f>10805.8-1200</f>
        <v>9605.7999999999993</v>
      </c>
      <c r="H618" s="69">
        <v>9517.5480000000007</v>
      </c>
      <c r="I618" s="69">
        <v>0</v>
      </c>
      <c r="J618" s="96" t="s">
        <v>45</v>
      </c>
      <c r="K618" s="62"/>
      <c r="L618" s="57"/>
    </row>
    <row r="619" spans="1:12" ht="86.25" x14ac:dyDescent="0.25">
      <c r="A619" s="1">
        <v>13</v>
      </c>
      <c r="B619" s="55">
        <f t="shared" si="37"/>
        <v>49</v>
      </c>
      <c r="C619" s="65" t="s">
        <v>785</v>
      </c>
      <c r="D619" s="66" t="s">
        <v>786</v>
      </c>
      <c r="E619" s="67">
        <v>2962.8</v>
      </c>
      <c r="F619" s="68">
        <v>2962.8</v>
      </c>
      <c r="G619" s="68">
        <v>2962.8</v>
      </c>
      <c r="H619" s="68">
        <v>2570.3960000000002</v>
      </c>
      <c r="I619" s="68">
        <v>0</v>
      </c>
      <c r="J619" s="61" t="s">
        <v>45</v>
      </c>
      <c r="K619" s="62"/>
      <c r="L619" s="57"/>
    </row>
    <row r="620" spans="1:12" ht="51.75" x14ac:dyDescent="0.25">
      <c r="A620" s="1">
        <v>13</v>
      </c>
      <c r="B620" s="55">
        <f t="shared" si="37"/>
        <v>50</v>
      </c>
      <c r="C620" s="65" t="s">
        <v>787</v>
      </c>
      <c r="D620" s="66">
        <v>2015</v>
      </c>
      <c r="E620" s="67">
        <v>4808.5</v>
      </c>
      <c r="F620" s="68">
        <v>4808.5</v>
      </c>
      <c r="G620" s="68">
        <v>4808.5</v>
      </c>
      <c r="H620" s="68">
        <v>4808.5</v>
      </c>
      <c r="I620" s="68">
        <v>0</v>
      </c>
      <c r="J620" s="61" t="s">
        <v>29</v>
      </c>
      <c r="K620" s="62"/>
      <c r="L620" s="57" t="s">
        <v>126</v>
      </c>
    </row>
    <row r="621" spans="1:12" ht="103.5" x14ac:dyDescent="0.25">
      <c r="A621" s="1">
        <v>13</v>
      </c>
      <c r="B621" s="55">
        <f t="shared" si="37"/>
        <v>51</v>
      </c>
      <c r="C621" s="73" t="s">
        <v>788</v>
      </c>
      <c r="D621" s="74" t="s">
        <v>153</v>
      </c>
      <c r="E621" s="75">
        <v>330.9</v>
      </c>
      <c r="F621" s="76">
        <v>330.9</v>
      </c>
      <c r="G621" s="76">
        <v>330.9</v>
      </c>
      <c r="H621" s="76">
        <v>330.9</v>
      </c>
      <c r="I621" s="76">
        <v>0</v>
      </c>
      <c r="J621" s="79" t="s">
        <v>29</v>
      </c>
      <c r="K621" s="80" t="s">
        <v>141</v>
      </c>
      <c r="L621" s="57"/>
    </row>
    <row r="622" spans="1:12" ht="69.75" thickBot="1" x14ac:dyDescent="0.3">
      <c r="A622" s="1">
        <v>13</v>
      </c>
      <c r="B622" s="82">
        <f t="shared" si="37"/>
        <v>52</v>
      </c>
      <c r="C622" s="83" t="s">
        <v>789</v>
      </c>
      <c r="D622" s="105" t="s">
        <v>95</v>
      </c>
      <c r="E622" s="88">
        <v>500</v>
      </c>
      <c r="F622" s="87">
        <v>500</v>
      </c>
      <c r="G622" s="87">
        <v>500</v>
      </c>
      <c r="H622" s="87">
        <v>499.928</v>
      </c>
      <c r="I622" s="87">
        <v>0</v>
      </c>
      <c r="J622" s="120" t="s">
        <v>45</v>
      </c>
      <c r="K622" s="90"/>
      <c r="L622" s="123"/>
    </row>
    <row r="623" spans="1:12" ht="15.75" thickBot="1" x14ac:dyDescent="0.3">
      <c r="A623" s="1">
        <v>14</v>
      </c>
      <c r="B623" s="186" t="s">
        <v>790</v>
      </c>
      <c r="C623" s="187"/>
      <c r="D623" s="187"/>
      <c r="E623" s="187"/>
      <c r="F623" s="187"/>
      <c r="G623" s="187"/>
      <c r="H623" s="187"/>
      <c r="I623" s="187"/>
      <c r="J623" s="187"/>
      <c r="K623" s="187"/>
      <c r="L623" s="188"/>
    </row>
    <row r="624" spans="1:12" ht="18.75" x14ac:dyDescent="0.25">
      <c r="A624" s="1">
        <v>14</v>
      </c>
      <c r="B624" s="36"/>
      <c r="C624" s="37" t="s">
        <v>24</v>
      </c>
      <c r="D624" s="38"/>
      <c r="E624" s="39">
        <f>SUM(E625,E627:E666)</f>
        <v>62948.094000000012</v>
      </c>
      <c r="F624" s="40">
        <f t="shared" ref="F624:I624" si="38">SUM(F625,F627:F666)</f>
        <v>62948.094000000012</v>
      </c>
      <c r="G624" s="40">
        <f t="shared" si="38"/>
        <v>62241.166000000005</v>
      </c>
      <c r="H624" s="40">
        <f t="shared" si="38"/>
        <v>54712.328000000001</v>
      </c>
      <c r="I624" s="40">
        <f t="shared" si="38"/>
        <v>159.09899999999999</v>
      </c>
      <c r="J624" s="92"/>
      <c r="K624" s="93"/>
      <c r="L624" s="38"/>
    </row>
    <row r="625" spans="1:12" ht="18.75" x14ac:dyDescent="0.25">
      <c r="A625" s="1">
        <v>14</v>
      </c>
      <c r="B625" s="46"/>
      <c r="C625" s="24" t="s">
        <v>21</v>
      </c>
      <c r="D625" s="47"/>
      <c r="E625" s="48">
        <v>0</v>
      </c>
      <c r="F625" s="49">
        <v>0</v>
      </c>
      <c r="G625" s="49">
        <v>0</v>
      </c>
      <c r="H625" s="49"/>
      <c r="I625" s="49"/>
      <c r="J625" s="95"/>
      <c r="K625" s="25"/>
      <c r="L625" s="47"/>
    </row>
    <row r="626" spans="1:12" ht="16.5" x14ac:dyDescent="0.25">
      <c r="A626" s="1">
        <v>14</v>
      </c>
      <c r="B626" s="46"/>
      <c r="C626" s="54" t="s">
        <v>22</v>
      </c>
      <c r="D626" s="47"/>
      <c r="E626" s="48">
        <f>SUM(E627:E666)</f>
        <v>62948.094000000012</v>
      </c>
      <c r="F626" s="49">
        <f t="shared" ref="F626:I626" si="39">SUM(F627:F666)</f>
        <v>62948.094000000012</v>
      </c>
      <c r="G626" s="49">
        <f t="shared" si="39"/>
        <v>62241.166000000005</v>
      </c>
      <c r="H626" s="49">
        <f t="shared" si="39"/>
        <v>54712.328000000001</v>
      </c>
      <c r="I626" s="49">
        <f t="shared" si="39"/>
        <v>159.09899999999999</v>
      </c>
      <c r="J626" s="95"/>
      <c r="K626" s="25"/>
      <c r="L626" s="47"/>
    </row>
    <row r="627" spans="1:12" ht="86.25" x14ac:dyDescent="0.25">
      <c r="A627" s="1">
        <v>14</v>
      </c>
      <c r="B627" s="55">
        <v>1</v>
      </c>
      <c r="C627" s="65" t="s">
        <v>791</v>
      </c>
      <c r="D627" s="66"/>
      <c r="E627" s="67">
        <v>159.09899999999999</v>
      </c>
      <c r="F627" s="68">
        <v>159.09899999999999</v>
      </c>
      <c r="G627" s="68">
        <v>159.09899999999999</v>
      </c>
      <c r="H627" s="68">
        <v>159.09899999999999</v>
      </c>
      <c r="I627" s="68">
        <v>159.09899999999999</v>
      </c>
      <c r="J627" s="61"/>
      <c r="K627" s="62"/>
      <c r="L627" s="57" t="s">
        <v>33</v>
      </c>
    </row>
    <row r="628" spans="1:12" ht="69" x14ac:dyDescent="0.25">
      <c r="A628" s="1">
        <v>14</v>
      </c>
      <c r="B628" s="55">
        <f>B627+1</f>
        <v>2</v>
      </c>
      <c r="C628" s="65" t="s">
        <v>792</v>
      </c>
      <c r="D628" s="66" t="s">
        <v>153</v>
      </c>
      <c r="E628" s="67">
        <v>2402.2370000000001</v>
      </c>
      <c r="F628" s="68">
        <v>2402.2370000000001</v>
      </c>
      <c r="G628" s="68">
        <v>2402.2370000000001</v>
      </c>
      <c r="H628" s="68">
        <v>1375.432</v>
      </c>
      <c r="I628" s="68">
        <v>0</v>
      </c>
      <c r="J628" s="61" t="s">
        <v>45</v>
      </c>
      <c r="K628" s="62"/>
      <c r="L628" s="57"/>
    </row>
    <row r="629" spans="1:12" ht="51.75" x14ac:dyDescent="0.25">
      <c r="A629" s="1">
        <v>14</v>
      </c>
      <c r="B629" s="55">
        <f t="shared" ref="B629:B666" si="40">B628+1</f>
        <v>3</v>
      </c>
      <c r="C629" s="65" t="s">
        <v>793</v>
      </c>
      <c r="D629" s="66" t="s">
        <v>153</v>
      </c>
      <c r="E629" s="67">
        <v>659.57</v>
      </c>
      <c r="F629" s="68">
        <v>659.57</v>
      </c>
      <c r="G629" s="68">
        <v>542.33799999999997</v>
      </c>
      <c r="H629" s="68">
        <v>542.33799999999997</v>
      </c>
      <c r="I629" s="68">
        <v>0</v>
      </c>
      <c r="J629" s="61" t="s">
        <v>29</v>
      </c>
      <c r="K629" s="62" t="s">
        <v>106</v>
      </c>
      <c r="L629" s="57" t="s">
        <v>57</v>
      </c>
    </row>
    <row r="630" spans="1:12" ht="69" x14ac:dyDescent="0.25">
      <c r="A630" s="1">
        <v>14</v>
      </c>
      <c r="B630" s="55">
        <f t="shared" si="40"/>
        <v>4</v>
      </c>
      <c r="C630" s="65" t="s">
        <v>794</v>
      </c>
      <c r="D630" s="66" t="s">
        <v>153</v>
      </c>
      <c r="E630" s="67">
        <v>1439.481</v>
      </c>
      <c r="F630" s="68">
        <v>1439.481</v>
      </c>
      <c r="G630" s="68">
        <v>849.78499999999997</v>
      </c>
      <c r="H630" s="68">
        <v>849.78499999999997</v>
      </c>
      <c r="I630" s="68">
        <v>0</v>
      </c>
      <c r="J630" s="61" t="s">
        <v>29</v>
      </c>
      <c r="K630" s="62" t="s">
        <v>115</v>
      </c>
      <c r="L630" s="57" t="s">
        <v>126</v>
      </c>
    </row>
    <row r="631" spans="1:12" ht="51.75" x14ac:dyDescent="0.25">
      <c r="A631" s="1">
        <v>14</v>
      </c>
      <c r="B631" s="55">
        <f t="shared" si="40"/>
        <v>5</v>
      </c>
      <c r="C631" s="65" t="s">
        <v>795</v>
      </c>
      <c r="D631" s="66" t="s">
        <v>153</v>
      </c>
      <c r="E631" s="67">
        <v>7996.34</v>
      </c>
      <c r="F631" s="68">
        <v>7996.34</v>
      </c>
      <c r="G631" s="68">
        <v>7996.34</v>
      </c>
      <c r="H631" s="68">
        <v>7764.8159999999998</v>
      </c>
      <c r="I631" s="68">
        <v>0</v>
      </c>
      <c r="J631" s="61" t="s">
        <v>796</v>
      </c>
      <c r="K631" s="62" t="s">
        <v>106</v>
      </c>
      <c r="L631" s="57" t="s">
        <v>57</v>
      </c>
    </row>
    <row r="632" spans="1:12" ht="103.5" x14ac:dyDescent="0.25">
      <c r="A632" s="1">
        <v>14</v>
      </c>
      <c r="B632" s="55">
        <f t="shared" si="40"/>
        <v>6</v>
      </c>
      <c r="C632" s="65" t="s">
        <v>797</v>
      </c>
      <c r="D632" s="66" t="s">
        <v>69</v>
      </c>
      <c r="E632" s="67">
        <v>695.58900000000006</v>
      </c>
      <c r="F632" s="68">
        <v>695.58900000000006</v>
      </c>
      <c r="G632" s="68">
        <v>695.58900000000006</v>
      </c>
      <c r="H632" s="68">
        <v>661.19100000000003</v>
      </c>
      <c r="I632" s="68">
        <v>0</v>
      </c>
      <c r="J632" s="61" t="s">
        <v>796</v>
      </c>
      <c r="K632" s="62" t="s">
        <v>123</v>
      </c>
      <c r="L632" s="57" t="s">
        <v>57</v>
      </c>
    </row>
    <row r="633" spans="1:12" ht="51.75" x14ac:dyDescent="0.25">
      <c r="A633" s="1">
        <v>14</v>
      </c>
      <c r="B633" s="55">
        <f t="shared" si="40"/>
        <v>7</v>
      </c>
      <c r="C633" s="65" t="s">
        <v>798</v>
      </c>
      <c r="D633" s="66" t="s">
        <v>28</v>
      </c>
      <c r="E633" s="67">
        <v>3212.3809999999999</v>
      </c>
      <c r="F633" s="68">
        <v>3212.3809999999999</v>
      </c>
      <c r="G633" s="68">
        <v>3212.3809999999999</v>
      </c>
      <c r="H633" s="68">
        <v>3124.0360000000001</v>
      </c>
      <c r="I633" s="68">
        <v>0</v>
      </c>
      <c r="J633" s="61" t="s">
        <v>796</v>
      </c>
      <c r="K633" s="62" t="s">
        <v>128</v>
      </c>
      <c r="L633" s="57" t="s">
        <v>57</v>
      </c>
    </row>
    <row r="634" spans="1:12" ht="51.75" x14ac:dyDescent="0.25">
      <c r="A634" s="1">
        <v>14</v>
      </c>
      <c r="B634" s="55">
        <f t="shared" si="40"/>
        <v>8</v>
      </c>
      <c r="C634" s="65" t="s">
        <v>799</v>
      </c>
      <c r="D634" s="66" t="s">
        <v>153</v>
      </c>
      <c r="E634" s="67">
        <v>985.91899999999998</v>
      </c>
      <c r="F634" s="68">
        <v>985.91899999999998</v>
      </c>
      <c r="G634" s="68">
        <v>985.91899999999998</v>
      </c>
      <c r="H634" s="68">
        <v>985.91899999999998</v>
      </c>
      <c r="I634" s="68">
        <v>0</v>
      </c>
      <c r="J634" s="61" t="s">
        <v>796</v>
      </c>
      <c r="K634" s="62"/>
      <c r="L634" s="57"/>
    </row>
    <row r="635" spans="1:12" ht="51.75" x14ac:dyDescent="0.25">
      <c r="A635" s="1">
        <v>14</v>
      </c>
      <c r="B635" s="55">
        <f t="shared" si="40"/>
        <v>9</v>
      </c>
      <c r="C635" s="65" t="s">
        <v>800</v>
      </c>
      <c r="D635" s="66" t="s">
        <v>69</v>
      </c>
      <c r="E635" s="67">
        <v>1447.1959999999999</v>
      </c>
      <c r="F635" s="68">
        <v>1447.1959999999999</v>
      </c>
      <c r="G635" s="68">
        <v>1447.1959999999999</v>
      </c>
      <c r="H635" s="68">
        <v>1320.54</v>
      </c>
      <c r="I635" s="68">
        <v>0</v>
      </c>
      <c r="J635" s="61" t="s">
        <v>796</v>
      </c>
      <c r="K635" s="62" t="s">
        <v>108</v>
      </c>
      <c r="L635" s="57" t="s">
        <v>57</v>
      </c>
    </row>
    <row r="636" spans="1:12" ht="86.25" x14ac:dyDescent="0.25">
      <c r="A636" s="1">
        <v>14</v>
      </c>
      <c r="B636" s="55">
        <f t="shared" si="40"/>
        <v>10</v>
      </c>
      <c r="C636" s="65" t="s">
        <v>801</v>
      </c>
      <c r="D636" s="66" t="s">
        <v>28</v>
      </c>
      <c r="E636" s="67">
        <v>1078.415</v>
      </c>
      <c r="F636" s="68">
        <v>1078.415</v>
      </c>
      <c r="G636" s="68">
        <v>1078.415</v>
      </c>
      <c r="H636" s="68">
        <v>1041.441</v>
      </c>
      <c r="I636" s="68">
        <v>0</v>
      </c>
      <c r="J636" s="61" t="s">
        <v>796</v>
      </c>
      <c r="K636" s="62" t="s">
        <v>115</v>
      </c>
      <c r="L636" s="57" t="s">
        <v>57</v>
      </c>
    </row>
    <row r="637" spans="1:12" ht="69" x14ac:dyDescent="0.25">
      <c r="A637" s="1">
        <v>14</v>
      </c>
      <c r="B637" s="64">
        <f t="shared" si="40"/>
        <v>11</v>
      </c>
      <c r="C637" s="65" t="s">
        <v>802</v>
      </c>
      <c r="D637" s="66" t="s">
        <v>153</v>
      </c>
      <c r="E637" s="67">
        <f>796.507-159.698</f>
        <v>636.80899999999997</v>
      </c>
      <c r="F637" s="68">
        <v>636.80899999999997</v>
      </c>
      <c r="G637" s="68">
        <v>636.80899999999997</v>
      </c>
      <c r="H637" s="68">
        <v>636.80899999999997</v>
      </c>
      <c r="I637" s="68">
        <v>0</v>
      </c>
      <c r="J637" s="61" t="s">
        <v>796</v>
      </c>
      <c r="K637" s="62" t="s">
        <v>121</v>
      </c>
      <c r="L637" s="57" t="s">
        <v>57</v>
      </c>
    </row>
    <row r="638" spans="1:12" ht="51.75" x14ac:dyDescent="0.25">
      <c r="A638" s="1">
        <v>14</v>
      </c>
      <c r="B638" s="55">
        <f t="shared" si="40"/>
        <v>12</v>
      </c>
      <c r="C638" s="65" t="s">
        <v>803</v>
      </c>
      <c r="D638" s="66" t="s">
        <v>153</v>
      </c>
      <c r="E638" s="67">
        <v>808.11300000000006</v>
      </c>
      <c r="F638" s="68">
        <v>808.11300000000006</v>
      </c>
      <c r="G638" s="68">
        <v>808.11300000000006</v>
      </c>
      <c r="H638" s="68">
        <v>615.56200000000001</v>
      </c>
      <c r="I638" s="68">
        <v>0</v>
      </c>
      <c r="J638" s="61" t="s">
        <v>796</v>
      </c>
      <c r="K638" s="62" t="s">
        <v>108</v>
      </c>
      <c r="L638" s="57" t="s">
        <v>57</v>
      </c>
    </row>
    <row r="639" spans="1:12" ht="69" x14ac:dyDescent="0.25">
      <c r="A639" s="1">
        <v>14</v>
      </c>
      <c r="B639" s="55">
        <f t="shared" si="40"/>
        <v>13</v>
      </c>
      <c r="C639" s="65" t="s">
        <v>804</v>
      </c>
      <c r="D639" s="66" t="s">
        <v>69</v>
      </c>
      <c r="E639" s="67">
        <v>543.04399999999998</v>
      </c>
      <c r="F639" s="68">
        <v>543.04399999999998</v>
      </c>
      <c r="G639" s="68">
        <v>543.04399999999998</v>
      </c>
      <c r="H639" s="68">
        <v>543.04399999999998</v>
      </c>
      <c r="I639" s="68">
        <v>0</v>
      </c>
      <c r="J639" s="61" t="s">
        <v>796</v>
      </c>
      <c r="K639" s="62" t="s">
        <v>130</v>
      </c>
      <c r="L639" s="57" t="s">
        <v>57</v>
      </c>
    </row>
    <row r="640" spans="1:12" ht="51.75" x14ac:dyDescent="0.25">
      <c r="A640" s="1">
        <v>14</v>
      </c>
      <c r="B640" s="55">
        <f t="shared" si="40"/>
        <v>14</v>
      </c>
      <c r="C640" s="65" t="s">
        <v>805</v>
      </c>
      <c r="D640" s="66" t="s">
        <v>153</v>
      </c>
      <c r="E640" s="67">
        <v>473.899</v>
      </c>
      <c r="F640" s="68">
        <v>473.899</v>
      </c>
      <c r="G640" s="68">
        <v>473.899</v>
      </c>
      <c r="H640" s="68">
        <v>473.899</v>
      </c>
      <c r="I640" s="68">
        <v>0</v>
      </c>
      <c r="J640" s="61" t="s">
        <v>29</v>
      </c>
      <c r="K640" s="62" t="s">
        <v>106</v>
      </c>
      <c r="L640" s="57" t="s">
        <v>57</v>
      </c>
    </row>
    <row r="641" spans="1:12" ht="51.75" x14ac:dyDescent="0.25">
      <c r="A641" s="1">
        <v>14</v>
      </c>
      <c r="B641" s="55">
        <f t="shared" si="40"/>
        <v>15</v>
      </c>
      <c r="C641" s="65" t="s">
        <v>806</v>
      </c>
      <c r="D641" s="66" t="s">
        <v>28</v>
      </c>
      <c r="E641" s="67">
        <v>1601.3530000000001</v>
      </c>
      <c r="F641" s="68">
        <v>1601.3530000000001</v>
      </c>
      <c r="G641" s="68">
        <v>1601.3530000000001</v>
      </c>
      <c r="H641" s="68">
        <v>1559.915</v>
      </c>
      <c r="I641" s="68">
        <v>0</v>
      </c>
      <c r="J641" s="61" t="s">
        <v>796</v>
      </c>
      <c r="K641" s="62" t="s">
        <v>108</v>
      </c>
      <c r="L641" s="57" t="s">
        <v>57</v>
      </c>
    </row>
    <row r="642" spans="1:12" ht="51.75" x14ac:dyDescent="0.25">
      <c r="A642" s="1">
        <v>14</v>
      </c>
      <c r="B642" s="55">
        <f t="shared" si="40"/>
        <v>16</v>
      </c>
      <c r="C642" s="65" t="s">
        <v>807</v>
      </c>
      <c r="D642" s="66" t="s">
        <v>153</v>
      </c>
      <c r="E642" s="67">
        <v>765</v>
      </c>
      <c r="F642" s="68">
        <v>765</v>
      </c>
      <c r="G642" s="68">
        <v>765</v>
      </c>
      <c r="H642" s="68">
        <v>659.70899999999995</v>
      </c>
      <c r="I642" s="68">
        <v>0</v>
      </c>
      <c r="J642" s="61" t="s">
        <v>796</v>
      </c>
      <c r="K642" s="62" t="s">
        <v>108</v>
      </c>
      <c r="L642" s="57" t="s">
        <v>57</v>
      </c>
    </row>
    <row r="643" spans="1:12" ht="103.5" x14ac:dyDescent="0.25">
      <c r="A643" s="1">
        <v>14</v>
      </c>
      <c r="B643" s="55">
        <f t="shared" si="40"/>
        <v>17</v>
      </c>
      <c r="C643" s="65" t="s">
        <v>808</v>
      </c>
      <c r="D643" s="66" t="s">
        <v>59</v>
      </c>
      <c r="E643" s="67">
        <v>1670.7529999999999</v>
      </c>
      <c r="F643" s="68">
        <v>1670.7529999999999</v>
      </c>
      <c r="G643" s="68">
        <v>1670.7529999999999</v>
      </c>
      <c r="H643" s="68">
        <v>1542.5219999999999</v>
      </c>
      <c r="I643" s="68">
        <v>0</v>
      </c>
      <c r="J643" s="61" t="s">
        <v>796</v>
      </c>
      <c r="K643" s="62" t="s">
        <v>123</v>
      </c>
      <c r="L643" s="57" t="s">
        <v>57</v>
      </c>
    </row>
    <row r="644" spans="1:12" ht="86.25" x14ac:dyDescent="0.25">
      <c r="A644" s="1">
        <v>14</v>
      </c>
      <c r="B644" s="55">
        <f t="shared" si="40"/>
        <v>18</v>
      </c>
      <c r="C644" s="65" t="s">
        <v>809</v>
      </c>
      <c r="D644" s="66" t="s">
        <v>59</v>
      </c>
      <c r="E644" s="67">
        <v>4474.5219999999999</v>
      </c>
      <c r="F644" s="68">
        <v>4474.5219999999999</v>
      </c>
      <c r="G644" s="68">
        <v>4474.5219999999999</v>
      </c>
      <c r="H644" s="68">
        <v>4276.17</v>
      </c>
      <c r="I644" s="68">
        <v>0</v>
      </c>
      <c r="J644" s="61" t="s">
        <v>796</v>
      </c>
      <c r="K644" s="62" t="s">
        <v>115</v>
      </c>
      <c r="L644" s="57" t="s">
        <v>57</v>
      </c>
    </row>
    <row r="645" spans="1:12" ht="103.5" x14ac:dyDescent="0.25">
      <c r="A645" s="1">
        <v>14</v>
      </c>
      <c r="B645" s="55">
        <f t="shared" si="40"/>
        <v>19</v>
      </c>
      <c r="C645" s="65" t="s">
        <v>810</v>
      </c>
      <c r="D645" s="66" t="s">
        <v>59</v>
      </c>
      <c r="E645" s="67">
        <v>6968.5249999999996</v>
      </c>
      <c r="F645" s="68">
        <v>6968.5249999999996</v>
      </c>
      <c r="G645" s="68">
        <v>6968.5249999999996</v>
      </c>
      <c r="H645" s="68">
        <v>2572.067</v>
      </c>
      <c r="I645" s="68">
        <v>0</v>
      </c>
      <c r="J645" s="61" t="s">
        <v>45</v>
      </c>
      <c r="K645" s="62"/>
      <c r="L645" s="57"/>
    </row>
    <row r="646" spans="1:12" ht="69" x14ac:dyDescent="0.25">
      <c r="A646" s="1">
        <v>14</v>
      </c>
      <c r="B646" s="55">
        <f t="shared" si="40"/>
        <v>20</v>
      </c>
      <c r="C646" s="65" t="s">
        <v>811</v>
      </c>
      <c r="D646" s="66" t="s">
        <v>153</v>
      </c>
      <c r="E646" s="67">
        <v>1575.135</v>
      </c>
      <c r="F646" s="68">
        <v>1575.135</v>
      </c>
      <c r="G646" s="68">
        <v>1575.135</v>
      </c>
      <c r="H646" s="68">
        <v>1575.135</v>
      </c>
      <c r="I646" s="68">
        <v>0</v>
      </c>
      <c r="J646" s="61" t="s">
        <v>45</v>
      </c>
      <c r="K646" s="62"/>
      <c r="L646" s="57"/>
    </row>
    <row r="647" spans="1:12" ht="69" x14ac:dyDescent="0.25">
      <c r="A647" s="1">
        <v>14</v>
      </c>
      <c r="B647" s="55">
        <f t="shared" si="40"/>
        <v>21</v>
      </c>
      <c r="C647" s="65" t="s">
        <v>812</v>
      </c>
      <c r="D647" s="66" t="s">
        <v>153</v>
      </c>
      <c r="E647" s="67">
        <v>393.74200000000002</v>
      </c>
      <c r="F647" s="68">
        <v>393.74200000000002</v>
      </c>
      <c r="G647" s="68">
        <v>393.74200000000002</v>
      </c>
      <c r="H647" s="68">
        <v>393.74200000000002</v>
      </c>
      <c r="I647" s="68">
        <v>0</v>
      </c>
      <c r="J647" s="61" t="s">
        <v>29</v>
      </c>
      <c r="K647" s="62" t="s">
        <v>458</v>
      </c>
      <c r="L647" s="57" t="s">
        <v>57</v>
      </c>
    </row>
    <row r="648" spans="1:12" ht="86.25" x14ac:dyDescent="0.25">
      <c r="A648" s="1">
        <v>14</v>
      </c>
      <c r="B648" s="55">
        <f t="shared" si="40"/>
        <v>22</v>
      </c>
      <c r="C648" s="65" t="s">
        <v>813</v>
      </c>
      <c r="D648" s="66" t="s">
        <v>153</v>
      </c>
      <c r="E648" s="67">
        <v>279.577</v>
      </c>
      <c r="F648" s="68">
        <v>279.577</v>
      </c>
      <c r="G648" s="68">
        <v>279.577</v>
      </c>
      <c r="H648" s="68">
        <v>279.577</v>
      </c>
      <c r="I648" s="68">
        <v>0</v>
      </c>
      <c r="J648" s="61" t="s">
        <v>29</v>
      </c>
      <c r="K648" s="62" t="s">
        <v>123</v>
      </c>
      <c r="L648" s="57" t="s">
        <v>57</v>
      </c>
    </row>
    <row r="649" spans="1:12" ht="51.75" x14ac:dyDescent="0.25">
      <c r="A649" s="1">
        <v>14</v>
      </c>
      <c r="B649" s="64">
        <f t="shared" si="40"/>
        <v>23</v>
      </c>
      <c r="C649" s="65" t="s">
        <v>814</v>
      </c>
      <c r="D649" s="66" t="s">
        <v>153</v>
      </c>
      <c r="E649" s="67">
        <f>3543.63-1992.967</f>
        <v>1550.663</v>
      </c>
      <c r="F649" s="68">
        <v>1550.663</v>
      </c>
      <c r="G649" s="68">
        <v>1550.663</v>
      </c>
      <c r="H649" s="68">
        <v>1550.663</v>
      </c>
      <c r="I649" s="68">
        <v>0</v>
      </c>
      <c r="J649" s="61" t="s">
        <v>796</v>
      </c>
      <c r="K649" s="62" t="s">
        <v>106</v>
      </c>
      <c r="L649" s="57" t="s">
        <v>57</v>
      </c>
    </row>
    <row r="650" spans="1:12" ht="51.75" x14ac:dyDescent="0.25">
      <c r="A650" s="1">
        <v>14</v>
      </c>
      <c r="B650" s="55">
        <f t="shared" si="40"/>
        <v>24</v>
      </c>
      <c r="C650" s="65" t="s">
        <v>815</v>
      </c>
      <c r="D650" s="66" t="s">
        <v>37</v>
      </c>
      <c r="E650" s="67">
        <v>7749.067</v>
      </c>
      <c r="F650" s="68">
        <v>7749.067</v>
      </c>
      <c r="G650" s="68">
        <v>7749.067</v>
      </c>
      <c r="H650" s="68">
        <v>7104.5590000000002</v>
      </c>
      <c r="I650" s="68">
        <v>0</v>
      </c>
      <c r="J650" s="61" t="s">
        <v>45</v>
      </c>
      <c r="K650" s="62"/>
      <c r="L650" s="57"/>
    </row>
    <row r="651" spans="1:12" ht="51.75" x14ac:dyDescent="0.25">
      <c r="A651" s="1">
        <v>14</v>
      </c>
      <c r="B651" s="55">
        <f t="shared" si="40"/>
        <v>25</v>
      </c>
      <c r="C651" s="65" t="s">
        <v>816</v>
      </c>
      <c r="D651" s="66" t="s">
        <v>69</v>
      </c>
      <c r="E651" s="67">
        <v>1933.713</v>
      </c>
      <c r="F651" s="68">
        <v>1933.713</v>
      </c>
      <c r="G651" s="68">
        <v>1933.713</v>
      </c>
      <c r="H651" s="68">
        <v>1933.5350000000001</v>
      </c>
      <c r="I651" s="68">
        <v>0</v>
      </c>
      <c r="J651" s="61" t="s">
        <v>796</v>
      </c>
      <c r="K651" s="62" t="s">
        <v>106</v>
      </c>
      <c r="L651" s="57" t="s">
        <v>57</v>
      </c>
    </row>
    <row r="652" spans="1:12" ht="86.25" x14ac:dyDescent="0.25">
      <c r="A652" s="1">
        <v>14</v>
      </c>
      <c r="B652" s="55">
        <f t="shared" si="40"/>
        <v>26</v>
      </c>
      <c r="C652" s="65" t="s">
        <v>817</v>
      </c>
      <c r="D652" s="66" t="s">
        <v>69</v>
      </c>
      <c r="E652" s="67">
        <v>679.38599999999997</v>
      </c>
      <c r="F652" s="68">
        <v>679.38599999999997</v>
      </c>
      <c r="G652" s="68">
        <v>679.38599999999997</v>
      </c>
      <c r="H652" s="68">
        <v>664.79499999999996</v>
      </c>
      <c r="I652" s="68">
        <v>0</v>
      </c>
      <c r="J652" s="61" t="s">
        <v>796</v>
      </c>
      <c r="K652" s="62" t="s">
        <v>121</v>
      </c>
      <c r="L652" s="57" t="s">
        <v>57</v>
      </c>
    </row>
    <row r="653" spans="1:12" ht="103.5" x14ac:dyDescent="0.25">
      <c r="A653" s="1">
        <v>14</v>
      </c>
      <c r="B653" s="55">
        <f t="shared" si="40"/>
        <v>27</v>
      </c>
      <c r="C653" s="65" t="s">
        <v>818</v>
      </c>
      <c r="D653" s="66" t="s">
        <v>153</v>
      </c>
      <c r="E653" s="67">
        <v>472.36500000000001</v>
      </c>
      <c r="F653" s="68">
        <v>472.36500000000001</v>
      </c>
      <c r="G653" s="68">
        <v>472.36500000000001</v>
      </c>
      <c r="H653" s="68">
        <v>451.322</v>
      </c>
      <c r="I653" s="68">
        <v>0</v>
      </c>
      <c r="J653" s="61" t="s">
        <v>796</v>
      </c>
      <c r="K653" s="62" t="s">
        <v>108</v>
      </c>
      <c r="L653" s="57" t="s">
        <v>57</v>
      </c>
    </row>
    <row r="654" spans="1:12" ht="69" x14ac:dyDescent="0.25">
      <c r="A654" s="1">
        <v>14</v>
      </c>
      <c r="B654" s="55">
        <f t="shared" si="40"/>
        <v>28</v>
      </c>
      <c r="C654" s="65" t="s">
        <v>819</v>
      </c>
      <c r="D654" s="66" t="s">
        <v>28</v>
      </c>
      <c r="E654" s="67">
        <v>1693.905</v>
      </c>
      <c r="F654" s="68">
        <v>1693.905</v>
      </c>
      <c r="G654" s="68">
        <v>1693.905</v>
      </c>
      <c r="H654" s="68">
        <v>1690.739</v>
      </c>
      <c r="I654" s="68">
        <v>0</v>
      </c>
      <c r="J654" s="61" t="s">
        <v>796</v>
      </c>
      <c r="K654" s="62" t="s">
        <v>108</v>
      </c>
      <c r="L654" s="57" t="s">
        <v>57</v>
      </c>
    </row>
    <row r="655" spans="1:12" ht="69" x14ac:dyDescent="0.25">
      <c r="A655" s="1">
        <v>14</v>
      </c>
      <c r="B655" s="55">
        <f t="shared" si="40"/>
        <v>29</v>
      </c>
      <c r="C655" s="65" t="s">
        <v>820</v>
      </c>
      <c r="D655" s="66" t="s">
        <v>69</v>
      </c>
      <c r="E655" s="67">
        <v>389.44299999999998</v>
      </c>
      <c r="F655" s="68">
        <v>389.44299999999998</v>
      </c>
      <c r="G655" s="68">
        <v>389.44299999999998</v>
      </c>
      <c r="H655" s="68">
        <v>389.44299999999998</v>
      </c>
      <c r="I655" s="68">
        <v>0</v>
      </c>
      <c r="J655" s="61" t="s">
        <v>796</v>
      </c>
      <c r="K655" s="62" t="s">
        <v>130</v>
      </c>
      <c r="L655" s="57" t="s">
        <v>57</v>
      </c>
    </row>
    <row r="656" spans="1:12" ht="86.25" x14ac:dyDescent="0.25">
      <c r="A656" s="1">
        <v>14</v>
      </c>
      <c r="B656" s="55">
        <f t="shared" si="40"/>
        <v>30</v>
      </c>
      <c r="C656" s="65" t="s">
        <v>821</v>
      </c>
      <c r="D656" s="66" t="s">
        <v>153</v>
      </c>
      <c r="E656" s="67">
        <v>1235.5119999999999</v>
      </c>
      <c r="F656" s="68">
        <v>1235.5119999999999</v>
      </c>
      <c r="G656" s="68">
        <v>1235.5119999999999</v>
      </c>
      <c r="H656" s="68">
        <v>1200.547</v>
      </c>
      <c r="I656" s="68">
        <v>0</v>
      </c>
      <c r="J656" s="61" t="s">
        <v>796</v>
      </c>
      <c r="K656" s="62" t="s">
        <v>115</v>
      </c>
      <c r="L656" s="57" t="s">
        <v>57</v>
      </c>
    </row>
    <row r="657" spans="1:12" ht="51.75" x14ac:dyDescent="0.25">
      <c r="A657" s="1">
        <v>14</v>
      </c>
      <c r="B657" s="55">
        <f t="shared" si="40"/>
        <v>31</v>
      </c>
      <c r="C657" s="65" t="s">
        <v>822</v>
      </c>
      <c r="D657" s="66" t="s">
        <v>28</v>
      </c>
      <c r="E657" s="67">
        <v>1588.7449999999999</v>
      </c>
      <c r="F657" s="68">
        <v>1588.7449999999999</v>
      </c>
      <c r="G657" s="68">
        <v>1588.7449999999999</v>
      </c>
      <c r="H657" s="68">
        <v>1547.8610000000001</v>
      </c>
      <c r="I657" s="68">
        <v>0</v>
      </c>
      <c r="J657" s="61" t="s">
        <v>796</v>
      </c>
      <c r="K657" s="62" t="s">
        <v>108</v>
      </c>
      <c r="L657" s="57" t="s">
        <v>57</v>
      </c>
    </row>
    <row r="658" spans="1:12" ht="86.25" x14ac:dyDescent="0.25">
      <c r="A658" s="1">
        <v>14</v>
      </c>
      <c r="B658" s="55">
        <f t="shared" si="40"/>
        <v>32</v>
      </c>
      <c r="C658" s="65" t="s">
        <v>823</v>
      </c>
      <c r="D658" s="66" t="s">
        <v>69</v>
      </c>
      <c r="E658" s="67">
        <v>75.775000000000006</v>
      </c>
      <c r="F658" s="68">
        <v>75.775000000000006</v>
      </c>
      <c r="G658" s="68">
        <v>75.775000000000006</v>
      </c>
      <c r="H658" s="68">
        <v>75.775000000000006</v>
      </c>
      <c r="I658" s="68">
        <v>0</v>
      </c>
      <c r="J658" s="61" t="s">
        <v>796</v>
      </c>
      <c r="K658" s="62" t="s">
        <v>130</v>
      </c>
      <c r="L658" s="57" t="s">
        <v>57</v>
      </c>
    </row>
    <row r="659" spans="1:12" ht="86.25" x14ac:dyDescent="0.25">
      <c r="A659" s="1">
        <v>14</v>
      </c>
      <c r="B659" s="55">
        <f t="shared" si="40"/>
        <v>33</v>
      </c>
      <c r="C659" s="65" t="s">
        <v>824</v>
      </c>
      <c r="D659" s="66" t="s">
        <v>69</v>
      </c>
      <c r="E659" s="67">
        <v>39.42</v>
      </c>
      <c r="F659" s="68">
        <v>39.42</v>
      </c>
      <c r="G659" s="68">
        <v>39.42</v>
      </c>
      <c r="H659" s="68">
        <v>39.42</v>
      </c>
      <c r="I659" s="68">
        <v>0</v>
      </c>
      <c r="J659" s="61" t="s">
        <v>796</v>
      </c>
      <c r="K659" s="62" t="s">
        <v>130</v>
      </c>
      <c r="L659" s="57" t="s">
        <v>57</v>
      </c>
    </row>
    <row r="660" spans="1:12" ht="120.75" x14ac:dyDescent="0.25">
      <c r="A660" s="1">
        <v>14</v>
      </c>
      <c r="B660" s="55">
        <f t="shared" si="40"/>
        <v>34</v>
      </c>
      <c r="C660" s="65" t="s">
        <v>825</v>
      </c>
      <c r="D660" s="66" t="s">
        <v>69</v>
      </c>
      <c r="E660" s="67">
        <v>75.013999999999996</v>
      </c>
      <c r="F660" s="68">
        <v>75.013999999999996</v>
      </c>
      <c r="G660" s="68">
        <v>75.013999999999996</v>
      </c>
      <c r="H660" s="68">
        <v>75.013999999999996</v>
      </c>
      <c r="I660" s="68">
        <v>0</v>
      </c>
      <c r="J660" s="61" t="s">
        <v>796</v>
      </c>
      <c r="K660" s="62" t="s">
        <v>130</v>
      </c>
      <c r="L660" s="57" t="s">
        <v>57</v>
      </c>
    </row>
    <row r="661" spans="1:12" ht="86.25" x14ac:dyDescent="0.25">
      <c r="A661" s="1">
        <v>14</v>
      </c>
      <c r="B661" s="55">
        <f t="shared" si="40"/>
        <v>35</v>
      </c>
      <c r="C661" s="65" t="s">
        <v>826</v>
      </c>
      <c r="D661" s="66" t="s">
        <v>69</v>
      </c>
      <c r="E661" s="67">
        <v>26.018999999999998</v>
      </c>
      <c r="F661" s="68">
        <v>26.018999999999998</v>
      </c>
      <c r="G661" s="68">
        <v>26.018999999999998</v>
      </c>
      <c r="H661" s="68">
        <v>26.018999999999998</v>
      </c>
      <c r="I661" s="68">
        <v>0</v>
      </c>
      <c r="J661" s="61" t="s">
        <v>796</v>
      </c>
      <c r="K661" s="62" t="s">
        <v>130</v>
      </c>
      <c r="L661" s="57" t="s">
        <v>57</v>
      </c>
    </row>
    <row r="662" spans="1:12" ht="51.75" x14ac:dyDescent="0.25">
      <c r="A662" s="1">
        <v>14</v>
      </c>
      <c r="B662" s="55">
        <f t="shared" si="40"/>
        <v>36</v>
      </c>
      <c r="C662" s="65" t="s">
        <v>827</v>
      </c>
      <c r="D662" s="66" t="s">
        <v>153</v>
      </c>
      <c r="E662" s="67">
        <v>484.29199999999997</v>
      </c>
      <c r="F662" s="68">
        <v>484.29199999999997</v>
      </c>
      <c r="G662" s="68">
        <v>484.29199999999997</v>
      </c>
      <c r="H662" s="68">
        <v>476.67200000000003</v>
      </c>
      <c r="I662" s="68">
        <v>0</v>
      </c>
      <c r="J662" s="61" t="s">
        <v>29</v>
      </c>
      <c r="K662" s="62" t="s">
        <v>106</v>
      </c>
      <c r="L662" s="57" t="s">
        <v>57</v>
      </c>
    </row>
    <row r="663" spans="1:12" ht="51.75" x14ac:dyDescent="0.25">
      <c r="A663" s="1">
        <v>14</v>
      </c>
      <c r="B663" s="55">
        <f t="shared" si="40"/>
        <v>37</v>
      </c>
      <c r="C663" s="65" t="s">
        <v>828</v>
      </c>
      <c r="D663" s="66" t="s">
        <v>153</v>
      </c>
      <c r="E663" s="67">
        <v>1738.5070000000001</v>
      </c>
      <c r="F663" s="68">
        <v>1738.5070000000001</v>
      </c>
      <c r="G663" s="68">
        <v>1738.5070000000001</v>
      </c>
      <c r="H663" s="68">
        <v>1663.6559999999999</v>
      </c>
      <c r="I663" s="68">
        <v>0</v>
      </c>
      <c r="J663" s="61" t="s">
        <v>796</v>
      </c>
      <c r="K663" s="62" t="s">
        <v>128</v>
      </c>
      <c r="L663" s="57" t="s">
        <v>57</v>
      </c>
    </row>
    <row r="664" spans="1:12" ht="51.75" x14ac:dyDescent="0.25">
      <c r="A664" s="1">
        <v>14</v>
      </c>
      <c r="B664" s="55">
        <f t="shared" si="40"/>
        <v>38</v>
      </c>
      <c r="C664" s="65" t="s">
        <v>829</v>
      </c>
      <c r="D664" s="66" t="s">
        <v>153</v>
      </c>
      <c r="E664" s="67">
        <v>1661.6880000000001</v>
      </c>
      <c r="F664" s="68">
        <v>1661.6880000000001</v>
      </c>
      <c r="G664" s="68">
        <v>1661.6880000000001</v>
      </c>
      <c r="H664" s="68">
        <v>1609.0309999999999</v>
      </c>
      <c r="I664" s="68">
        <v>0</v>
      </c>
      <c r="J664" s="61" t="s">
        <v>796</v>
      </c>
      <c r="K664" s="62"/>
      <c r="L664" s="57"/>
    </row>
    <row r="665" spans="1:12" ht="51.75" x14ac:dyDescent="0.25">
      <c r="A665" s="1">
        <v>14</v>
      </c>
      <c r="B665" s="55">
        <f t="shared" si="40"/>
        <v>39</v>
      </c>
      <c r="C665" s="65" t="s">
        <v>830</v>
      </c>
      <c r="D665" s="66" t="s">
        <v>153</v>
      </c>
      <c r="E665" s="67">
        <v>999.18100000000004</v>
      </c>
      <c r="F665" s="68">
        <v>999.18100000000004</v>
      </c>
      <c r="G665" s="68">
        <v>999.18100000000004</v>
      </c>
      <c r="H665" s="68">
        <v>971.82899999999995</v>
      </c>
      <c r="I665" s="68">
        <v>0</v>
      </c>
      <c r="J665" s="61" t="s">
        <v>796</v>
      </c>
      <c r="K665" s="62" t="s">
        <v>108</v>
      </c>
      <c r="L665" s="57" t="s">
        <v>57</v>
      </c>
    </row>
    <row r="666" spans="1:12" ht="69.75" thickBot="1" x14ac:dyDescent="0.3">
      <c r="A666" s="1">
        <v>14</v>
      </c>
      <c r="B666" s="82">
        <f t="shared" si="40"/>
        <v>40</v>
      </c>
      <c r="C666" s="83" t="s">
        <v>831</v>
      </c>
      <c r="D666" s="84" t="s">
        <v>153</v>
      </c>
      <c r="E666" s="85">
        <v>288.7</v>
      </c>
      <c r="F666" s="86">
        <v>288.7</v>
      </c>
      <c r="G666" s="86">
        <v>288.7</v>
      </c>
      <c r="H666" s="86">
        <v>288.7</v>
      </c>
      <c r="I666" s="86">
        <v>0</v>
      </c>
      <c r="J666" s="89" t="s">
        <v>29</v>
      </c>
      <c r="K666" s="90" t="s">
        <v>111</v>
      </c>
      <c r="L666" s="123" t="s">
        <v>57</v>
      </c>
    </row>
    <row r="667" spans="1:12" ht="15.75" thickBot="1" x14ac:dyDescent="0.3">
      <c r="A667" s="1">
        <v>15</v>
      </c>
      <c r="B667" s="162" t="s">
        <v>832</v>
      </c>
      <c r="C667" s="163"/>
      <c r="D667" s="163"/>
      <c r="E667" s="163"/>
      <c r="F667" s="163"/>
      <c r="G667" s="163"/>
      <c r="H667" s="163"/>
      <c r="I667" s="163"/>
      <c r="J667" s="163"/>
      <c r="K667" s="163"/>
      <c r="L667" s="164"/>
    </row>
    <row r="668" spans="1:12" ht="18.75" x14ac:dyDescent="0.25">
      <c r="A668" s="1">
        <v>15</v>
      </c>
      <c r="B668" s="36"/>
      <c r="C668" s="37" t="s">
        <v>24</v>
      </c>
      <c r="D668" s="38"/>
      <c r="E668" s="39">
        <f t="shared" ref="E668:I668" si="41">SUM(E669,E671:E675)</f>
        <v>129115.26999999999</v>
      </c>
      <c r="F668" s="40">
        <f t="shared" si="41"/>
        <v>129115.26999999999</v>
      </c>
      <c r="G668" s="40">
        <f t="shared" si="41"/>
        <v>129115.26999999999</v>
      </c>
      <c r="H668" s="40">
        <f t="shared" si="41"/>
        <v>112075.74884</v>
      </c>
      <c r="I668" s="40">
        <f t="shared" si="41"/>
        <v>0</v>
      </c>
      <c r="J668" s="92"/>
      <c r="K668" s="93"/>
      <c r="L668" s="38"/>
    </row>
    <row r="669" spans="1:12" ht="18.75" x14ac:dyDescent="0.25">
      <c r="A669" s="1">
        <v>15</v>
      </c>
      <c r="B669" s="46"/>
      <c r="C669" s="24" t="s">
        <v>21</v>
      </c>
      <c r="D669" s="47"/>
      <c r="E669" s="48">
        <v>0</v>
      </c>
      <c r="F669" s="49">
        <v>0</v>
      </c>
      <c r="G669" s="49">
        <v>0</v>
      </c>
      <c r="H669" s="49"/>
      <c r="I669" s="126"/>
      <c r="J669" s="95"/>
      <c r="K669" s="25"/>
      <c r="L669" s="47"/>
    </row>
    <row r="670" spans="1:12" ht="16.5" x14ac:dyDescent="0.25">
      <c r="A670" s="1">
        <v>15</v>
      </c>
      <c r="B670" s="46"/>
      <c r="C670" s="54" t="s">
        <v>22</v>
      </c>
      <c r="D670" s="47"/>
      <c r="E670" s="48">
        <f>SUM(E671:E675)</f>
        <v>129115.26999999999</v>
      </c>
      <c r="F670" s="49">
        <f t="shared" ref="F670:I670" si="42">SUM(F671:F675)</f>
        <v>129115.26999999999</v>
      </c>
      <c r="G670" s="49">
        <f t="shared" si="42"/>
        <v>129115.26999999999</v>
      </c>
      <c r="H670" s="49">
        <f t="shared" si="42"/>
        <v>112075.74884</v>
      </c>
      <c r="I670" s="49">
        <f t="shared" si="42"/>
        <v>0</v>
      </c>
      <c r="J670" s="95"/>
      <c r="K670" s="25"/>
      <c r="L670" s="47"/>
    </row>
    <row r="671" spans="1:12" ht="51.75" x14ac:dyDescent="0.25">
      <c r="A671" s="1">
        <v>15</v>
      </c>
      <c r="B671" s="55">
        <v>1</v>
      </c>
      <c r="C671" s="65" t="s">
        <v>833</v>
      </c>
      <c r="D671" s="66" t="s">
        <v>834</v>
      </c>
      <c r="E671" s="67">
        <v>15053.4</v>
      </c>
      <c r="F671" s="68">
        <v>15053.4</v>
      </c>
      <c r="G671" s="68">
        <v>15053.4</v>
      </c>
      <c r="H671" s="68">
        <v>13605.51289</v>
      </c>
      <c r="I671" s="68">
        <v>0</v>
      </c>
      <c r="J671" s="61" t="s">
        <v>45</v>
      </c>
      <c r="K671" s="62"/>
      <c r="L671" s="57"/>
    </row>
    <row r="672" spans="1:12" ht="69" x14ac:dyDescent="0.25">
      <c r="A672" s="1">
        <v>15</v>
      </c>
      <c r="B672" s="64">
        <f>B671+1</f>
        <v>2</v>
      </c>
      <c r="C672" s="65" t="s">
        <v>835</v>
      </c>
      <c r="D672" s="66" t="s">
        <v>726</v>
      </c>
      <c r="E672" s="67">
        <f>81177.28+30100-30100</f>
        <v>81177.279999999999</v>
      </c>
      <c r="F672" s="68">
        <v>81177.279999999999</v>
      </c>
      <c r="G672" s="68">
        <v>81177.279999999999</v>
      </c>
      <c r="H672" s="68">
        <v>67534.395000000004</v>
      </c>
      <c r="I672" s="68">
        <v>0</v>
      </c>
      <c r="J672" s="61" t="s">
        <v>45</v>
      </c>
      <c r="K672" s="62"/>
      <c r="L672" s="57"/>
    </row>
    <row r="673" spans="1:12" ht="86.25" x14ac:dyDescent="0.25">
      <c r="A673" s="1">
        <v>15</v>
      </c>
      <c r="B673" s="55">
        <f>B672+1</f>
        <v>3</v>
      </c>
      <c r="C673" s="65" t="s">
        <v>836</v>
      </c>
      <c r="D673" s="98" t="s">
        <v>153</v>
      </c>
      <c r="E673" s="70">
        <v>2784.59</v>
      </c>
      <c r="F673" s="69">
        <v>2784.59</v>
      </c>
      <c r="G673" s="69">
        <v>2784.59</v>
      </c>
      <c r="H673" s="69">
        <v>835.84095000000002</v>
      </c>
      <c r="I673" s="69">
        <v>0</v>
      </c>
      <c r="J673" s="96" t="s">
        <v>45</v>
      </c>
      <c r="K673" s="62"/>
      <c r="L673" s="57"/>
    </row>
    <row r="674" spans="1:12" ht="103.5" x14ac:dyDescent="0.25">
      <c r="A674" s="1">
        <v>15</v>
      </c>
      <c r="B674" s="55">
        <f>B673+1</f>
        <v>4</v>
      </c>
      <c r="C674" s="65" t="s">
        <v>837</v>
      </c>
      <c r="D674" s="66" t="s">
        <v>153</v>
      </c>
      <c r="E674" s="67">
        <v>9160</v>
      </c>
      <c r="F674" s="68">
        <v>9160</v>
      </c>
      <c r="G674" s="68">
        <v>9160</v>
      </c>
      <c r="H674" s="68">
        <v>9160</v>
      </c>
      <c r="I674" s="68">
        <v>0</v>
      </c>
      <c r="J674" s="96" t="s">
        <v>45</v>
      </c>
      <c r="K674" s="62"/>
      <c r="L674" s="57" t="s">
        <v>492</v>
      </c>
    </row>
    <row r="675" spans="1:12" ht="104.25" thickBot="1" x14ac:dyDescent="0.3">
      <c r="A675" s="1">
        <v>15</v>
      </c>
      <c r="B675" s="82">
        <f>B674+1</f>
        <v>5</v>
      </c>
      <c r="C675" s="83" t="s">
        <v>838</v>
      </c>
      <c r="D675" s="105" t="s">
        <v>153</v>
      </c>
      <c r="E675" s="88">
        <v>20940</v>
      </c>
      <c r="F675" s="87">
        <v>20940</v>
      </c>
      <c r="G675" s="87">
        <v>20940</v>
      </c>
      <c r="H675" s="87">
        <v>20940</v>
      </c>
      <c r="I675" s="87">
        <v>0</v>
      </c>
      <c r="J675" s="120" t="s">
        <v>45</v>
      </c>
      <c r="K675" s="90"/>
      <c r="L675" s="123" t="s">
        <v>492</v>
      </c>
    </row>
    <row r="676" spans="1:12" ht="15.75" thickBot="1" x14ac:dyDescent="0.3">
      <c r="A676" s="1">
        <v>16</v>
      </c>
      <c r="B676" s="189" t="s">
        <v>839</v>
      </c>
      <c r="C676" s="190"/>
      <c r="D676" s="190"/>
      <c r="E676" s="190"/>
      <c r="F676" s="190"/>
      <c r="G676" s="190"/>
      <c r="H676" s="190"/>
      <c r="I676" s="190"/>
      <c r="J676" s="190"/>
      <c r="K676" s="190"/>
      <c r="L676" s="191"/>
    </row>
    <row r="677" spans="1:12" ht="18.75" x14ac:dyDescent="0.25">
      <c r="A677" s="1">
        <v>16</v>
      </c>
      <c r="B677" s="36"/>
      <c r="C677" s="37" t="s">
        <v>24</v>
      </c>
      <c r="D677" s="38"/>
      <c r="E677" s="39">
        <f>SUM(E678,E680:E703)</f>
        <v>78563.356</v>
      </c>
      <c r="F677" s="40">
        <f t="shared" ref="F677:I677" si="43">SUM(F678,F680:F703)</f>
        <v>78563.356</v>
      </c>
      <c r="G677" s="40">
        <f t="shared" si="43"/>
        <v>78563.356</v>
      </c>
      <c r="H677" s="40">
        <f t="shared" si="43"/>
        <v>71029.264999999985</v>
      </c>
      <c r="I677" s="40">
        <f t="shared" si="43"/>
        <v>0</v>
      </c>
      <c r="J677" s="92"/>
      <c r="K677" s="93"/>
      <c r="L677" s="38"/>
    </row>
    <row r="678" spans="1:12" ht="18.75" x14ac:dyDescent="0.25">
      <c r="A678" s="1">
        <v>16</v>
      </c>
      <c r="B678" s="46"/>
      <c r="C678" s="24" t="s">
        <v>21</v>
      </c>
      <c r="D678" s="47"/>
      <c r="E678" s="48">
        <v>0</v>
      </c>
      <c r="F678" s="49">
        <v>0</v>
      </c>
      <c r="G678" s="49">
        <v>0</v>
      </c>
      <c r="H678" s="49"/>
      <c r="I678" s="49"/>
      <c r="J678" s="95"/>
      <c r="K678" s="25"/>
      <c r="L678" s="47"/>
    </row>
    <row r="679" spans="1:12" ht="16.5" x14ac:dyDescent="0.25">
      <c r="A679" s="1">
        <v>16</v>
      </c>
      <c r="B679" s="46"/>
      <c r="C679" s="54" t="s">
        <v>22</v>
      </c>
      <c r="D679" s="47"/>
      <c r="E679" s="48">
        <f>SUM(E680:E703)</f>
        <v>78563.356</v>
      </c>
      <c r="F679" s="49">
        <f t="shared" ref="F679:I679" si="44">SUM(F680:F703)</f>
        <v>78563.356</v>
      </c>
      <c r="G679" s="49">
        <f t="shared" si="44"/>
        <v>78563.356</v>
      </c>
      <c r="H679" s="49">
        <f t="shared" si="44"/>
        <v>71029.264999999985</v>
      </c>
      <c r="I679" s="49">
        <f t="shared" si="44"/>
        <v>0</v>
      </c>
      <c r="J679" s="95"/>
      <c r="K679" s="25"/>
      <c r="L679" s="47"/>
    </row>
    <row r="680" spans="1:12" ht="69" x14ac:dyDescent="0.25">
      <c r="A680" s="1">
        <v>16</v>
      </c>
      <c r="B680" s="55">
        <v>1</v>
      </c>
      <c r="C680" s="65" t="s">
        <v>840</v>
      </c>
      <c r="D680" s="66" t="s">
        <v>153</v>
      </c>
      <c r="E680" s="70">
        <v>3391.73</v>
      </c>
      <c r="F680" s="69">
        <v>3391.73</v>
      </c>
      <c r="G680" s="69">
        <v>3391.73</v>
      </c>
      <c r="H680" s="69">
        <v>2982.66</v>
      </c>
      <c r="I680" s="69">
        <v>0</v>
      </c>
      <c r="J680" s="61" t="s">
        <v>29</v>
      </c>
      <c r="K680" s="62" t="s">
        <v>30</v>
      </c>
      <c r="L680" s="57" t="s">
        <v>57</v>
      </c>
    </row>
    <row r="681" spans="1:12" ht="69" x14ac:dyDescent="0.25">
      <c r="A681" s="1">
        <v>16</v>
      </c>
      <c r="B681" s="55">
        <f>B680+1</f>
        <v>2</v>
      </c>
      <c r="C681" s="65" t="s">
        <v>841</v>
      </c>
      <c r="D681" s="66" t="s">
        <v>37</v>
      </c>
      <c r="E681" s="70">
        <v>41626.22</v>
      </c>
      <c r="F681" s="69">
        <v>41626.22</v>
      </c>
      <c r="G681" s="69">
        <v>41626.22</v>
      </c>
      <c r="H681" s="69">
        <v>41625.536999999997</v>
      </c>
      <c r="I681" s="69">
        <v>0</v>
      </c>
      <c r="J681" s="61" t="s">
        <v>45</v>
      </c>
      <c r="K681" s="62"/>
      <c r="L681" s="57" t="s">
        <v>842</v>
      </c>
    </row>
    <row r="682" spans="1:12" ht="103.5" x14ac:dyDescent="0.25">
      <c r="A682" s="1">
        <v>16</v>
      </c>
      <c r="B682" s="55">
        <f t="shared" ref="B682:B703" si="45">B681+1</f>
        <v>3</v>
      </c>
      <c r="C682" s="65" t="s">
        <v>843</v>
      </c>
      <c r="D682" s="66" t="s">
        <v>153</v>
      </c>
      <c r="E682" s="70">
        <v>4000</v>
      </c>
      <c r="F682" s="69">
        <v>4000</v>
      </c>
      <c r="G682" s="69">
        <v>4000</v>
      </c>
      <c r="H682" s="69">
        <v>3921.4</v>
      </c>
      <c r="I682" s="69">
        <v>0</v>
      </c>
      <c r="J682" s="61" t="s">
        <v>29</v>
      </c>
      <c r="K682" s="62"/>
      <c r="L682" s="57" t="s">
        <v>75</v>
      </c>
    </row>
    <row r="683" spans="1:12" ht="86.25" x14ac:dyDescent="0.25">
      <c r="A683" s="1">
        <v>16</v>
      </c>
      <c r="B683" s="55">
        <f t="shared" si="45"/>
        <v>4</v>
      </c>
      <c r="C683" s="65" t="s">
        <v>844</v>
      </c>
      <c r="D683" s="66" t="s">
        <v>153</v>
      </c>
      <c r="E683" s="70">
        <v>340</v>
      </c>
      <c r="F683" s="69">
        <v>340</v>
      </c>
      <c r="G683" s="69">
        <v>340</v>
      </c>
      <c r="H683" s="69">
        <v>340</v>
      </c>
      <c r="I683" s="69">
        <v>0</v>
      </c>
      <c r="J683" s="61" t="s">
        <v>29</v>
      </c>
      <c r="K683" s="62"/>
      <c r="L683" s="57" t="s">
        <v>75</v>
      </c>
    </row>
    <row r="684" spans="1:12" ht="69" x14ac:dyDescent="0.25">
      <c r="A684" s="1">
        <v>16</v>
      </c>
      <c r="B684" s="55">
        <f t="shared" si="45"/>
        <v>5</v>
      </c>
      <c r="C684" s="65" t="s">
        <v>845</v>
      </c>
      <c r="D684" s="66" t="s">
        <v>153</v>
      </c>
      <c r="E684" s="70">
        <v>10907.57</v>
      </c>
      <c r="F684" s="69">
        <v>10907.57</v>
      </c>
      <c r="G684" s="69">
        <v>10907.57</v>
      </c>
      <c r="H684" s="69">
        <v>7509.2839999999997</v>
      </c>
      <c r="I684" s="69">
        <v>0</v>
      </c>
      <c r="J684" s="96" t="s">
        <v>45</v>
      </c>
      <c r="K684" s="71"/>
      <c r="L684" s="57"/>
    </row>
    <row r="685" spans="1:12" ht="86.25" x14ac:dyDescent="0.25">
      <c r="A685" s="1">
        <v>16</v>
      </c>
      <c r="B685" s="55">
        <f t="shared" si="45"/>
        <v>6</v>
      </c>
      <c r="C685" s="65" t="s">
        <v>846</v>
      </c>
      <c r="D685" s="66" t="s">
        <v>153</v>
      </c>
      <c r="E685" s="70">
        <v>611.9</v>
      </c>
      <c r="F685" s="69">
        <v>611.9</v>
      </c>
      <c r="G685" s="69">
        <v>611.9</v>
      </c>
      <c r="H685" s="69">
        <v>611.9</v>
      </c>
      <c r="I685" s="69">
        <v>0</v>
      </c>
      <c r="J685" s="61" t="s">
        <v>29</v>
      </c>
      <c r="K685" s="62" t="s">
        <v>30</v>
      </c>
      <c r="L685" s="57" t="s">
        <v>57</v>
      </c>
    </row>
    <row r="686" spans="1:12" ht="86.25" x14ac:dyDescent="0.25">
      <c r="A686" s="1">
        <v>16</v>
      </c>
      <c r="B686" s="55">
        <f t="shared" si="45"/>
        <v>7</v>
      </c>
      <c r="C686" s="65" t="s">
        <v>847</v>
      </c>
      <c r="D686" s="66" t="s">
        <v>153</v>
      </c>
      <c r="E686" s="70">
        <v>549.20000000000005</v>
      </c>
      <c r="F686" s="69">
        <v>549.20000000000005</v>
      </c>
      <c r="G686" s="69">
        <v>549.20000000000005</v>
      </c>
      <c r="H686" s="69">
        <v>549.20000000000005</v>
      </c>
      <c r="I686" s="69">
        <v>0</v>
      </c>
      <c r="J686" s="61" t="s">
        <v>29</v>
      </c>
      <c r="K686" s="62" t="s">
        <v>30</v>
      </c>
      <c r="L686" s="57" t="s">
        <v>57</v>
      </c>
    </row>
    <row r="687" spans="1:12" ht="51.75" x14ac:dyDescent="0.25">
      <c r="A687" s="1">
        <v>16</v>
      </c>
      <c r="B687" s="55">
        <f t="shared" si="45"/>
        <v>8</v>
      </c>
      <c r="C687" s="65" t="s">
        <v>848</v>
      </c>
      <c r="D687" s="66" t="s">
        <v>153</v>
      </c>
      <c r="E687" s="70">
        <v>78.5</v>
      </c>
      <c r="F687" s="69">
        <v>78.5</v>
      </c>
      <c r="G687" s="69">
        <v>78.5</v>
      </c>
      <c r="H687" s="69">
        <v>78.5</v>
      </c>
      <c r="I687" s="69">
        <v>0</v>
      </c>
      <c r="J687" s="61" t="s">
        <v>29</v>
      </c>
      <c r="K687" s="62"/>
      <c r="L687" s="57" t="s">
        <v>75</v>
      </c>
    </row>
    <row r="688" spans="1:12" ht="103.5" x14ac:dyDescent="0.25">
      <c r="A688" s="1">
        <v>16</v>
      </c>
      <c r="B688" s="55">
        <f t="shared" si="45"/>
        <v>9</v>
      </c>
      <c r="C688" s="65" t="s">
        <v>849</v>
      </c>
      <c r="D688" s="66" t="s">
        <v>153</v>
      </c>
      <c r="E688" s="70">
        <v>400</v>
      </c>
      <c r="F688" s="69">
        <v>400</v>
      </c>
      <c r="G688" s="69">
        <v>400</v>
      </c>
      <c r="H688" s="69">
        <v>400</v>
      </c>
      <c r="I688" s="69">
        <v>0</v>
      </c>
      <c r="J688" s="61" t="s">
        <v>29</v>
      </c>
      <c r="K688" s="62"/>
      <c r="L688" s="57" t="s">
        <v>75</v>
      </c>
    </row>
    <row r="689" spans="1:12" ht="86.25" x14ac:dyDescent="0.25">
      <c r="A689" s="1">
        <v>16</v>
      </c>
      <c r="B689" s="64">
        <f t="shared" si="45"/>
        <v>10</v>
      </c>
      <c r="C689" s="65" t="s">
        <v>850</v>
      </c>
      <c r="D689" s="66" t="s">
        <v>153</v>
      </c>
      <c r="E689" s="70">
        <v>5826.4660000000003</v>
      </c>
      <c r="F689" s="69">
        <v>5826.4660000000003</v>
      </c>
      <c r="G689" s="69">
        <v>5826.4660000000003</v>
      </c>
      <c r="H689" s="69">
        <v>2348.4029999999998</v>
      </c>
      <c r="I689" s="69">
        <v>0</v>
      </c>
      <c r="J689" s="61" t="s">
        <v>45</v>
      </c>
      <c r="K689" s="62"/>
      <c r="L689" s="57"/>
    </row>
    <row r="690" spans="1:12" ht="86.25" x14ac:dyDescent="0.25">
      <c r="A690" s="1">
        <v>16</v>
      </c>
      <c r="B690" s="55">
        <f t="shared" si="45"/>
        <v>11</v>
      </c>
      <c r="C690" s="65" t="s">
        <v>851</v>
      </c>
      <c r="D690" s="66" t="s">
        <v>153</v>
      </c>
      <c r="E690" s="70">
        <v>1143.8900000000001</v>
      </c>
      <c r="F690" s="69">
        <v>1143.8900000000001</v>
      </c>
      <c r="G690" s="69">
        <v>1143.8900000000001</v>
      </c>
      <c r="H690" s="69">
        <v>1136.5999999999999</v>
      </c>
      <c r="I690" s="69">
        <v>0</v>
      </c>
      <c r="J690" s="96" t="s">
        <v>29</v>
      </c>
      <c r="K690" s="62"/>
      <c r="L690" s="57" t="s">
        <v>75</v>
      </c>
    </row>
    <row r="691" spans="1:12" ht="86.25" x14ac:dyDescent="0.25">
      <c r="A691" s="1">
        <v>16</v>
      </c>
      <c r="B691" s="55">
        <f t="shared" si="45"/>
        <v>12</v>
      </c>
      <c r="C691" s="65" t="s">
        <v>852</v>
      </c>
      <c r="D691" s="66" t="s">
        <v>153</v>
      </c>
      <c r="E691" s="70">
        <v>580.16</v>
      </c>
      <c r="F691" s="69">
        <v>580.16</v>
      </c>
      <c r="G691" s="69">
        <v>580.16</v>
      </c>
      <c r="H691" s="69">
        <v>580.16</v>
      </c>
      <c r="I691" s="69">
        <v>0</v>
      </c>
      <c r="J691" s="96" t="s">
        <v>29</v>
      </c>
      <c r="K691" s="62" t="s">
        <v>30</v>
      </c>
      <c r="L691" s="57" t="s">
        <v>57</v>
      </c>
    </row>
    <row r="692" spans="1:12" ht="51.75" x14ac:dyDescent="0.25">
      <c r="A692" s="1">
        <v>16</v>
      </c>
      <c r="B692" s="55">
        <f t="shared" si="45"/>
        <v>13</v>
      </c>
      <c r="C692" s="65" t="s">
        <v>853</v>
      </c>
      <c r="D692" s="66" t="s">
        <v>153</v>
      </c>
      <c r="E692" s="70">
        <v>544</v>
      </c>
      <c r="F692" s="69">
        <v>544</v>
      </c>
      <c r="G692" s="69">
        <v>544</v>
      </c>
      <c r="H692" s="69">
        <v>539.33500000000004</v>
      </c>
      <c r="I692" s="69">
        <v>0</v>
      </c>
      <c r="J692" s="61" t="s">
        <v>652</v>
      </c>
      <c r="K692" s="62" t="s">
        <v>30</v>
      </c>
      <c r="L692" s="57" t="s">
        <v>57</v>
      </c>
    </row>
    <row r="693" spans="1:12" ht="86.25" x14ac:dyDescent="0.25">
      <c r="A693" s="1">
        <v>16</v>
      </c>
      <c r="B693" s="55">
        <f t="shared" si="45"/>
        <v>14</v>
      </c>
      <c r="C693" s="65" t="s">
        <v>854</v>
      </c>
      <c r="D693" s="66" t="s">
        <v>153</v>
      </c>
      <c r="E693" s="70">
        <v>231.68</v>
      </c>
      <c r="F693" s="69">
        <v>231.68</v>
      </c>
      <c r="G693" s="69">
        <v>231.68</v>
      </c>
      <c r="H693" s="69">
        <v>231.68</v>
      </c>
      <c r="I693" s="69">
        <v>0</v>
      </c>
      <c r="J693" s="96" t="s">
        <v>29</v>
      </c>
      <c r="K693" s="71" t="s">
        <v>30</v>
      </c>
      <c r="L693" s="57" t="s">
        <v>855</v>
      </c>
    </row>
    <row r="694" spans="1:12" ht="86.25" x14ac:dyDescent="0.25">
      <c r="A694" s="1">
        <v>16</v>
      </c>
      <c r="B694" s="55">
        <f t="shared" si="45"/>
        <v>15</v>
      </c>
      <c r="C694" s="65" t="s">
        <v>856</v>
      </c>
      <c r="D694" s="66" t="s">
        <v>153</v>
      </c>
      <c r="E694" s="70">
        <v>637</v>
      </c>
      <c r="F694" s="69">
        <v>637</v>
      </c>
      <c r="G694" s="69">
        <v>637</v>
      </c>
      <c r="H694" s="69">
        <v>637</v>
      </c>
      <c r="I694" s="69">
        <v>0</v>
      </c>
      <c r="J694" s="61" t="s">
        <v>29</v>
      </c>
      <c r="K694" s="62" t="s">
        <v>30</v>
      </c>
      <c r="L694" s="57" t="s">
        <v>57</v>
      </c>
    </row>
    <row r="695" spans="1:12" ht="51.75" x14ac:dyDescent="0.25">
      <c r="A695" s="1">
        <v>16</v>
      </c>
      <c r="B695" s="55">
        <f t="shared" si="45"/>
        <v>16</v>
      </c>
      <c r="C695" s="65" t="s">
        <v>857</v>
      </c>
      <c r="D695" s="66" t="s">
        <v>153</v>
      </c>
      <c r="E695" s="70">
        <v>1079.1500000000001</v>
      </c>
      <c r="F695" s="69">
        <v>1079.1500000000001</v>
      </c>
      <c r="G695" s="69">
        <v>1079.1500000000001</v>
      </c>
      <c r="H695" s="69">
        <v>1065.817</v>
      </c>
      <c r="I695" s="69">
        <v>0</v>
      </c>
      <c r="J695" s="61" t="s">
        <v>29</v>
      </c>
      <c r="K695" s="71" t="s">
        <v>30</v>
      </c>
      <c r="L695" s="57" t="s">
        <v>57</v>
      </c>
    </row>
    <row r="696" spans="1:12" ht="69" x14ac:dyDescent="0.25">
      <c r="A696" s="1">
        <v>16</v>
      </c>
      <c r="B696" s="55">
        <f t="shared" si="45"/>
        <v>17</v>
      </c>
      <c r="C696" s="65" t="s">
        <v>858</v>
      </c>
      <c r="D696" s="66" t="s">
        <v>153</v>
      </c>
      <c r="E696" s="70">
        <v>1423</v>
      </c>
      <c r="F696" s="69">
        <v>1423</v>
      </c>
      <c r="G696" s="69">
        <v>1423</v>
      </c>
      <c r="H696" s="69">
        <v>1423</v>
      </c>
      <c r="I696" s="69">
        <v>0</v>
      </c>
      <c r="J696" s="61" t="s">
        <v>29</v>
      </c>
      <c r="K696" s="62"/>
      <c r="L696" s="57" t="s">
        <v>75</v>
      </c>
    </row>
    <row r="697" spans="1:12" ht="69" x14ac:dyDescent="0.25">
      <c r="A697" s="1">
        <v>16</v>
      </c>
      <c r="B697" s="55">
        <f t="shared" si="45"/>
        <v>18</v>
      </c>
      <c r="C697" s="65" t="s">
        <v>859</v>
      </c>
      <c r="D697" s="66" t="s">
        <v>153</v>
      </c>
      <c r="E697" s="70">
        <v>272</v>
      </c>
      <c r="F697" s="69">
        <v>272</v>
      </c>
      <c r="G697" s="69">
        <v>272</v>
      </c>
      <c r="H697" s="69">
        <v>272</v>
      </c>
      <c r="I697" s="69">
        <v>0</v>
      </c>
      <c r="J697" s="61" t="s">
        <v>29</v>
      </c>
      <c r="K697" s="128"/>
      <c r="L697" s="57" t="s">
        <v>75</v>
      </c>
    </row>
    <row r="698" spans="1:12" ht="120.75" x14ac:dyDescent="0.25">
      <c r="A698" s="1">
        <v>16</v>
      </c>
      <c r="B698" s="55">
        <f t="shared" si="45"/>
        <v>19</v>
      </c>
      <c r="C698" s="65" t="s">
        <v>860</v>
      </c>
      <c r="D698" s="66" t="s">
        <v>153</v>
      </c>
      <c r="E698" s="70">
        <v>1970.4</v>
      </c>
      <c r="F698" s="69">
        <v>1970.4</v>
      </c>
      <c r="G698" s="69">
        <v>1970.4</v>
      </c>
      <c r="H698" s="69">
        <v>1970.4</v>
      </c>
      <c r="I698" s="69">
        <v>0</v>
      </c>
      <c r="J698" s="61" t="s">
        <v>29</v>
      </c>
      <c r="K698" s="62"/>
      <c r="L698" s="57" t="s">
        <v>75</v>
      </c>
    </row>
    <row r="699" spans="1:12" ht="51.75" x14ac:dyDescent="0.25">
      <c r="A699" s="1">
        <v>16</v>
      </c>
      <c r="B699" s="55">
        <f t="shared" si="45"/>
        <v>20</v>
      </c>
      <c r="C699" s="65" t="s">
        <v>861</v>
      </c>
      <c r="D699" s="66" t="s">
        <v>153</v>
      </c>
      <c r="E699" s="70">
        <v>291.8</v>
      </c>
      <c r="F699" s="69">
        <v>291.8</v>
      </c>
      <c r="G699" s="69">
        <v>291.8</v>
      </c>
      <c r="H699" s="69">
        <v>283.58800000000002</v>
      </c>
      <c r="I699" s="69">
        <v>0</v>
      </c>
      <c r="J699" s="61" t="s">
        <v>29</v>
      </c>
      <c r="K699" s="62"/>
      <c r="L699" s="57" t="s">
        <v>75</v>
      </c>
    </row>
    <row r="700" spans="1:12" ht="69" x14ac:dyDescent="0.25">
      <c r="A700" s="1">
        <v>16</v>
      </c>
      <c r="B700" s="55">
        <f t="shared" si="45"/>
        <v>21</v>
      </c>
      <c r="C700" s="65" t="s">
        <v>862</v>
      </c>
      <c r="D700" s="66" t="s">
        <v>153</v>
      </c>
      <c r="E700" s="70">
        <v>803.94</v>
      </c>
      <c r="F700" s="69">
        <v>803.94</v>
      </c>
      <c r="G700" s="69">
        <v>803.94</v>
      </c>
      <c r="H700" s="69">
        <v>801.08100000000002</v>
      </c>
      <c r="I700" s="69">
        <v>0</v>
      </c>
      <c r="J700" s="61" t="s">
        <v>29</v>
      </c>
      <c r="K700" s="62" t="s">
        <v>30</v>
      </c>
      <c r="L700" s="57"/>
    </row>
    <row r="701" spans="1:12" ht="86.25" x14ac:dyDescent="0.25">
      <c r="A701" s="1">
        <v>16</v>
      </c>
      <c r="B701" s="55">
        <f t="shared" si="45"/>
        <v>22</v>
      </c>
      <c r="C701" s="65" t="s">
        <v>863</v>
      </c>
      <c r="D701" s="66" t="s">
        <v>153</v>
      </c>
      <c r="E701" s="70">
        <v>316.38</v>
      </c>
      <c r="F701" s="69">
        <v>316.38</v>
      </c>
      <c r="G701" s="69">
        <v>316.38</v>
      </c>
      <c r="H701" s="69">
        <v>262.55500000000001</v>
      </c>
      <c r="I701" s="69">
        <v>0</v>
      </c>
      <c r="J701" s="61" t="s">
        <v>29</v>
      </c>
      <c r="K701" s="62" t="s">
        <v>30</v>
      </c>
      <c r="L701" s="57"/>
    </row>
    <row r="702" spans="1:12" ht="51.75" x14ac:dyDescent="0.25">
      <c r="A702" s="1">
        <v>16</v>
      </c>
      <c r="B702" s="55">
        <f t="shared" si="45"/>
        <v>23</v>
      </c>
      <c r="C702" s="65" t="s">
        <v>864</v>
      </c>
      <c r="D702" s="66" t="s">
        <v>153</v>
      </c>
      <c r="E702" s="70">
        <v>564.37</v>
      </c>
      <c r="F702" s="69">
        <v>564.37</v>
      </c>
      <c r="G702" s="69">
        <v>564.37</v>
      </c>
      <c r="H702" s="69">
        <v>561.41499999999996</v>
      </c>
      <c r="I702" s="69">
        <v>0</v>
      </c>
      <c r="J702" s="61" t="s">
        <v>29</v>
      </c>
      <c r="K702" s="62" t="s">
        <v>865</v>
      </c>
      <c r="L702" s="57"/>
    </row>
    <row r="703" spans="1:12" ht="69.75" thickBot="1" x14ac:dyDescent="0.3">
      <c r="A703" s="1">
        <v>16</v>
      </c>
      <c r="B703" s="82">
        <f t="shared" si="45"/>
        <v>24</v>
      </c>
      <c r="C703" s="83" t="s">
        <v>866</v>
      </c>
      <c r="D703" s="84" t="s">
        <v>153</v>
      </c>
      <c r="E703" s="88">
        <v>974</v>
      </c>
      <c r="F703" s="87">
        <v>974</v>
      </c>
      <c r="G703" s="87">
        <v>974</v>
      </c>
      <c r="H703" s="87">
        <v>897.75</v>
      </c>
      <c r="I703" s="87">
        <v>0</v>
      </c>
      <c r="J703" s="120" t="s">
        <v>29</v>
      </c>
      <c r="K703" s="121"/>
      <c r="L703" s="123" t="s">
        <v>75</v>
      </c>
    </row>
    <row r="704" spans="1:12" ht="15.75" thickBot="1" x14ac:dyDescent="0.3">
      <c r="A704" s="1">
        <v>17</v>
      </c>
      <c r="B704" s="186" t="s">
        <v>867</v>
      </c>
      <c r="C704" s="187"/>
      <c r="D704" s="187"/>
      <c r="E704" s="187"/>
      <c r="F704" s="187"/>
      <c r="G704" s="187"/>
      <c r="H704" s="187"/>
      <c r="I704" s="187"/>
      <c r="J704" s="187"/>
      <c r="K704" s="187"/>
      <c r="L704" s="188"/>
    </row>
    <row r="705" spans="1:12" ht="18.75" x14ac:dyDescent="0.25">
      <c r="A705" s="1">
        <v>17</v>
      </c>
      <c r="B705" s="36"/>
      <c r="C705" s="37" t="s">
        <v>24</v>
      </c>
      <c r="D705" s="38"/>
      <c r="E705" s="39">
        <f t="shared" ref="E705:I705" si="46">SUM(E706,E708:E747)</f>
        <v>106467.87199999999</v>
      </c>
      <c r="F705" s="40">
        <f t="shared" si="46"/>
        <v>106467.872</v>
      </c>
      <c r="G705" s="40">
        <f t="shared" si="46"/>
        <v>88475.623000000007</v>
      </c>
      <c r="H705" s="40">
        <f t="shared" si="46"/>
        <v>88475.623000000007</v>
      </c>
      <c r="I705" s="40">
        <f t="shared" si="46"/>
        <v>50.838000000000001</v>
      </c>
      <c r="J705" s="92"/>
      <c r="K705" s="93"/>
      <c r="L705" s="38"/>
    </row>
    <row r="706" spans="1:12" ht="18.75" x14ac:dyDescent="0.25">
      <c r="A706" s="1">
        <v>17</v>
      </c>
      <c r="B706" s="46"/>
      <c r="C706" s="24" t="s">
        <v>21</v>
      </c>
      <c r="D706" s="47"/>
      <c r="E706" s="48">
        <v>0</v>
      </c>
      <c r="F706" s="49">
        <v>0</v>
      </c>
      <c r="G706" s="49">
        <v>0</v>
      </c>
      <c r="H706" s="49"/>
      <c r="I706" s="49"/>
      <c r="J706" s="95"/>
      <c r="K706" s="25"/>
      <c r="L706" s="47"/>
    </row>
    <row r="707" spans="1:12" ht="16.5" x14ac:dyDescent="0.25">
      <c r="A707" s="1">
        <v>17</v>
      </c>
      <c r="B707" s="46"/>
      <c r="C707" s="54" t="s">
        <v>22</v>
      </c>
      <c r="D707" s="47"/>
      <c r="E707" s="48">
        <f t="shared" ref="E707:I707" si="47">SUM(E708:E747)</f>
        <v>106467.87199999999</v>
      </c>
      <c r="F707" s="49">
        <f t="shared" si="47"/>
        <v>106467.872</v>
      </c>
      <c r="G707" s="49">
        <f t="shared" si="47"/>
        <v>88475.623000000007</v>
      </c>
      <c r="H707" s="49">
        <f t="shared" si="47"/>
        <v>88475.623000000007</v>
      </c>
      <c r="I707" s="49">
        <f t="shared" si="47"/>
        <v>50.838000000000001</v>
      </c>
      <c r="J707" s="95"/>
      <c r="K707" s="25"/>
      <c r="L707" s="47"/>
    </row>
    <row r="708" spans="1:12" ht="69" x14ac:dyDescent="0.25">
      <c r="A708" s="1">
        <v>17</v>
      </c>
      <c r="B708" s="55">
        <v>1</v>
      </c>
      <c r="C708" s="65" t="s">
        <v>868</v>
      </c>
      <c r="D708" s="66"/>
      <c r="E708" s="67">
        <v>7.7560000000000002</v>
      </c>
      <c r="F708" s="68">
        <v>7.7560000000000002</v>
      </c>
      <c r="G708" s="68">
        <v>7.7560000000000002</v>
      </c>
      <c r="H708" s="69">
        <v>7.7560000000000002</v>
      </c>
      <c r="I708" s="68">
        <v>7.7560000000000002</v>
      </c>
      <c r="J708" s="61"/>
      <c r="K708" s="62"/>
      <c r="L708" s="57" t="s">
        <v>33</v>
      </c>
    </row>
    <row r="709" spans="1:12" ht="69" x14ac:dyDescent="0.25">
      <c r="A709" s="1">
        <v>17</v>
      </c>
      <c r="B709" s="55">
        <f>B708+1</f>
        <v>2</v>
      </c>
      <c r="C709" s="65" t="s">
        <v>869</v>
      </c>
      <c r="D709" s="66"/>
      <c r="E709" s="67">
        <v>12</v>
      </c>
      <c r="F709" s="68">
        <v>12</v>
      </c>
      <c r="G709" s="68">
        <v>12</v>
      </c>
      <c r="H709" s="69">
        <v>12</v>
      </c>
      <c r="I709" s="68">
        <v>12</v>
      </c>
      <c r="J709" s="61"/>
      <c r="K709" s="62"/>
      <c r="L709" s="57" t="s">
        <v>33</v>
      </c>
    </row>
    <row r="710" spans="1:12" ht="69" x14ac:dyDescent="0.25">
      <c r="A710" s="1">
        <v>17</v>
      </c>
      <c r="B710" s="55">
        <f t="shared" ref="B710:B747" si="48">B709+1</f>
        <v>3</v>
      </c>
      <c r="C710" s="65" t="s">
        <v>870</v>
      </c>
      <c r="D710" s="66"/>
      <c r="E710" s="67">
        <v>16.082000000000001</v>
      </c>
      <c r="F710" s="68">
        <v>16.082000000000001</v>
      </c>
      <c r="G710" s="68">
        <v>16.082000000000001</v>
      </c>
      <c r="H710" s="69">
        <v>16.082000000000001</v>
      </c>
      <c r="I710" s="68">
        <v>16.082000000000001</v>
      </c>
      <c r="J710" s="61"/>
      <c r="K710" s="62"/>
      <c r="L710" s="57" t="s">
        <v>33</v>
      </c>
    </row>
    <row r="711" spans="1:12" ht="86.25" x14ac:dyDescent="0.25">
      <c r="A711" s="1">
        <v>17</v>
      </c>
      <c r="B711" s="55">
        <f t="shared" si="48"/>
        <v>4</v>
      </c>
      <c r="C711" s="65" t="s">
        <v>871</v>
      </c>
      <c r="D711" s="66" t="s">
        <v>69</v>
      </c>
      <c r="E711" s="67">
        <v>3515</v>
      </c>
      <c r="F711" s="68">
        <v>3515</v>
      </c>
      <c r="G711" s="68">
        <v>15</v>
      </c>
      <c r="H711" s="69">
        <v>15</v>
      </c>
      <c r="I711" s="68">
        <v>15</v>
      </c>
      <c r="J711" s="61" t="s">
        <v>45</v>
      </c>
      <c r="K711" s="62"/>
      <c r="L711" s="57"/>
    </row>
    <row r="712" spans="1:12" ht="51.75" x14ac:dyDescent="0.25">
      <c r="A712" s="1">
        <v>17</v>
      </c>
      <c r="B712" s="55">
        <f t="shared" si="48"/>
        <v>5</v>
      </c>
      <c r="C712" s="65" t="s">
        <v>872</v>
      </c>
      <c r="D712" s="66" t="s">
        <v>153</v>
      </c>
      <c r="E712" s="67">
        <v>1038.3440000000001</v>
      </c>
      <c r="F712" s="68">
        <v>1038.3440000000001</v>
      </c>
      <c r="G712" s="68">
        <v>1018.33</v>
      </c>
      <c r="H712" s="69">
        <v>1018.33</v>
      </c>
      <c r="I712" s="68">
        <v>0</v>
      </c>
      <c r="J712" s="61" t="s">
        <v>29</v>
      </c>
      <c r="K712" s="62" t="s">
        <v>873</v>
      </c>
      <c r="L712" s="57" t="s">
        <v>874</v>
      </c>
    </row>
    <row r="713" spans="1:12" ht="69" x14ac:dyDescent="0.25">
      <c r="A713" s="1">
        <v>17</v>
      </c>
      <c r="B713" s="55">
        <f t="shared" si="48"/>
        <v>6</v>
      </c>
      <c r="C713" s="65" t="s">
        <v>875</v>
      </c>
      <c r="D713" s="66" t="s">
        <v>153</v>
      </c>
      <c r="E713" s="67">
        <v>1297.249</v>
      </c>
      <c r="F713" s="68">
        <v>1297.249</v>
      </c>
      <c r="G713" s="68">
        <v>1217.33</v>
      </c>
      <c r="H713" s="69">
        <v>1217.33</v>
      </c>
      <c r="I713" s="68">
        <v>0</v>
      </c>
      <c r="J713" s="61" t="s">
        <v>29</v>
      </c>
      <c r="K713" s="62" t="s">
        <v>876</v>
      </c>
      <c r="L713" s="57" t="s">
        <v>877</v>
      </c>
    </row>
    <row r="714" spans="1:12" ht="51.75" x14ac:dyDescent="0.25">
      <c r="A714" s="1">
        <v>17</v>
      </c>
      <c r="B714" s="55">
        <f t="shared" si="48"/>
        <v>7</v>
      </c>
      <c r="C714" s="65" t="s">
        <v>878</v>
      </c>
      <c r="D714" s="66" t="s">
        <v>153</v>
      </c>
      <c r="E714" s="67">
        <v>579.99099999999999</v>
      </c>
      <c r="F714" s="68">
        <v>579.99099999999999</v>
      </c>
      <c r="G714" s="68">
        <v>547.4</v>
      </c>
      <c r="H714" s="69">
        <v>547.4</v>
      </c>
      <c r="I714" s="68">
        <v>0</v>
      </c>
      <c r="J714" s="61" t="s">
        <v>29</v>
      </c>
      <c r="K714" s="62" t="s">
        <v>879</v>
      </c>
      <c r="L714" s="57" t="s">
        <v>880</v>
      </c>
    </row>
    <row r="715" spans="1:12" ht="86.25" x14ac:dyDescent="0.25">
      <c r="A715" s="1">
        <v>17</v>
      </c>
      <c r="B715" s="55">
        <f t="shared" si="48"/>
        <v>8</v>
      </c>
      <c r="C715" s="65" t="s">
        <v>881</v>
      </c>
      <c r="D715" s="66" t="s">
        <v>153</v>
      </c>
      <c r="E715" s="67">
        <v>1197.173</v>
      </c>
      <c r="F715" s="68">
        <v>1197.173</v>
      </c>
      <c r="G715" s="68">
        <v>1053.7349999999999</v>
      </c>
      <c r="H715" s="69">
        <v>1053.7349999999999</v>
      </c>
      <c r="I715" s="68">
        <v>0</v>
      </c>
      <c r="J715" s="61" t="s">
        <v>29</v>
      </c>
      <c r="K715" s="62" t="s">
        <v>882</v>
      </c>
      <c r="L715" s="57" t="s">
        <v>883</v>
      </c>
    </row>
    <row r="716" spans="1:12" ht="86.25" x14ac:dyDescent="0.25">
      <c r="A716" s="1">
        <v>17</v>
      </c>
      <c r="B716" s="55">
        <f t="shared" si="48"/>
        <v>9</v>
      </c>
      <c r="C716" s="65" t="s">
        <v>884</v>
      </c>
      <c r="D716" s="66" t="s">
        <v>153</v>
      </c>
      <c r="E716" s="67">
        <v>583.91600000000005</v>
      </c>
      <c r="F716" s="68">
        <v>583.91600000000005</v>
      </c>
      <c r="G716" s="68">
        <v>246.28</v>
      </c>
      <c r="H716" s="69">
        <v>246.28</v>
      </c>
      <c r="I716" s="68">
        <v>0</v>
      </c>
      <c r="J716" s="61" t="s">
        <v>45</v>
      </c>
      <c r="K716" s="62"/>
      <c r="L716" s="57"/>
    </row>
    <row r="717" spans="1:12" ht="69" x14ac:dyDescent="0.25">
      <c r="A717" s="1">
        <v>17</v>
      </c>
      <c r="B717" s="55">
        <f t="shared" si="48"/>
        <v>10</v>
      </c>
      <c r="C717" s="65" t="s">
        <v>885</v>
      </c>
      <c r="D717" s="66" t="s">
        <v>95</v>
      </c>
      <c r="E717" s="67">
        <v>722.10799999999995</v>
      </c>
      <c r="F717" s="68">
        <v>722.10799999999995</v>
      </c>
      <c r="G717" s="68">
        <v>722.10799999999995</v>
      </c>
      <c r="H717" s="69">
        <v>722.10799999999995</v>
      </c>
      <c r="I717" s="68">
        <v>0</v>
      </c>
      <c r="J717" s="61" t="s">
        <v>45</v>
      </c>
      <c r="K717" s="62"/>
      <c r="L717" s="57"/>
    </row>
    <row r="718" spans="1:12" ht="69" x14ac:dyDescent="0.25">
      <c r="A718" s="1">
        <v>17</v>
      </c>
      <c r="B718" s="55">
        <f t="shared" si="48"/>
        <v>11</v>
      </c>
      <c r="C718" s="65" t="s">
        <v>886</v>
      </c>
      <c r="D718" s="66" t="s">
        <v>59</v>
      </c>
      <c r="E718" s="67">
        <v>745.01700000000005</v>
      </c>
      <c r="F718" s="68">
        <v>745.01700000000005</v>
      </c>
      <c r="G718" s="68">
        <v>602.12199999999996</v>
      </c>
      <c r="H718" s="69">
        <v>602.12199999999996</v>
      </c>
      <c r="I718" s="68">
        <v>0</v>
      </c>
      <c r="J718" s="61" t="s">
        <v>29</v>
      </c>
      <c r="K718" s="62" t="s">
        <v>887</v>
      </c>
      <c r="L718" s="57" t="s">
        <v>888</v>
      </c>
    </row>
    <row r="719" spans="1:12" ht="69" x14ac:dyDescent="0.25">
      <c r="A719" s="1">
        <v>17</v>
      </c>
      <c r="B719" s="55">
        <f t="shared" si="48"/>
        <v>12</v>
      </c>
      <c r="C719" s="65" t="s">
        <v>889</v>
      </c>
      <c r="D719" s="66" t="s">
        <v>95</v>
      </c>
      <c r="E719" s="67">
        <v>1002.442</v>
      </c>
      <c r="F719" s="68">
        <v>1002.442</v>
      </c>
      <c r="G719" s="68">
        <v>757.30700000000002</v>
      </c>
      <c r="H719" s="69">
        <v>757.30700000000002</v>
      </c>
      <c r="I719" s="68">
        <v>0</v>
      </c>
      <c r="J719" s="61" t="s">
        <v>45</v>
      </c>
      <c r="K719" s="62"/>
      <c r="L719" s="57"/>
    </row>
    <row r="720" spans="1:12" ht="86.25" x14ac:dyDescent="0.25">
      <c r="A720" s="1">
        <v>17</v>
      </c>
      <c r="B720" s="55">
        <f t="shared" si="48"/>
        <v>13</v>
      </c>
      <c r="C720" s="65" t="s">
        <v>890</v>
      </c>
      <c r="D720" s="66" t="s">
        <v>717</v>
      </c>
      <c r="E720" s="67">
        <v>629.70000000000005</v>
      </c>
      <c r="F720" s="68">
        <v>629.70000000000005</v>
      </c>
      <c r="G720" s="68">
        <v>595.44899999999996</v>
      </c>
      <c r="H720" s="69">
        <v>595.44899999999996</v>
      </c>
      <c r="I720" s="68">
        <v>0</v>
      </c>
      <c r="J720" s="61" t="s">
        <v>45</v>
      </c>
      <c r="K720" s="62"/>
      <c r="L720" s="57" t="s">
        <v>126</v>
      </c>
    </row>
    <row r="721" spans="1:12" ht="69" x14ac:dyDescent="0.25">
      <c r="A721" s="1">
        <v>17</v>
      </c>
      <c r="B721" s="55">
        <f t="shared" si="48"/>
        <v>14</v>
      </c>
      <c r="C721" s="65" t="s">
        <v>891</v>
      </c>
      <c r="D721" s="66" t="s">
        <v>37</v>
      </c>
      <c r="E721" s="67">
        <v>389.72500000000002</v>
      </c>
      <c r="F721" s="68">
        <v>389.72500000000002</v>
      </c>
      <c r="G721" s="68">
        <v>389.72500000000002</v>
      </c>
      <c r="H721" s="69">
        <v>389.72500000000002</v>
      </c>
      <c r="I721" s="68">
        <v>0</v>
      </c>
      <c r="J721" s="61" t="s">
        <v>29</v>
      </c>
      <c r="K721" s="62" t="s">
        <v>892</v>
      </c>
      <c r="L721" s="57" t="s">
        <v>893</v>
      </c>
    </row>
    <row r="722" spans="1:12" ht="86.25" x14ac:dyDescent="0.25">
      <c r="A722" s="1">
        <v>17</v>
      </c>
      <c r="B722" s="55">
        <f t="shared" si="48"/>
        <v>15</v>
      </c>
      <c r="C722" s="65" t="s">
        <v>894</v>
      </c>
      <c r="D722" s="66" t="s">
        <v>153</v>
      </c>
      <c r="E722" s="67">
        <v>723.202</v>
      </c>
      <c r="F722" s="68">
        <v>723.202</v>
      </c>
      <c r="G722" s="68">
        <v>723.202</v>
      </c>
      <c r="H722" s="69">
        <v>723.202</v>
      </c>
      <c r="I722" s="68">
        <v>0</v>
      </c>
      <c r="J722" s="61" t="s">
        <v>29</v>
      </c>
      <c r="K722" s="62" t="s">
        <v>895</v>
      </c>
      <c r="L722" s="57" t="s">
        <v>896</v>
      </c>
    </row>
    <row r="723" spans="1:12" ht="69" x14ac:dyDescent="0.25">
      <c r="A723" s="1">
        <v>17</v>
      </c>
      <c r="B723" s="64">
        <f t="shared" si="48"/>
        <v>16</v>
      </c>
      <c r="C723" s="65" t="s">
        <v>897</v>
      </c>
      <c r="D723" s="66" t="s">
        <v>95</v>
      </c>
      <c r="E723" s="67">
        <f>4411.334-1441.395</f>
        <v>2969.9389999999999</v>
      </c>
      <c r="F723" s="68">
        <v>2969.9389999999999</v>
      </c>
      <c r="G723" s="68">
        <v>2549.7750000000001</v>
      </c>
      <c r="H723" s="69">
        <v>2549.7750000000001</v>
      </c>
      <c r="I723" s="68">
        <v>0</v>
      </c>
      <c r="J723" s="61" t="s">
        <v>45</v>
      </c>
      <c r="K723" s="62"/>
      <c r="L723" s="57"/>
    </row>
    <row r="724" spans="1:12" ht="51.75" x14ac:dyDescent="0.25">
      <c r="A724" s="1">
        <v>17</v>
      </c>
      <c r="B724" s="55">
        <f t="shared" si="48"/>
        <v>17</v>
      </c>
      <c r="C724" s="65" t="s">
        <v>898</v>
      </c>
      <c r="D724" s="66" t="s">
        <v>95</v>
      </c>
      <c r="E724" s="67">
        <v>1895.0920000000001</v>
      </c>
      <c r="F724" s="68">
        <v>1895.0920000000001</v>
      </c>
      <c r="G724" s="68">
        <v>358.20600000000002</v>
      </c>
      <c r="H724" s="69">
        <v>358.20600000000002</v>
      </c>
      <c r="I724" s="68">
        <v>0</v>
      </c>
      <c r="J724" s="61" t="s">
        <v>45</v>
      </c>
      <c r="K724" s="62"/>
      <c r="L724" s="57"/>
    </row>
    <row r="725" spans="1:12" ht="51.75" x14ac:dyDescent="0.25">
      <c r="A725" s="1">
        <v>17</v>
      </c>
      <c r="B725" s="55">
        <f t="shared" si="48"/>
        <v>18</v>
      </c>
      <c r="C725" s="65" t="s">
        <v>899</v>
      </c>
      <c r="D725" s="66" t="s">
        <v>717</v>
      </c>
      <c r="E725" s="67">
        <v>3609</v>
      </c>
      <c r="F725" s="68">
        <v>3609</v>
      </c>
      <c r="G725" s="68">
        <v>2004.0229999999999</v>
      </c>
      <c r="H725" s="69">
        <v>2004.0229999999999</v>
      </c>
      <c r="I725" s="68">
        <v>0</v>
      </c>
      <c r="J725" s="61" t="s">
        <v>45</v>
      </c>
      <c r="K725" s="62"/>
      <c r="L725" s="57"/>
    </row>
    <row r="726" spans="1:12" ht="86.25" x14ac:dyDescent="0.25">
      <c r="A726" s="1">
        <v>17</v>
      </c>
      <c r="B726" s="55">
        <f t="shared" si="48"/>
        <v>19</v>
      </c>
      <c r="C726" s="65" t="s">
        <v>900</v>
      </c>
      <c r="D726" s="66" t="s">
        <v>95</v>
      </c>
      <c r="E726" s="67">
        <v>644.67999999999995</v>
      </c>
      <c r="F726" s="68">
        <v>644.67999999999995</v>
      </c>
      <c r="G726" s="68">
        <v>610.32899999999995</v>
      </c>
      <c r="H726" s="69">
        <v>610.32899999999995</v>
      </c>
      <c r="I726" s="68">
        <v>0</v>
      </c>
      <c r="J726" s="61" t="s">
        <v>45</v>
      </c>
      <c r="K726" s="62"/>
      <c r="L726" s="57"/>
    </row>
    <row r="727" spans="1:12" ht="103.5" x14ac:dyDescent="0.25">
      <c r="A727" s="1">
        <v>17</v>
      </c>
      <c r="B727" s="55">
        <f t="shared" si="48"/>
        <v>20</v>
      </c>
      <c r="C727" s="65" t="s">
        <v>901</v>
      </c>
      <c r="D727" s="66" t="s">
        <v>95</v>
      </c>
      <c r="E727" s="67">
        <v>944.32899999999995</v>
      </c>
      <c r="F727" s="68">
        <v>944.32899999999995</v>
      </c>
      <c r="G727" s="68">
        <v>944.32899999999995</v>
      </c>
      <c r="H727" s="69">
        <v>944.32899999999995</v>
      </c>
      <c r="I727" s="68">
        <v>0</v>
      </c>
      <c r="J727" s="61" t="s">
        <v>45</v>
      </c>
      <c r="K727" s="62"/>
      <c r="L727" s="57"/>
    </row>
    <row r="728" spans="1:12" ht="69" x14ac:dyDescent="0.25">
      <c r="A728" s="1">
        <v>17</v>
      </c>
      <c r="B728" s="55">
        <f t="shared" si="48"/>
        <v>21</v>
      </c>
      <c r="C728" s="65" t="s">
        <v>902</v>
      </c>
      <c r="D728" s="66" t="s">
        <v>95</v>
      </c>
      <c r="E728" s="67">
        <v>799.75099999999998</v>
      </c>
      <c r="F728" s="68">
        <v>799.75099999999998</v>
      </c>
      <c r="G728" s="68">
        <v>799.75099999999998</v>
      </c>
      <c r="H728" s="69">
        <v>799.75099999999998</v>
      </c>
      <c r="I728" s="68">
        <v>0</v>
      </c>
      <c r="J728" s="61" t="s">
        <v>45</v>
      </c>
      <c r="K728" s="62"/>
      <c r="L728" s="57"/>
    </row>
    <row r="729" spans="1:12" ht="155.25" x14ac:dyDescent="0.25">
      <c r="A729" s="1">
        <v>17</v>
      </c>
      <c r="B729" s="64">
        <f t="shared" si="48"/>
        <v>22</v>
      </c>
      <c r="C729" s="102" t="s">
        <v>903</v>
      </c>
      <c r="D729" s="66" t="s">
        <v>95</v>
      </c>
      <c r="E729" s="67">
        <f>12687.961-2199.537</f>
        <v>10488.423999999999</v>
      </c>
      <c r="F729" s="68">
        <v>10488.424000000001</v>
      </c>
      <c r="G729" s="68">
        <v>9604.75</v>
      </c>
      <c r="H729" s="69">
        <v>9604.75</v>
      </c>
      <c r="I729" s="68">
        <v>0</v>
      </c>
      <c r="J729" s="61" t="s">
        <v>45</v>
      </c>
      <c r="K729" s="62"/>
      <c r="L729" s="57"/>
    </row>
    <row r="730" spans="1:12" ht="69" x14ac:dyDescent="0.25">
      <c r="A730" s="1">
        <v>17</v>
      </c>
      <c r="B730" s="55">
        <f t="shared" si="48"/>
        <v>23</v>
      </c>
      <c r="C730" s="65" t="s">
        <v>904</v>
      </c>
      <c r="D730" s="66" t="s">
        <v>153</v>
      </c>
      <c r="E730" s="67">
        <v>952.11300000000006</v>
      </c>
      <c r="F730" s="68">
        <v>952.11300000000006</v>
      </c>
      <c r="G730" s="68">
        <v>913.8</v>
      </c>
      <c r="H730" s="69">
        <v>913.8</v>
      </c>
      <c r="I730" s="68">
        <v>0</v>
      </c>
      <c r="J730" s="61" t="s">
        <v>29</v>
      </c>
      <c r="K730" s="62" t="s">
        <v>905</v>
      </c>
      <c r="L730" s="57" t="s">
        <v>906</v>
      </c>
    </row>
    <row r="731" spans="1:12" ht="51.75" x14ac:dyDescent="0.25">
      <c r="A731" s="1">
        <v>17</v>
      </c>
      <c r="B731" s="55">
        <f t="shared" si="48"/>
        <v>24</v>
      </c>
      <c r="C731" s="65" t="s">
        <v>907</v>
      </c>
      <c r="D731" s="66" t="s">
        <v>757</v>
      </c>
      <c r="E731" s="67">
        <v>1531.5070000000001</v>
      </c>
      <c r="F731" s="68">
        <v>1531.5070000000001</v>
      </c>
      <c r="G731" s="68">
        <v>1481.92</v>
      </c>
      <c r="H731" s="69">
        <v>1481.92</v>
      </c>
      <c r="I731" s="68">
        <v>0</v>
      </c>
      <c r="J731" s="61" t="s">
        <v>45</v>
      </c>
      <c r="K731" s="62"/>
      <c r="L731" s="57"/>
    </row>
    <row r="732" spans="1:12" ht="69" x14ac:dyDescent="0.25">
      <c r="A732" s="1">
        <v>17</v>
      </c>
      <c r="B732" s="55">
        <f t="shared" si="48"/>
        <v>25</v>
      </c>
      <c r="C732" s="65" t="s">
        <v>908</v>
      </c>
      <c r="D732" s="66" t="s">
        <v>153</v>
      </c>
      <c r="E732" s="67">
        <v>225</v>
      </c>
      <c r="F732" s="68">
        <v>225</v>
      </c>
      <c r="G732" s="68">
        <v>118.875</v>
      </c>
      <c r="H732" s="69">
        <v>118.875</v>
      </c>
      <c r="I732" s="68">
        <v>0</v>
      </c>
      <c r="J732" s="61" t="s">
        <v>29</v>
      </c>
      <c r="K732" s="62"/>
      <c r="L732" s="57" t="s">
        <v>75</v>
      </c>
    </row>
    <row r="733" spans="1:12" ht="51.75" x14ac:dyDescent="0.25">
      <c r="A733" s="1">
        <v>17</v>
      </c>
      <c r="B733" s="55">
        <f t="shared" si="48"/>
        <v>26</v>
      </c>
      <c r="C733" s="65" t="s">
        <v>909</v>
      </c>
      <c r="D733" s="66" t="s">
        <v>153</v>
      </c>
      <c r="E733" s="67">
        <v>252.114</v>
      </c>
      <c r="F733" s="68">
        <v>252.114</v>
      </c>
      <c r="G733" s="68">
        <v>228.28700000000001</v>
      </c>
      <c r="H733" s="69">
        <v>228.28700000000001</v>
      </c>
      <c r="I733" s="68">
        <v>0</v>
      </c>
      <c r="J733" s="61" t="s">
        <v>29</v>
      </c>
      <c r="K733" s="62" t="s">
        <v>910</v>
      </c>
      <c r="L733" s="57" t="s">
        <v>911</v>
      </c>
    </row>
    <row r="734" spans="1:12" ht="51.75" x14ac:dyDescent="0.25">
      <c r="A734" s="1">
        <v>17</v>
      </c>
      <c r="B734" s="55">
        <f t="shared" si="48"/>
        <v>27</v>
      </c>
      <c r="C734" s="65" t="s">
        <v>912</v>
      </c>
      <c r="D734" s="66" t="s">
        <v>95</v>
      </c>
      <c r="E734" s="67">
        <v>880</v>
      </c>
      <c r="F734" s="68">
        <v>880</v>
      </c>
      <c r="G734" s="68">
        <v>871.7</v>
      </c>
      <c r="H734" s="69">
        <v>871.7</v>
      </c>
      <c r="I734" s="68">
        <v>0</v>
      </c>
      <c r="J734" s="61" t="s">
        <v>45</v>
      </c>
      <c r="K734" s="62"/>
      <c r="L734" s="57"/>
    </row>
    <row r="735" spans="1:12" ht="69" x14ac:dyDescent="0.25">
      <c r="A735" s="1">
        <v>17</v>
      </c>
      <c r="B735" s="55">
        <f t="shared" si="48"/>
        <v>28</v>
      </c>
      <c r="C735" s="65" t="s">
        <v>913</v>
      </c>
      <c r="D735" s="66" t="s">
        <v>59</v>
      </c>
      <c r="E735" s="67">
        <v>513.86500000000001</v>
      </c>
      <c r="F735" s="68">
        <v>513.86500000000001</v>
      </c>
      <c r="G735" s="68">
        <v>474.7</v>
      </c>
      <c r="H735" s="69">
        <v>474.7</v>
      </c>
      <c r="I735" s="68">
        <v>0</v>
      </c>
      <c r="J735" s="61" t="s">
        <v>29</v>
      </c>
      <c r="K735" s="62" t="s">
        <v>914</v>
      </c>
      <c r="L735" s="57" t="s">
        <v>915</v>
      </c>
    </row>
    <row r="736" spans="1:12" ht="69" x14ac:dyDescent="0.25">
      <c r="A736" s="1">
        <v>17</v>
      </c>
      <c r="B736" s="55">
        <f t="shared" si="48"/>
        <v>29</v>
      </c>
      <c r="C736" s="65" t="s">
        <v>916</v>
      </c>
      <c r="D736" s="66" t="s">
        <v>69</v>
      </c>
      <c r="E736" s="67">
        <v>5500</v>
      </c>
      <c r="F736" s="68">
        <v>5500</v>
      </c>
      <c r="G736" s="68">
        <v>5500</v>
      </c>
      <c r="H736" s="69">
        <v>5500</v>
      </c>
      <c r="I736" s="68">
        <v>0</v>
      </c>
      <c r="J736" s="61" t="s">
        <v>45</v>
      </c>
      <c r="K736" s="62"/>
      <c r="L736" s="57"/>
    </row>
    <row r="737" spans="1:12" ht="86.25" x14ac:dyDescent="0.25">
      <c r="A737" s="1">
        <v>17</v>
      </c>
      <c r="B737" s="55">
        <f t="shared" si="48"/>
        <v>30</v>
      </c>
      <c r="C737" s="65" t="s">
        <v>917</v>
      </c>
      <c r="D737" s="66" t="s">
        <v>717</v>
      </c>
      <c r="E737" s="67">
        <v>5022.1450000000004</v>
      </c>
      <c r="F737" s="68">
        <v>5022.1450000000004</v>
      </c>
      <c r="G737" s="68">
        <v>5022.1450000000004</v>
      </c>
      <c r="H737" s="69">
        <v>5022.1450000000004</v>
      </c>
      <c r="I737" s="68">
        <v>0</v>
      </c>
      <c r="J737" s="61" t="s">
        <v>45</v>
      </c>
      <c r="K737" s="62"/>
      <c r="L737" s="57"/>
    </row>
    <row r="738" spans="1:12" ht="86.25" x14ac:dyDescent="0.25">
      <c r="A738" s="1">
        <v>17</v>
      </c>
      <c r="B738" s="55">
        <f t="shared" si="48"/>
        <v>31</v>
      </c>
      <c r="C738" s="65" t="s">
        <v>918</v>
      </c>
      <c r="D738" s="66" t="s">
        <v>37</v>
      </c>
      <c r="E738" s="67">
        <v>16000</v>
      </c>
      <c r="F738" s="69">
        <v>16000</v>
      </c>
      <c r="G738" s="69">
        <v>16000</v>
      </c>
      <c r="H738" s="69">
        <v>16000</v>
      </c>
      <c r="I738" s="69">
        <v>0</v>
      </c>
      <c r="J738" s="61" t="s">
        <v>29</v>
      </c>
      <c r="K738" s="62" t="s">
        <v>919</v>
      </c>
      <c r="L738" s="57" t="s">
        <v>920</v>
      </c>
    </row>
    <row r="739" spans="1:12" ht="120.75" x14ac:dyDescent="0.25">
      <c r="A739" s="1">
        <v>17</v>
      </c>
      <c r="B739" s="55">
        <f t="shared" si="48"/>
        <v>32</v>
      </c>
      <c r="C739" s="102" t="s">
        <v>921</v>
      </c>
      <c r="D739" s="66" t="s">
        <v>153</v>
      </c>
      <c r="E739" s="67">
        <v>525.56399999999996</v>
      </c>
      <c r="F739" s="68">
        <v>525.56399999999996</v>
      </c>
      <c r="G739" s="68">
        <v>397.35</v>
      </c>
      <c r="H739" s="69">
        <v>397.35</v>
      </c>
      <c r="I739" s="68">
        <v>0</v>
      </c>
      <c r="J739" s="61" t="s">
        <v>45</v>
      </c>
      <c r="K739" s="62"/>
      <c r="L739" s="57"/>
    </row>
    <row r="740" spans="1:12" ht="51.75" x14ac:dyDescent="0.25">
      <c r="A740" s="1">
        <v>17</v>
      </c>
      <c r="B740" s="55">
        <f t="shared" si="48"/>
        <v>33</v>
      </c>
      <c r="C740" s="65" t="s">
        <v>922</v>
      </c>
      <c r="D740" s="66" t="s">
        <v>757</v>
      </c>
      <c r="E740" s="67">
        <v>7405.8379999999997</v>
      </c>
      <c r="F740" s="68">
        <v>7405.8379999999997</v>
      </c>
      <c r="G740" s="68">
        <v>6448.951</v>
      </c>
      <c r="H740" s="69">
        <v>6448.951</v>
      </c>
      <c r="I740" s="68">
        <v>0</v>
      </c>
      <c r="J740" s="61" t="s">
        <v>45</v>
      </c>
      <c r="K740" s="62"/>
      <c r="L740" s="57"/>
    </row>
    <row r="741" spans="1:12" ht="69" x14ac:dyDescent="0.25">
      <c r="A741" s="1">
        <v>17</v>
      </c>
      <c r="B741" s="55">
        <f t="shared" si="48"/>
        <v>34</v>
      </c>
      <c r="C741" s="65" t="s">
        <v>923</v>
      </c>
      <c r="D741" s="66" t="s">
        <v>717</v>
      </c>
      <c r="E741" s="67">
        <v>11539.088</v>
      </c>
      <c r="F741" s="68">
        <v>11539.088</v>
      </c>
      <c r="G741" s="68">
        <v>10765.499</v>
      </c>
      <c r="H741" s="69">
        <v>10765.499</v>
      </c>
      <c r="I741" s="68">
        <v>0</v>
      </c>
      <c r="J741" s="61" t="s">
        <v>45</v>
      </c>
      <c r="K741" s="62"/>
      <c r="L741" s="57"/>
    </row>
    <row r="742" spans="1:12" ht="69" x14ac:dyDescent="0.25">
      <c r="A742" s="1">
        <v>17</v>
      </c>
      <c r="B742" s="55">
        <f t="shared" si="48"/>
        <v>35</v>
      </c>
      <c r="C742" s="65" t="s">
        <v>924</v>
      </c>
      <c r="D742" s="66" t="s">
        <v>28</v>
      </c>
      <c r="E742" s="67">
        <v>5025.6890000000003</v>
      </c>
      <c r="F742" s="68">
        <v>5025.6890000000003</v>
      </c>
      <c r="G742" s="68">
        <v>4890.1750000000002</v>
      </c>
      <c r="H742" s="69">
        <v>4890.1750000000002</v>
      </c>
      <c r="I742" s="68">
        <v>0</v>
      </c>
      <c r="J742" s="61" t="s">
        <v>29</v>
      </c>
      <c r="K742" s="62" t="s">
        <v>925</v>
      </c>
      <c r="L742" s="57" t="s">
        <v>926</v>
      </c>
    </row>
    <row r="743" spans="1:12" ht="103.5" x14ac:dyDescent="0.25">
      <c r="A743" s="1">
        <v>17</v>
      </c>
      <c r="B743" s="55">
        <f t="shared" si="48"/>
        <v>36</v>
      </c>
      <c r="C743" s="65" t="s">
        <v>927</v>
      </c>
      <c r="D743" s="66" t="s">
        <v>726</v>
      </c>
      <c r="E743" s="67">
        <v>2598.4699999999998</v>
      </c>
      <c r="F743" s="68">
        <v>2598.4699999999998</v>
      </c>
      <c r="G743" s="68">
        <v>2598.4699999999998</v>
      </c>
      <c r="H743" s="69">
        <v>2598.4699999999998</v>
      </c>
      <c r="I743" s="68">
        <v>0</v>
      </c>
      <c r="J743" s="61" t="s">
        <v>45</v>
      </c>
      <c r="K743" s="62"/>
      <c r="L743" s="57"/>
    </row>
    <row r="744" spans="1:12" ht="51.75" x14ac:dyDescent="0.25">
      <c r="A744" s="1">
        <v>17</v>
      </c>
      <c r="B744" s="55">
        <f t="shared" si="48"/>
        <v>37</v>
      </c>
      <c r="C744" s="65" t="s">
        <v>928</v>
      </c>
      <c r="D744" s="66" t="s">
        <v>726</v>
      </c>
      <c r="E744" s="67">
        <v>6021.9549999999999</v>
      </c>
      <c r="F744" s="68">
        <v>6021.9549999999999</v>
      </c>
      <c r="G744" s="68">
        <v>5627.5829999999996</v>
      </c>
      <c r="H744" s="69">
        <v>5627.5829999999996</v>
      </c>
      <c r="I744" s="68">
        <v>0</v>
      </c>
      <c r="J744" s="61" t="s">
        <v>45</v>
      </c>
      <c r="K744" s="62"/>
      <c r="L744" s="57"/>
    </row>
    <row r="745" spans="1:12" ht="69" x14ac:dyDescent="0.25">
      <c r="A745" s="1">
        <v>17</v>
      </c>
      <c r="B745" s="55">
        <f t="shared" si="48"/>
        <v>38</v>
      </c>
      <c r="C745" s="65" t="s">
        <v>929</v>
      </c>
      <c r="D745" s="66" t="s">
        <v>95</v>
      </c>
      <c r="E745" s="67">
        <v>4088.6880000000001</v>
      </c>
      <c r="F745" s="68">
        <v>4088.6880000000001</v>
      </c>
      <c r="G745" s="68">
        <v>1347.7070000000001</v>
      </c>
      <c r="H745" s="69">
        <v>1347.7070000000001</v>
      </c>
      <c r="I745" s="68">
        <v>0</v>
      </c>
      <c r="J745" s="61" t="s">
        <v>45</v>
      </c>
      <c r="K745" s="62"/>
      <c r="L745" s="57"/>
    </row>
    <row r="746" spans="1:12" ht="51.75" x14ac:dyDescent="0.25">
      <c r="A746" s="1">
        <v>17</v>
      </c>
      <c r="B746" s="55">
        <f t="shared" si="48"/>
        <v>39</v>
      </c>
      <c r="C746" s="65" t="s">
        <v>930</v>
      </c>
      <c r="D746" s="66" t="s">
        <v>717</v>
      </c>
      <c r="E746" s="67">
        <v>1674.9159999999999</v>
      </c>
      <c r="F746" s="68">
        <v>1674.9159999999999</v>
      </c>
      <c r="G746" s="68">
        <v>993.47199999999998</v>
      </c>
      <c r="H746" s="69">
        <v>993.47199999999998</v>
      </c>
      <c r="I746" s="68">
        <v>0</v>
      </c>
      <c r="J746" s="61" t="s">
        <v>45</v>
      </c>
      <c r="K746" s="62"/>
      <c r="L746" s="57"/>
    </row>
    <row r="747" spans="1:12" ht="52.5" thickBot="1" x14ac:dyDescent="0.3">
      <c r="A747" s="1">
        <v>17</v>
      </c>
      <c r="B747" s="82">
        <f t="shared" si="48"/>
        <v>40</v>
      </c>
      <c r="C747" s="83" t="s">
        <v>931</v>
      </c>
      <c r="D747" s="84" t="s">
        <v>153</v>
      </c>
      <c r="E747" s="85">
        <v>2900</v>
      </c>
      <c r="F747" s="86">
        <v>2900</v>
      </c>
      <c r="G747" s="86">
        <v>0</v>
      </c>
      <c r="H747" s="87">
        <v>0</v>
      </c>
      <c r="I747" s="86">
        <v>0</v>
      </c>
      <c r="J747" s="89" t="s">
        <v>45</v>
      </c>
      <c r="K747" s="90"/>
      <c r="L747" s="123"/>
    </row>
    <row r="748" spans="1:12" ht="15.75" thickBot="1" x14ac:dyDescent="0.3">
      <c r="A748" s="1">
        <v>18</v>
      </c>
      <c r="B748" s="189" t="s">
        <v>932</v>
      </c>
      <c r="C748" s="190"/>
      <c r="D748" s="190"/>
      <c r="E748" s="187"/>
      <c r="F748" s="187"/>
      <c r="G748" s="187"/>
      <c r="H748" s="187"/>
      <c r="I748" s="187"/>
      <c r="J748" s="187"/>
      <c r="K748" s="187"/>
      <c r="L748" s="188"/>
    </row>
    <row r="749" spans="1:12" ht="18.75" x14ac:dyDescent="0.25">
      <c r="A749" s="1">
        <v>18</v>
      </c>
      <c r="B749" s="36"/>
      <c r="C749" s="37" t="s">
        <v>24</v>
      </c>
      <c r="D749" s="38"/>
      <c r="E749" s="41">
        <f t="shared" ref="E749:I749" si="49">SUM(E750,E752:E765)</f>
        <v>104088.89600000001</v>
      </c>
      <c r="F749" s="40">
        <f t="shared" si="49"/>
        <v>104088.89600000001</v>
      </c>
      <c r="G749" s="40">
        <f t="shared" si="49"/>
        <v>104088.89600000001</v>
      </c>
      <c r="H749" s="40">
        <f t="shared" si="49"/>
        <v>65377.384000000005</v>
      </c>
      <c r="I749" s="40">
        <f t="shared" si="49"/>
        <v>2966.268</v>
      </c>
      <c r="J749" s="92"/>
      <c r="K749" s="93"/>
      <c r="L749" s="38"/>
    </row>
    <row r="750" spans="1:12" ht="18.75" x14ac:dyDescent="0.25">
      <c r="A750" s="1">
        <v>18</v>
      </c>
      <c r="B750" s="46"/>
      <c r="C750" s="24" t="s">
        <v>21</v>
      </c>
      <c r="D750" s="47"/>
      <c r="E750" s="48">
        <v>0</v>
      </c>
      <c r="F750" s="49">
        <v>0</v>
      </c>
      <c r="G750" s="49">
        <v>0</v>
      </c>
      <c r="H750" s="49"/>
      <c r="I750" s="49"/>
      <c r="J750" s="95"/>
      <c r="K750" s="25"/>
      <c r="L750" s="47"/>
    </row>
    <row r="751" spans="1:12" ht="16.5" x14ac:dyDescent="0.25">
      <c r="A751" s="1">
        <v>18</v>
      </c>
      <c r="B751" s="46"/>
      <c r="C751" s="54" t="s">
        <v>22</v>
      </c>
      <c r="D751" s="47"/>
      <c r="E751" s="48">
        <f>SUM(E752:E765)</f>
        <v>104088.89600000001</v>
      </c>
      <c r="F751" s="49">
        <f t="shared" ref="F751:I751" si="50">SUM(F752:F765)</f>
        <v>104088.89600000001</v>
      </c>
      <c r="G751" s="49">
        <f t="shared" si="50"/>
        <v>104088.89600000001</v>
      </c>
      <c r="H751" s="49">
        <f t="shared" si="50"/>
        <v>65377.384000000005</v>
      </c>
      <c r="I751" s="49">
        <f t="shared" si="50"/>
        <v>2966.268</v>
      </c>
      <c r="J751" s="95"/>
      <c r="K751" s="25"/>
      <c r="L751" s="47"/>
    </row>
    <row r="752" spans="1:12" ht="103.5" x14ac:dyDescent="0.25">
      <c r="A752" s="1">
        <v>18</v>
      </c>
      <c r="B752" s="55">
        <v>1</v>
      </c>
      <c r="C752" s="65" t="s">
        <v>933</v>
      </c>
      <c r="D752" s="66" t="s">
        <v>717</v>
      </c>
      <c r="E752" s="67">
        <v>21293.668000000001</v>
      </c>
      <c r="F752" s="68">
        <v>21293.668000000001</v>
      </c>
      <c r="G752" s="68">
        <v>21293.668000000001</v>
      </c>
      <c r="H752" s="68">
        <v>19279.109090000002</v>
      </c>
      <c r="I752" s="68">
        <v>2966.268</v>
      </c>
      <c r="J752" s="61" t="s">
        <v>45</v>
      </c>
      <c r="K752" s="62"/>
      <c r="L752" s="57" t="s">
        <v>126</v>
      </c>
    </row>
    <row r="753" spans="1:12" ht="69" x14ac:dyDescent="0.25">
      <c r="A753" s="1">
        <v>18</v>
      </c>
      <c r="B753" s="55">
        <f>B752+1</f>
        <v>2</v>
      </c>
      <c r="C753" s="65" t="s">
        <v>934</v>
      </c>
      <c r="D753" s="66" t="s">
        <v>69</v>
      </c>
      <c r="E753" s="67">
        <v>1529.1579999999999</v>
      </c>
      <c r="F753" s="68">
        <v>1529.1579999999999</v>
      </c>
      <c r="G753" s="68">
        <v>1529.1579999999999</v>
      </c>
      <c r="H753" s="68">
        <v>1529.1579999999999</v>
      </c>
      <c r="I753" s="68">
        <v>0</v>
      </c>
      <c r="J753" s="61" t="s">
        <v>110</v>
      </c>
      <c r="K753" s="62" t="s">
        <v>381</v>
      </c>
      <c r="L753" s="57" t="s">
        <v>57</v>
      </c>
    </row>
    <row r="754" spans="1:12" ht="51.75" x14ac:dyDescent="0.25">
      <c r="A754" s="1">
        <v>18</v>
      </c>
      <c r="B754" s="55">
        <f t="shared" ref="B754:B765" si="51">B753+1</f>
        <v>3</v>
      </c>
      <c r="C754" s="65" t="s">
        <v>935</v>
      </c>
      <c r="D754" s="66" t="s">
        <v>69</v>
      </c>
      <c r="E754" s="67">
        <v>3000</v>
      </c>
      <c r="F754" s="68">
        <v>3000</v>
      </c>
      <c r="G754" s="68">
        <v>3000</v>
      </c>
      <c r="H754" s="68">
        <v>1564.172</v>
      </c>
      <c r="I754" s="68">
        <v>0</v>
      </c>
      <c r="J754" s="61" t="s">
        <v>45</v>
      </c>
      <c r="K754" s="62"/>
      <c r="L754" s="57"/>
    </row>
    <row r="755" spans="1:12" ht="51.75" x14ac:dyDescent="0.25">
      <c r="A755" s="1">
        <v>18</v>
      </c>
      <c r="B755" s="55">
        <f t="shared" si="51"/>
        <v>4</v>
      </c>
      <c r="C755" s="65" t="s">
        <v>936</v>
      </c>
      <c r="D755" s="66" t="s">
        <v>69</v>
      </c>
      <c r="E755" s="67">
        <v>866.34699999999998</v>
      </c>
      <c r="F755" s="68">
        <v>866.34699999999998</v>
      </c>
      <c r="G755" s="68">
        <v>866.34699999999998</v>
      </c>
      <c r="H755" s="68">
        <v>866.34699999999998</v>
      </c>
      <c r="I755" s="68">
        <v>0</v>
      </c>
      <c r="J755" s="61" t="s">
        <v>29</v>
      </c>
      <c r="K755" s="62" t="s">
        <v>937</v>
      </c>
      <c r="L755" s="57" t="s">
        <v>938</v>
      </c>
    </row>
    <row r="756" spans="1:12" ht="86.25" x14ac:dyDescent="0.25">
      <c r="A756" s="1">
        <v>18</v>
      </c>
      <c r="B756" s="55">
        <f t="shared" si="51"/>
        <v>5</v>
      </c>
      <c r="C756" s="65" t="s">
        <v>939</v>
      </c>
      <c r="D756" s="66" t="s">
        <v>69</v>
      </c>
      <c r="E756" s="67">
        <v>520.74800000000005</v>
      </c>
      <c r="F756" s="68">
        <v>520.74800000000005</v>
      </c>
      <c r="G756" s="68">
        <v>520.74800000000005</v>
      </c>
      <c r="H756" s="68">
        <v>520.74800000000005</v>
      </c>
      <c r="I756" s="68">
        <v>0</v>
      </c>
      <c r="J756" s="61" t="s">
        <v>45</v>
      </c>
      <c r="K756" s="62" t="s">
        <v>246</v>
      </c>
      <c r="L756" s="115"/>
    </row>
    <row r="757" spans="1:12" ht="86.25" x14ac:dyDescent="0.25">
      <c r="A757" s="1">
        <v>18</v>
      </c>
      <c r="B757" s="55">
        <f t="shared" si="51"/>
        <v>6</v>
      </c>
      <c r="C757" s="65" t="s">
        <v>940</v>
      </c>
      <c r="D757" s="66" t="s">
        <v>95</v>
      </c>
      <c r="E757" s="67">
        <v>2329.5</v>
      </c>
      <c r="F757" s="68">
        <v>2329.5</v>
      </c>
      <c r="G757" s="68">
        <v>2329.5</v>
      </c>
      <c r="H757" s="69">
        <v>1914.56646</v>
      </c>
      <c r="I757" s="68">
        <v>0</v>
      </c>
      <c r="J757" s="61" t="s">
        <v>45</v>
      </c>
      <c r="K757" s="62"/>
      <c r="L757" s="57"/>
    </row>
    <row r="758" spans="1:12" ht="120.75" x14ac:dyDescent="0.25">
      <c r="A758" s="1">
        <v>18</v>
      </c>
      <c r="B758" s="55">
        <f t="shared" si="51"/>
        <v>7</v>
      </c>
      <c r="C758" s="65" t="s">
        <v>941</v>
      </c>
      <c r="D758" s="66" t="s">
        <v>153</v>
      </c>
      <c r="E758" s="67">
        <v>2020</v>
      </c>
      <c r="F758" s="68">
        <v>2020</v>
      </c>
      <c r="G758" s="68">
        <v>2020</v>
      </c>
      <c r="H758" s="68">
        <v>2020</v>
      </c>
      <c r="I758" s="68">
        <v>0</v>
      </c>
      <c r="J758" s="61" t="s">
        <v>29</v>
      </c>
      <c r="K758" s="62"/>
      <c r="L758" s="57" t="s">
        <v>75</v>
      </c>
    </row>
    <row r="759" spans="1:12" ht="51.75" x14ac:dyDescent="0.25">
      <c r="A759" s="1">
        <v>18</v>
      </c>
      <c r="B759" s="55">
        <f t="shared" si="51"/>
        <v>8</v>
      </c>
      <c r="C759" s="65" t="s">
        <v>942</v>
      </c>
      <c r="D759" s="66" t="s">
        <v>95</v>
      </c>
      <c r="E759" s="67">
        <v>400</v>
      </c>
      <c r="F759" s="68">
        <v>400</v>
      </c>
      <c r="G759" s="68">
        <v>400</v>
      </c>
      <c r="H759" s="68">
        <v>0</v>
      </c>
      <c r="I759" s="68">
        <v>0</v>
      </c>
      <c r="J759" s="61" t="s">
        <v>45</v>
      </c>
      <c r="K759" s="62"/>
      <c r="L759" s="57"/>
    </row>
    <row r="760" spans="1:12" ht="69" x14ac:dyDescent="0.25">
      <c r="A760" s="1">
        <v>18</v>
      </c>
      <c r="B760" s="55">
        <f t="shared" si="51"/>
        <v>9</v>
      </c>
      <c r="C760" s="65" t="s">
        <v>943</v>
      </c>
      <c r="D760" s="66" t="s">
        <v>153</v>
      </c>
      <c r="E760" s="67">
        <v>199.9</v>
      </c>
      <c r="F760" s="68">
        <v>199.9</v>
      </c>
      <c r="G760" s="68">
        <v>199.9</v>
      </c>
      <c r="H760" s="68">
        <v>199.9</v>
      </c>
      <c r="I760" s="68">
        <v>0</v>
      </c>
      <c r="J760" s="61" t="s">
        <v>110</v>
      </c>
      <c r="K760" s="62" t="s">
        <v>944</v>
      </c>
      <c r="L760" s="57" t="s">
        <v>75</v>
      </c>
    </row>
    <row r="761" spans="1:12" ht="86.25" x14ac:dyDescent="0.25">
      <c r="A761" s="1">
        <v>18</v>
      </c>
      <c r="B761" s="55">
        <f t="shared" si="51"/>
        <v>10</v>
      </c>
      <c r="C761" s="65" t="s">
        <v>945</v>
      </c>
      <c r="D761" s="66" t="s">
        <v>153</v>
      </c>
      <c r="E761" s="67">
        <v>400</v>
      </c>
      <c r="F761" s="68">
        <v>400</v>
      </c>
      <c r="G761" s="68">
        <v>400</v>
      </c>
      <c r="H761" s="68">
        <v>400</v>
      </c>
      <c r="I761" s="68">
        <v>0</v>
      </c>
      <c r="J761" s="61" t="s">
        <v>45</v>
      </c>
      <c r="K761" s="62"/>
      <c r="L761" s="57" t="s">
        <v>126</v>
      </c>
    </row>
    <row r="762" spans="1:12" ht="86.25" x14ac:dyDescent="0.25">
      <c r="A762" s="1">
        <v>18</v>
      </c>
      <c r="B762" s="55">
        <f t="shared" si="51"/>
        <v>11</v>
      </c>
      <c r="C762" s="65" t="s">
        <v>946</v>
      </c>
      <c r="D762" s="66" t="s">
        <v>153</v>
      </c>
      <c r="E762" s="67">
        <v>100</v>
      </c>
      <c r="F762" s="68">
        <v>100</v>
      </c>
      <c r="G762" s="68">
        <v>100</v>
      </c>
      <c r="H762" s="68">
        <v>100</v>
      </c>
      <c r="I762" s="68">
        <v>0</v>
      </c>
      <c r="J762" s="61" t="s">
        <v>29</v>
      </c>
      <c r="K762" s="62" t="s">
        <v>947</v>
      </c>
      <c r="L762" s="57" t="s">
        <v>948</v>
      </c>
    </row>
    <row r="763" spans="1:12" ht="69" x14ac:dyDescent="0.25">
      <c r="A763" s="1">
        <v>18</v>
      </c>
      <c r="B763" s="64">
        <f t="shared" si="51"/>
        <v>12</v>
      </c>
      <c r="C763" s="65" t="s">
        <v>949</v>
      </c>
      <c r="D763" s="66" t="s">
        <v>95</v>
      </c>
      <c r="E763" s="75">
        <f>11241.487+10000</f>
        <v>21241.487000000001</v>
      </c>
      <c r="F763" s="76">
        <v>21241.487000000001</v>
      </c>
      <c r="G763" s="76">
        <v>21241.487000000001</v>
      </c>
      <c r="H763" s="76">
        <v>19743.798999999999</v>
      </c>
      <c r="I763" s="76">
        <v>0</v>
      </c>
      <c r="J763" s="79" t="s">
        <v>45</v>
      </c>
      <c r="K763" s="80"/>
      <c r="L763" s="125"/>
    </row>
    <row r="764" spans="1:12" ht="69" x14ac:dyDescent="0.25">
      <c r="A764" s="1">
        <v>18</v>
      </c>
      <c r="B764" s="55">
        <f t="shared" si="51"/>
        <v>13</v>
      </c>
      <c r="C764" s="65" t="s">
        <v>950</v>
      </c>
      <c r="D764" s="66" t="s">
        <v>717</v>
      </c>
      <c r="E764" s="75">
        <v>24798.088</v>
      </c>
      <c r="F764" s="76">
        <v>24798.088</v>
      </c>
      <c r="G764" s="76">
        <v>24798.088</v>
      </c>
      <c r="H764" s="76">
        <v>14845.27513</v>
      </c>
      <c r="I764" s="76">
        <v>0</v>
      </c>
      <c r="J764" s="79" t="s">
        <v>45</v>
      </c>
      <c r="K764" s="80"/>
      <c r="L764" s="125"/>
    </row>
    <row r="765" spans="1:12" ht="156" thickBot="1" x14ac:dyDescent="0.3">
      <c r="A765" s="1">
        <v>18</v>
      </c>
      <c r="B765" s="100">
        <f t="shared" si="51"/>
        <v>14</v>
      </c>
      <c r="C765" s="129" t="s">
        <v>951</v>
      </c>
      <c r="D765" s="84" t="s">
        <v>952</v>
      </c>
      <c r="E765" s="85">
        <f>35390-10000</f>
        <v>25390</v>
      </c>
      <c r="F765" s="86">
        <v>25390</v>
      </c>
      <c r="G765" s="86">
        <v>25390</v>
      </c>
      <c r="H765" s="86">
        <v>2394.3093199999998</v>
      </c>
      <c r="I765" s="86">
        <v>0</v>
      </c>
      <c r="J765" s="89" t="s">
        <v>45</v>
      </c>
      <c r="K765" s="90"/>
      <c r="L765" s="123"/>
    </row>
    <row r="766" spans="1:12" ht="15.75" thickBot="1" x14ac:dyDescent="0.3">
      <c r="A766" s="1">
        <v>19</v>
      </c>
      <c r="B766" s="189" t="s">
        <v>953</v>
      </c>
      <c r="C766" s="190"/>
      <c r="D766" s="190"/>
      <c r="E766" s="187"/>
      <c r="F766" s="187"/>
      <c r="G766" s="187"/>
      <c r="H766" s="187"/>
      <c r="I766" s="187"/>
      <c r="J766" s="187"/>
      <c r="K766" s="187"/>
      <c r="L766" s="188"/>
    </row>
    <row r="767" spans="1:12" ht="18.75" x14ac:dyDescent="0.25">
      <c r="A767" s="1">
        <v>19</v>
      </c>
      <c r="B767" s="36"/>
      <c r="C767" s="37" t="s">
        <v>24</v>
      </c>
      <c r="D767" s="130"/>
      <c r="E767" s="39">
        <f t="shared" ref="E767:I767" si="52">SUM(E768,E770:E812)</f>
        <v>98610.469999999987</v>
      </c>
      <c r="F767" s="40">
        <f t="shared" si="52"/>
        <v>98610.469999999987</v>
      </c>
      <c r="G767" s="40">
        <f t="shared" si="52"/>
        <v>98610.469999999987</v>
      </c>
      <c r="H767" s="42">
        <f t="shared" si="52"/>
        <v>95055.645000000019</v>
      </c>
      <c r="I767" s="40">
        <f t="shared" si="52"/>
        <v>493.26900000000006</v>
      </c>
      <c r="J767" s="92"/>
      <c r="K767" s="93"/>
      <c r="L767" s="38"/>
    </row>
    <row r="768" spans="1:12" ht="18.75" x14ac:dyDescent="0.25">
      <c r="A768" s="1">
        <v>19</v>
      </c>
      <c r="B768" s="46"/>
      <c r="C768" s="24" t="s">
        <v>21</v>
      </c>
      <c r="D768" s="131"/>
      <c r="E768" s="48">
        <v>0</v>
      </c>
      <c r="F768" s="49">
        <v>0</v>
      </c>
      <c r="G768" s="49">
        <v>0</v>
      </c>
      <c r="H768" s="50"/>
      <c r="I768" s="49"/>
      <c r="J768" s="95"/>
      <c r="K768" s="25"/>
      <c r="L768" s="47"/>
    </row>
    <row r="769" spans="1:12" ht="16.5" x14ac:dyDescent="0.25">
      <c r="A769" s="1">
        <v>19</v>
      </c>
      <c r="B769" s="46"/>
      <c r="C769" s="54" t="s">
        <v>22</v>
      </c>
      <c r="D769" s="131"/>
      <c r="E769" s="48">
        <f t="shared" ref="E769:I769" si="53">SUM(E770:E812)</f>
        <v>98610.469999999987</v>
      </c>
      <c r="F769" s="49">
        <f t="shared" si="53"/>
        <v>98610.469999999987</v>
      </c>
      <c r="G769" s="49">
        <f t="shared" si="53"/>
        <v>98610.469999999987</v>
      </c>
      <c r="H769" s="106">
        <f t="shared" si="53"/>
        <v>95055.645000000019</v>
      </c>
      <c r="I769" s="49">
        <f t="shared" si="53"/>
        <v>493.26900000000006</v>
      </c>
      <c r="J769" s="95"/>
      <c r="K769" s="25"/>
      <c r="L769" s="47"/>
    </row>
    <row r="770" spans="1:12" ht="86.25" x14ac:dyDescent="0.25">
      <c r="A770" s="1">
        <v>19</v>
      </c>
      <c r="B770" s="55">
        <v>1</v>
      </c>
      <c r="C770" s="65" t="s">
        <v>954</v>
      </c>
      <c r="D770" s="132" t="s">
        <v>550</v>
      </c>
      <c r="E770" s="67">
        <v>475.553</v>
      </c>
      <c r="F770" s="68">
        <v>475.553</v>
      </c>
      <c r="G770" s="68">
        <v>475.553</v>
      </c>
      <c r="H770" s="68">
        <v>408.339</v>
      </c>
      <c r="I770" s="68">
        <v>193.35300000000001</v>
      </c>
      <c r="J770" s="61" t="s">
        <v>29</v>
      </c>
      <c r="K770" s="62" t="s">
        <v>30</v>
      </c>
      <c r="L770" s="57" t="s">
        <v>955</v>
      </c>
    </row>
    <row r="771" spans="1:12" ht="155.25" x14ac:dyDescent="0.25">
      <c r="A771" s="1">
        <v>19</v>
      </c>
      <c r="B771" s="55">
        <f>B770+1</f>
        <v>2</v>
      </c>
      <c r="C771" s="102" t="s">
        <v>956</v>
      </c>
      <c r="D771" s="132" t="s">
        <v>44</v>
      </c>
      <c r="E771" s="67">
        <v>5670.8860000000004</v>
      </c>
      <c r="F771" s="68">
        <v>5670.8860000000004</v>
      </c>
      <c r="G771" s="68">
        <v>5670.8860000000004</v>
      </c>
      <c r="H771" s="68">
        <v>5670.8860000000004</v>
      </c>
      <c r="I771" s="68">
        <v>4.6859999999999999</v>
      </c>
      <c r="J771" s="61" t="s">
        <v>110</v>
      </c>
      <c r="K771" s="62" t="s">
        <v>957</v>
      </c>
      <c r="L771" s="57" t="s">
        <v>57</v>
      </c>
    </row>
    <row r="772" spans="1:12" ht="103.5" x14ac:dyDescent="0.25">
      <c r="A772" s="1">
        <v>19</v>
      </c>
      <c r="B772" s="55">
        <f t="shared" ref="B772:B812" si="54">B771+1</f>
        <v>3</v>
      </c>
      <c r="C772" s="65" t="s">
        <v>958</v>
      </c>
      <c r="D772" s="132" t="s">
        <v>959</v>
      </c>
      <c r="E772" s="67">
        <v>5015.9799999999996</v>
      </c>
      <c r="F772" s="68">
        <v>5015.9799999999996</v>
      </c>
      <c r="G772" s="68">
        <v>5015.9799999999996</v>
      </c>
      <c r="H772" s="68">
        <v>5000.5529999999999</v>
      </c>
      <c r="I772" s="68">
        <v>5.68</v>
      </c>
      <c r="J772" s="61" t="s">
        <v>29</v>
      </c>
      <c r="K772" s="62" t="s">
        <v>30</v>
      </c>
      <c r="L772" s="57" t="s">
        <v>960</v>
      </c>
    </row>
    <row r="773" spans="1:12" ht="172.5" x14ac:dyDescent="0.25">
      <c r="A773" s="1">
        <v>19</v>
      </c>
      <c r="B773" s="55">
        <f t="shared" si="54"/>
        <v>4</v>
      </c>
      <c r="C773" s="102" t="s">
        <v>961</v>
      </c>
      <c r="D773" s="132" t="s">
        <v>962</v>
      </c>
      <c r="E773" s="67">
        <v>3874.3809999999999</v>
      </c>
      <c r="F773" s="68">
        <v>3874.3809999999999</v>
      </c>
      <c r="G773" s="68">
        <v>3874.3809999999999</v>
      </c>
      <c r="H773" s="68">
        <v>3867.989</v>
      </c>
      <c r="I773" s="68">
        <v>148.381</v>
      </c>
      <c r="J773" s="61" t="s">
        <v>45</v>
      </c>
      <c r="K773" s="62"/>
      <c r="L773" s="57"/>
    </row>
    <row r="774" spans="1:12" ht="86.25" x14ac:dyDescent="0.25">
      <c r="A774" s="1">
        <v>19</v>
      </c>
      <c r="B774" s="55">
        <f t="shared" si="54"/>
        <v>5</v>
      </c>
      <c r="C774" s="65" t="s">
        <v>963</v>
      </c>
      <c r="D774" s="132"/>
      <c r="E774" s="67">
        <v>2.84</v>
      </c>
      <c r="F774" s="68">
        <v>2.84</v>
      </c>
      <c r="G774" s="68">
        <v>2.84</v>
      </c>
      <c r="H774" s="68">
        <v>2.84</v>
      </c>
      <c r="I774" s="68">
        <v>2.84</v>
      </c>
      <c r="J774" s="61"/>
      <c r="K774" s="62"/>
      <c r="L774" s="57" t="s">
        <v>33</v>
      </c>
    </row>
    <row r="775" spans="1:12" ht="103.5" x14ac:dyDescent="0.25">
      <c r="A775" s="1">
        <v>19</v>
      </c>
      <c r="B775" s="55">
        <f t="shared" si="54"/>
        <v>6</v>
      </c>
      <c r="C775" s="65" t="s">
        <v>964</v>
      </c>
      <c r="D775" s="132"/>
      <c r="E775" s="67">
        <v>127.81399999999999</v>
      </c>
      <c r="F775" s="68">
        <v>127.81399999999999</v>
      </c>
      <c r="G775" s="68">
        <v>127.81399999999999</v>
      </c>
      <c r="H775" s="68">
        <v>127.81399999999999</v>
      </c>
      <c r="I775" s="68">
        <v>127.81399999999999</v>
      </c>
      <c r="J775" s="61"/>
      <c r="K775" s="62"/>
      <c r="L775" s="57" t="s">
        <v>33</v>
      </c>
    </row>
    <row r="776" spans="1:12" ht="69" x14ac:dyDescent="0.25">
      <c r="A776" s="1">
        <v>19</v>
      </c>
      <c r="B776" s="55">
        <f t="shared" si="54"/>
        <v>7</v>
      </c>
      <c r="C776" s="65" t="s">
        <v>965</v>
      </c>
      <c r="D776" s="132"/>
      <c r="E776" s="67">
        <v>1.42</v>
      </c>
      <c r="F776" s="68">
        <v>1.42</v>
      </c>
      <c r="G776" s="68">
        <v>1.42</v>
      </c>
      <c r="H776" s="68">
        <v>1.42</v>
      </c>
      <c r="I776" s="68">
        <v>1.42</v>
      </c>
      <c r="J776" s="61"/>
      <c r="K776" s="62"/>
      <c r="L776" s="57" t="s">
        <v>33</v>
      </c>
    </row>
    <row r="777" spans="1:12" ht="69" x14ac:dyDescent="0.25">
      <c r="A777" s="1">
        <v>19</v>
      </c>
      <c r="B777" s="55">
        <f t="shared" si="54"/>
        <v>8</v>
      </c>
      <c r="C777" s="65" t="s">
        <v>966</v>
      </c>
      <c r="D777" s="132"/>
      <c r="E777" s="67">
        <v>3.72</v>
      </c>
      <c r="F777" s="68">
        <v>3.72</v>
      </c>
      <c r="G777" s="68">
        <v>3.72</v>
      </c>
      <c r="H777" s="68">
        <v>3.72</v>
      </c>
      <c r="I777" s="68">
        <v>3.72</v>
      </c>
      <c r="J777" s="61"/>
      <c r="K777" s="62"/>
      <c r="L777" s="57" t="s">
        <v>33</v>
      </c>
    </row>
    <row r="778" spans="1:12" ht="103.5" x14ac:dyDescent="0.25">
      <c r="A778" s="1">
        <v>19</v>
      </c>
      <c r="B778" s="55">
        <f t="shared" si="54"/>
        <v>9</v>
      </c>
      <c r="C778" s="65" t="s">
        <v>967</v>
      </c>
      <c r="D778" s="132"/>
      <c r="E778" s="67">
        <v>5.375</v>
      </c>
      <c r="F778" s="68">
        <v>5.375</v>
      </c>
      <c r="G778" s="68">
        <v>5.375</v>
      </c>
      <c r="H778" s="68">
        <v>5.375</v>
      </c>
      <c r="I778" s="68">
        <v>5.375</v>
      </c>
      <c r="J778" s="61"/>
      <c r="K778" s="62"/>
      <c r="L778" s="57" t="s">
        <v>33</v>
      </c>
    </row>
    <row r="779" spans="1:12" ht="103.5" x14ac:dyDescent="0.25">
      <c r="A779" s="1">
        <v>19</v>
      </c>
      <c r="B779" s="55">
        <f t="shared" si="54"/>
        <v>10</v>
      </c>
      <c r="C779" s="65" t="s">
        <v>968</v>
      </c>
      <c r="D779" s="132" t="s">
        <v>95</v>
      </c>
      <c r="E779" s="67">
        <v>5000</v>
      </c>
      <c r="F779" s="68">
        <v>5000</v>
      </c>
      <c r="G779" s="68">
        <v>5000</v>
      </c>
      <c r="H779" s="68">
        <v>3299.973</v>
      </c>
      <c r="I779" s="68">
        <v>0</v>
      </c>
      <c r="J779" s="61" t="s">
        <v>45</v>
      </c>
      <c r="K779" s="62"/>
      <c r="L779" s="57"/>
    </row>
    <row r="780" spans="1:12" ht="86.25" x14ac:dyDescent="0.25">
      <c r="A780" s="1">
        <v>19</v>
      </c>
      <c r="B780" s="55">
        <f t="shared" si="54"/>
        <v>11</v>
      </c>
      <c r="C780" s="65" t="s">
        <v>969</v>
      </c>
      <c r="D780" s="132" t="s">
        <v>534</v>
      </c>
      <c r="E780" s="67">
        <v>629.70000000000005</v>
      </c>
      <c r="F780" s="68">
        <v>629.70000000000005</v>
      </c>
      <c r="G780" s="68">
        <v>629.70000000000005</v>
      </c>
      <c r="H780" s="68">
        <v>629.70000000000005</v>
      </c>
      <c r="I780" s="68">
        <v>0</v>
      </c>
      <c r="J780" s="61" t="s">
        <v>29</v>
      </c>
      <c r="K780" s="62" t="s">
        <v>30</v>
      </c>
      <c r="L780" s="57" t="s">
        <v>970</v>
      </c>
    </row>
    <row r="781" spans="1:12" ht="69" x14ac:dyDescent="0.25">
      <c r="A781" s="1">
        <v>19</v>
      </c>
      <c r="B781" s="55">
        <f t="shared" si="54"/>
        <v>12</v>
      </c>
      <c r="C781" s="65" t="s">
        <v>971</v>
      </c>
      <c r="D781" s="132" t="s">
        <v>153</v>
      </c>
      <c r="E781" s="67">
        <v>744.5</v>
      </c>
      <c r="F781" s="68">
        <v>744.5</v>
      </c>
      <c r="G781" s="68">
        <v>744.5</v>
      </c>
      <c r="H781" s="68">
        <v>738.87</v>
      </c>
      <c r="I781" s="68">
        <v>0</v>
      </c>
      <c r="J781" s="61" t="s">
        <v>110</v>
      </c>
      <c r="K781" s="62" t="s">
        <v>106</v>
      </c>
      <c r="L781" s="57" t="s">
        <v>57</v>
      </c>
    </row>
    <row r="782" spans="1:12" ht="69" x14ac:dyDescent="0.25">
      <c r="A782" s="1">
        <v>19</v>
      </c>
      <c r="B782" s="55">
        <f t="shared" si="54"/>
        <v>13</v>
      </c>
      <c r="C782" s="97" t="s">
        <v>972</v>
      </c>
      <c r="D782" s="132" t="s">
        <v>973</v>
      </c>
      <c r="E782" s="67">
        <v>2601.5439999999999</v>
      </c>
      <c r="F782" s="68">
        <v>2601.5439999999999</v>
      </c>
      <c r="G782" s="68">
        <v>2601.5439999999999</v>
      </c>
      <c r="H782" s="68">
        <v>2593.8229999999999</v>
      </c>
      <c r="I782" s="68">
        <v>0</v>
      </c>
      <c r="J782" s="61" t="s">
        <v>45</v>
      </c>
      <c r="K782" s="62"/>
      <c r="L782" s="57"/>
    </row>
    <row r="783" spans="1:12" ht="86.25" x14ac:dyDescent="0.25">
      <c r="A783" s="1">
        <v>19</v>
      </c>
      <c r="B783" s="55">
        <f t="shared" si="54"/>
        <v>14</v>
      </c>
      <c r="C783" s="97" t="s">
        <v>974</v>
      </c>
      <c r="D783" s="132" t="s">
        <v>975</v>
      </c>
      <c r="E783" s="67">
        <v>74.400000000000006</v>
      </c>
      <c r="F783" s="68">
        <v>74.400000000000006</v>
      </c>
      <c r="G783" s="68">
        <v>74.400000000000006</v>
      </c>
      <c r="H783" s="68">
        <v>74.024000000000001</v>
      </c>
      <c r="I783" s="68">
        <v>0</v>
      </c>
      <c r="J783" s="61" t="s">
        <v>29</v>
      </c>
      <c r="K783" s="62" t="s">
        <v>30</v>
      </c>
      <c r="L783" s="57" t="s">
        <v>976</v>
      </c>
    </row>
    <row r="784" spans="1:12" ht="86.25" x14ac:dyDescent="0.25">
      <c r="A784" s="1">
        <v>19</v>
      </c>
      <c r="B784" s="55">
        <f t="shared" si="54"/>
        <v>15</v>
      </c>
      <c r="C784" s="97" t="s">
        <v>977</v>
      </c>
      <c r="D784" s="132" t="s">
        <v>975</v>
      </c>
      <c r="E784" s="67">
        <v>74.400000000000006</v>
      </c>
      <c r="F784" s="68">
        <v>74.400000000000006</v>
      </c>
      <c r="G784" s="68">
        <v>74.400000000000006</v>
      </c>
      <c r="H784" s="68">
        <v>74.400000000000006</v>
      </c>
      <c r="I784" s="68">
        <v>0</v>
      </c>
      <c r="J784" s="61" t="s">
        <v>29</v>
      </c>
      <c r="K784" s="62" t="s">
        <v>30</v>
      </c>
      <c r="L784" s="57" t="s">
        <v>978</v>
      </c>
    </row>
    <row r="785" spans="1:12" ht="51.75" x14ac:dyDescent="0.25">
      <c r="A785" s="1">
        <v>19</v>
      </c>
      <c r="B785" s="55">
        <f t="shared" si="54"/>
        <v>16</v>
      </c>
      <c r="C785" s="97" t="s">
        <v>979</v>
      </c>
      <c r="D785" s="132" t="s">
        <v>28</v>
      </c>
      <c r="E785" s="67">
        <v>2572.6</v>
      </c>
      <c r="F785" s="68">
        <v>2572.6</v>
      </c>
      <c r="G785" s="68">
        <v>2572.6</v>
      </c>
      <c r="H785" s="68">
        <v>2240.902</v>
      </c>
      <c r="I785" s="68">
        <v>0</v>
      </c>
      <c r="J785" s="61" t="s">
        <v>29</v>
      </c>
      <c r="K785" s="62" t="s">
        <v>30</v>
      </c>
      <c r="L785" s="57" t="s">
        <v>980</v>
      </c>
    </row>
    <row r="786" spans="1:12" ht="51.75" x14ac:dyDescent="0.25">
      <c r="A786" s="1">
        <v>19</v>
      </c>
      <c r="B786" s="55">
        <f t="shared" si="54"/>
        <v>17</v>
      </c>
      <c r="C786" s="97" t="s">
        <v>981</v>
      </c>
      <c r="D786" s="132" t="s">
        <v>982</v>
      </c>
      <c r="E786" s="67">
        <v>1759.5</v>
      </c>
      <c r="F786" s="68">
        <v>1759.5</v>
      </c>
      <c r="G786" s="68">
        <v>1759.5</v>
      </c>
      <c r="H786" s="68">
        <v>1754.7339999999999</v>
      </c>
      <c r="I786" s="68">
        <v>0</v>
      </c>
      <c r="J786" s="61" t="s">
        <v>110</v>
      </c>
      <c r="K786" s="62" t="s">
        <v>106</v>
      </c>
      <c r="L786" s="57" t="s">
        <v>57</v>
      </c>
    </row>
    <row r="787" spans="1:12" ht="120.75" x14ac:dyDescent="0.25">
      <c r="A787" s="1">
        <v>19</v>
      </c>
      <c r="B787" s="55">
        <f t="shared" si="54"/>
        <v>18</v>
      </c>
      <c r="C787" s="97" t="s">
        <v>983</v>
      </c>
      <c r="D787" s="132" t="s">
        <v>37</v>
      </c>
      <c r="E787" s="67">
        <v>4000</v>
      </c>
      <c r="F787" s="68">
        <v>4000</v>
      </c>
      <c r="G787" s="68">
        <v>4000</v>
      </c>
      <c r="H787" s="68">
        <v>3807.107</v>
      </c>
      <c r="I787" s="68">
        <v>0</v>
      </c>
      <c r="J787" s="61" t="s">
        <v>29</v>
      </c>
      <c r="K787" s="62" t="s">
        <v>30</v>
      </c>
      <c r="L787" s="57" t="s">
        <v>984</v>
      </c>
    </row>
    <row r="788" spans="1:12" ht="69" x14ac:dyDescent="0.25">
      <c r="A788" s="1">
        <v>19</v>
      </c>
      <c r="B788" s="55">
        <f t="shared" si="54"/>
        <v>19</v>
      </c>
      <c r="C788" s="97" t="s">
        <v>985</v>
      </c>
      <c r="D788" s="132" t="s">
        <v>986</v>
      </c>
      <c r="E788" s="67">
        <v>1507</v>
      </c>
      <c r="F788" s="68">
        <v>1507</v>
      </c>
      <c r="G788" s="68">
        <v>1507</v>
      </c>
      <c r="H788" s="68">
        <v>1507</v>
      </c>
      <c r="I788" s="68">
        <v>0</v>
      </c>
      <c r="J788" s="61" t="s">
        <v>110</v>
      </c>
      <c r="K788" s="62" t="s">
        <v>108</v>
      </c>
      <c r="L788" s="57" t="s">
        <v>57</v>
      </c>
    </row>
    <row r="789" spans="1:12" ht="69" x14ac:dyDescent="0.25">
      <c r="A789" s="1">
        <v>19</v>
      </c>
      <c r="B789" s="55">
        <f t="shared" si="54"/>
        <v>20</v>
      </c>
      <c r="C789" s="97" t="s">
        <v>987</v>
      </c>
      <c r="D789" s="132" t="s">
        <v>988</v>
      </c>
      <c r="E789" s="67">
        <v>3423</v>
      </c>
      <c r="F789" s="69">
        <v>3423</v>
      </c>
      <c r="G789" s="68">
        <v>3423</v>
      </c>
      <c r="H789" s="68">
        <v>3423</v>
      </c>
      <c r="I789" s="68">
        <v>0</v>
      </c>
      <c r="J789" s="61" t="s">
        <v>45</v>
      </c>
      <c r="K789" s="62"/>
      <c r="L789" s="57"/>
    </row>
    <row r="790" spans="1:12" ht="69" x14ac:dyDescent="0.25">
      <c r="A790" s="1">
        <v>19</v>
      </c>
      <c r="B790" s="55">
        <f t="shared" si="54"/>
        <v>21</v>
      </c>
      <c r="C790" s="97" t="s">
        <v>989</v>
      </c>
      <c r="D790" s="132" t="s">
        <v>975</v>
      </c>
      <c r="E790" s="67">
        <v>428</v>
      </c>
      <c r="F790" s="68">
        <v>428</v>
      </c>
      <c r="G790" s="68">
        <v>428</v>
      </c>
      <c r="H790" s="68">
        <v>428</v>
      </c>
      <c r="I790" s="68">
        <v>0</v>
      </c>
      <c r="J790" s="61" t="s">
        <v>29</v>
      </c>
      <c r="K790" s="62" t="s">
        <v>990</v>
      </c>
      <c r="L790" s="57" t="s">
        <v>991</v>
      </c>
    </row>
    <row r="791" spans="1:12" ht="51.75" x14ac:dyDescent="0.25">
      <c r="A791" s="1">
        <v>19</v>
      </c>
      <c r="B791" s="55">
        <f t="shared" si="54"/>
        <v>22</v>
      </c>
      <c r="C791" s="97" t="s">
        <v>992</v>
      </c>
      <c r="D791" s="132" t="s">
        <v>95</v>
      </c>
      <c r="E791" s="67">
        <v>2333.9</v>
      </c>
      <c r="F791" s="68">
        <v>2333.9</v>
      </c>
      <c r="G791" s="68">
        <v>2333.9</v>
      </c>
      <c r="H791" s="68">
        <v>2333.9</v>
      </c>
      <c r="I791" s="68">
        <v>0</v>
      </c>
      <c r="J791" s="61" t="s">
        <v>45</v>
      </c>
      <c r="K791" s="62"/>
      <c r="L791" s="57"/>
    </row>
    <row r="792" spans="1:12" ht="69" x14ac:dyDescent="0.25">
      <c r="A792" s="1">
        <v>19</v>
      </c>
      <c r="B792" s="55">
        <f t="shared" si="54"/>
        <v>23</v>
      </c>
      <c r="C792" s="97" t="s">
        <v>993</v>
      </c>
      <c r="D792" s="132" t="s">
        <v>95</v>
      </c>
      <c r="E792" s="67">
        <v>4123.1000000000004</v>
      </c>
      <c r="F792" s="68">
        <v>4123.1000000000004</v>
      </c>
      <c r="G792" s="68">
        <v>4123.1000000000004</v>
      </c>
      <c r="H792" s="68">
        <v>4119.7150000000001</v>
      </c>
      <c r="I792" s="68">
        <v>0</v>
      </c>
      <c r="J792" s="61" t="s">
        <v>45</v>
      </c>
      <c r="K792" s="62"/>
      <c r="L792" s="57"/>
    </row>
    <row r="793" spans="1:12" ht="86.25" x14ac:dyDescent="0.25">
      <c r="A793" s="1">
        <v>19</v>
      </c>
      <c r="B793" s="55">
        <f t="shared" si="54"/>
        <v>24</v>
      </c>
      <c r="C793" s="97" t="s">
        <v>994</v>
      </c>
      <c r="D793" s="132" t="s">
        <v>28</v>
      </c>
      <c r="E793" s="67">
        <v>417.9</v>
      </c>
      <c r="F793" s="68">
        <v>417.9</v>
      </c>
      <c r="G793" s="68">
        <v>417.9</v>
      </c>
      <c r="H793" s="68">
        <v>315.40300000000002</v>
      </c>
      <c r="I793" s="68">
        <v>0</v>
      </c>
      <c r="J793" s="61" t="s">
        <v>29</v>
      </c>
      <c r="K793" s="62" t="s">
        <v>30</v>
      </c>
      <c r="L793" s="57" t="s">
        <v>995</v>
      </c>
    </row>
    <row r="794" spans="1:12" ht="86.25" x14ac:dyDescent="0.25">
      <c r="A794" s="1">
        <v>19</v>
      </c>
      <c r="B794" s="55">
        <f t="shared" si="54"/>
        <v>25</v>
      </c>
      <c r="C794" s="65" t="s">
        <v>996</v>
      </c>
      <c r="D794" s="132" t="s">
        <v>975</v>
      </c>
      <c r="E794" s="67">
        <v>694.1</v>
      </c>
      <c r="F794" s="68">
        <v>694.1</v>
      </c>
      <c r="G794" s="68">
        <v>694.1</v>
      </c>
      <c r="H794" s="68">
        <v>694.09900000000005</v>
      </c>
      <c r="I794" s="68">
        <v>0</v>
      </c>
      <c r="J794" s="61" t="s">
        <v>29</v>
      </c>
      <c r="K794" s="62" t="s">
        <v>30</v>
      </c>
      <c r="L794" s="57" t="s">
        <v>997</v>
      </c>
    </row>
    <row r="795" spans="1:12" ht="69" x14ac:dyDescent="0.25">
      <c r="A795" s="1">
        <v>19</v>
      </c>
      <c r="B795" s="55">
        <f t="shared" si="54"/>
        <v>26</v>
      </c>
      <c r="C795" s="65" t="s">
        <v>998</v>
      </c>
      <c r="D795" s="132" t="s">
        <v>69</v>
      </c>
      <c r="E795" s="67">
        <v>1078.5</v>
      </c>
      <c r="F795" s="68">
        <v>1078.5</v>
      </c>
      <c r="G795" s="68">
        <v>1078.5</v>
      </c>
      <c r="H795" s="68">
        <v>1073.402</v>
      </c>
      <c r="I795" s="68">
        <v>0</v>
      </c>
      <c r="J795" s="61" t="s">
        <v>29</v>
      </c>
      <c r="K795" s="62" t="s">
        <v>30</v>
      </c>
      <c r="L795" s="57" t="s">
        <v>999</v>
      </c>
    </row>
    <row r="796" spans="1:12" ht="69" x14ac:dyDescent="0.25">
      <c r="A796" s="1">
        <v>19</v>
      </c>
      <c r="B796" s="64">
        <f t="shared" si="54"/>
        <v>27</v>
      </c>
      <c r="C796" s="65" t="s">
        <v>1000</v>
      </c>
      <c r="D796" s="132" t="s">
        <v>95</v>
      </c>
      <c r="E796" s="67">
        <f>2252+1843.97</f>
        <v>4095.9700000000003</v>
      </c>
      <c r="F796" s="68">
        <v>4095.97</v>
      </c>
      <c r="G796" s="68">
        <v>4095.97</v>
      </c>
      <c r="H796" s="68">
        <v>3330.971</v>
      </c>
      <c r="I796" s="68">
        <v>0</v>
      </c>
      <c r="J796" s="61" t="s">
        <v>45</v>
      </c>
      <c r="K796" s="62"/>
      <c r="L796" s="57"/>
    </row>
    <row r="797" spans="1:12" ht="86.25" x14ac:dyDescent="0.25">
      <c r="A797" s="1">
        <v>19</v>
      </c>
      <c r="B797" s="55">
        <f t="shared" si="54"/>
        <v>28</v>
      </c>
      <c r="C797" s="65" t="s">
        <v>1001</v>
      </c>
      <c r="D797" s="132" t="s">
        <v>975</v>
      </c>
      <c r="E797" s="67">
        <v>266.80700000000002</v>
      </c>
      <c r="F797" s="68">
        <v>266.80700000000002</v>
      </c>
      <c r="G797" s="68">
        <v>266.80700000000002</v>
      </c>
      <c r="H797" s="68">
        <v>266.80700000000002</v>
      </c>
      <c r="I797" s="68">
        <v>0</v>
      </c>
      <c r="J797" s="61" t="s">
        <v>29</v>
      </c>
      <c r="K797" s="62" t="s">
        <v>30</v>
      </c>
      <c r="L797" s="57" t="s">
        <v>1002</v>
      </c>
    </row>
    <row r="798" spans="1:12" ht="51.75" x14ac:dyDescent="0.25">
      <c r="A798" s="1">
        <v>19</v>
      </c>
      <c r="B798" s="55">
        <f t="shared" si="54"/>
        <v>29</v>
      </c>
      <c r="C798" s="65" t="s">
        <v>1003</v>
      </c>
      <c r="D798" s="132" t="s">
        <v>37</v>
      </c>
      <c r="E798" s="67">
        <v>1060.5999999999999</v>
      </c>
      <c r="F798" s="68">
        <v>1060.5999999999999</v>
      </c>
      <c r="G798" s="68">
        <v>1060.5999999999999</v>
      </c>
      <c r="H798" s="68">
        <v>1060.5999999999999</v>
      </c>
      <c r="I798" s="68">
        <v>0</v>
      </c>
      <c r="J798" s="61" t="s">
        <v>110</v>
      </c>
      <c r="K798" s="62" t="s">
        <v>1004</v>
      </c>
      <c r="L798" s="57" t="s">
        <v>57</v>
      </c>
    </row>
    <row r="799" spans="1:12" ht="103.5" x14ac:dyDescent="0.25">
      <c r="A799" s="1">
        <v>19</v>
      </c>
      <c r="B799" s="55">
        <f t="shared" si="54"/>
        <v>30</v>
      </c>
      <c r="C799" s="65" t="s">
        <v>1005</v>
      </c>
      <c r="D799" s="132" t="s">
        <v>28</v>
      </c>
      <c r="E799" s="67">
        <v>1475.4</v>
      </c>
      <c r="F799" s="68">
        <v>1475.4</v>
      </c>
      <c r="G799" s="68">
        <v>1475.4</v>
      </c>
      <c r="H799" s="68">
        <v>1442.566</v>
      </c>
      <c r="I799" s="68">
        <v>0</v>
      </c>
      <c r="J799" s="61" t="s">
        <v>29</v>
      </c>
      <c r="K799" s="62" t="s">
        <v>30</v>
      </c>
      <c r="L799" s="57" t="s">
        <v>1006</v>
      </c>
    </row>
    <row r="800" spans="1:12" ht="51.75" x14ac:dyDescent="0.25">
      <c r="A800" s="1">
        <v>19</v>
      </c>
      <c r="B800" s="55">
        <f t="shared" si="54"/>
        <v>31</v>
      </c>
      <c r="C800" s="65" t="s">
        <v>1007</v>
      </c>
      <c r="D800" s="132" t="s">
        <v>534</v>
      </c>
      <c r="E800" s="67">
        <v>1106.2449999999999</v>
      </c>
      <c r="F800" s="68">
        <v>1106.2449999999999</v>
      </c>
      <c r="G800" s="68">
        <v>1106.2449999999999</v>
      </c>
      <c r="H800" s="68">
        <v>1106.2449999999999</v>
      </c>
      <c r="I800" s="68">
        <v>0</v>
      </c>
      <c r="J800" s="61" t="s">
        <v>29</v>
      </c>
      <c r="K800" s="62" t="s">
        <v>30</v>
      </c>
      <c r="L800" s="57" t="s">
        <v>1008</v>
      </c>
    </row>
    <row r="801" spans="1:12" ht="69" x14ac:dyDescent="0.25">
      <c r="A801" s="1">
        <v>19</v>
      </c>
      <c r="B801" s="55">
        <f t="shared" si="54"/>
        <v>32</v>
      </c>
      <c r="C801" s="65" t="s">
        <v>1009</v>
      </c>
      <c r="D801" s="132" t="s">
        <v>975</v>
      </c>
      <c r="E801" s="67">
        <v>260</v>
      </c>
      <c r="F801" s="68">
        <v>260</v>
      </c>
      <c r="G801" s="68">
        <v>260</v>
      </c>
      <c r="H801" s="68">
        <v>260</v>
      </c>
      <c r="I801" s="68">
        <v>0</v>
      </c>
      <c r="J801" s="61" t="s">
        <v>29</v>
      </c>
      <c r="K801" s="62" t="s">
        <v>1010</v>
      </c>
      <c r="L801" s="57" t="s">
        <v>1011</v>
      </c>
    </row>
    <row r="802" spans="1:12" ht="69" x14ac:dyDescent="0.25">
      <c r="A802" s="1">
        <v>19</v>
      </c>
      <c r="B802" s="55">
        <f t="shared" si="54"/>
        <v>33</v>
      </c>
      <c r="C802" s="65" t="s">
        <v>1012</v>
      </c>
      <c r="D802" s="132" t="s">
        <v>975</v>
      </c>
      <c r="E802" s="67">
        <v>215</v>
      </c>
      <c r="F802" s="68">
        <v>215</v>
      </c>
      <c r="G802" s="68">
        <v>215</v>
      </c>
      <c r="H802" s="68">
        <v>215</v>
      </c>
      <c r="I802" s="68">
        <v>0</v>
      </c>
      <c r="J802" s="61" t="s">
        <v>29</v>
      </c>
      <c r="K802" s="62" t="s">
        <v>1010</v>
      </c>
      <c r="L802" s="57" t="s">
        <v>1013</v>
      </c>
    </row>
    <row r="803" spans="1:12" ht="103.5" x14ac:dyDescent="0.25">
      <c r="A803" s="1">
        <v>19</v>
      </c>
      <c r="B803" s="55">
        <f t="shared" si="54"/>
        <v>34</v>
      </c>
      <c r="C803" s="65" t="s">
        <v>1014</v>
      </c>
      <c r="D803" s="132" t="s">
        <v>975</v>
      </c>
      <c r="E803" s="67">
        <v>484</v>
      </c>
      <c r="F803" s="68">
        <v>484</v>
      </c>
      <c r="G803" s="68">
        <v>484</v>
      </c>
      <c r="H803" s="68">
        <v>484</v>
      </c>
      <c r="I803" s="68">
        <v>0</v>
      </c>
      <c r="J803" s="61" t="s">
        <v>29</v>
      </c>
      <c r="K803" s="62" t="s">
        <v>1015</v>
      </c>
      <c r="L803" s="57" t="s">
        <v>1016</v>
      </c>
    </row>
    <row r="804" spans="1:12" ht="86.25" x14ac:dyDescent="0.25">
      <c r="A804" s="1">
        <v>19</v>
      </c>
      <c r="B804" s="64">
        <f t="shared" si="54"/>
        <v>35</v>
      </c>
      <c r="C804" s="65" t="s">
        <v>1017</v>
      </c>
      <c r="D804" s="132" t="s">
        <v>975</v>
      </c>
      <c r="E804" s="67">
        <f>771.6-4.885</f>
        <v>766.71500000000003</v>
      </c>
      <c r="F804" s="68">
        <v>766.71500000000003</v>
      </c>
      <c r="G804" s="68">
        <v>766.71500000000003</v>
      </c>
      <c r="H804" s="68">
        <v>691.36800000000005</v>
      </c>
      <c r="I804" s="68">
        <v>0</v>
      </c>
      <c r="J804" s="61" t="s">
        <v>110</v>
      </c>
      <c r="K804" s="62" t="s">
        <v>111</v>
      </c>
      <c r="L804" s="57" t="s">
        <v>57</v>
      </c>
    </row>
    <row r="805" spans="1:12" ht="69" x14ac:dyDescent="0.25">
      <c r="A805" s="1">
        <v>19</v>
      </c>
      <c r="B805" s="55">
        <f t="shared" si="54"/>
        <v>36</v>
      </c>
      <c r="C805" s="65" t="s">
        <v>1018</v>
      </c>
      <c r="D805" s="132" t="s">
        <v>975</v>
      </c>
      <c r="E805" s="67">
        <v>1079.2</v>
      </c>
      <c r="F805" s="68">
        <v>1079.2</v>
      </c>
      <c r="G805" s="68">
        <v>1079.2</v>
      </c>
      <c r="H805" s="68">
        <v>1078.885</v>
      </c>
      <c r="I805" s="68">
        <v>0</v>
      </c>
      <c r="J805" s="61" t="s">
        <v>29</v>
      </c>
      <c r="K805" s="62" t="s">
        <v>30</v>
      </c>
      <c r="L805" s="57" t="s">
        <v>1019</v>
      </c>
    </row>
    <row r="806" spans="1:12" ht="69" x14ac:dyDescent="0.25">
      <c r="A806" s="1">
        <v>19</v>
      </c>
      <c r="B806" s="55">
        <f t="shared" si="54"/>
        <v>37</v>
      </c>
      <c r="C806" s="65" t="s">
        <v>1020</v>
      </c>
      <c r="D806" s="132" t="s">
        <v>975</v>
      </c>
      <c r="E806" s="67">
        <v>950.9</v>
      </c>
      <c r="F806" s="68">
        <v>950.9</v>
      </c>
      <c r="G806" s="68">
        <v>950.9</v>
      </c>
      <c r="H806" s="68">
        <v>946.75</v>
      </c>
      <c r="I806" s="68">
        <v>0</v>
      </c>
      <c r="J806" s="61" t="s">
        <v>29</v>
      </c>
      <c r="K806" s="62" t="s">
        <v>30</v>
      </c>
      <c r="L806" s="57" t="s">
        <v>1021</v>
      </c>
    </row>
    <row r="807" spans="1:12" ht="69" x14ac:dyDescent="0.25">
      <c r="A807" s="1">
        <v>19</v>
      </c>
      <c r="B807" s="55">
        <f t="shared" si="54"/>
        <v>38</v>
      </c>
      <c r="C807" s="65" t="s">
        <v>1022</v>
      </c>
      <c r="D807" s="132" t="s">
        <v>975</v>
      </c>
      <c r="E807" s="67">
        <v>1076.5999999999999</v>
      </c>
      <c r="F807" s="68">
        <v>1076.5999999999999</v>
      </c>
      <c r="G807" s="68">
        <v>1076.5999999999999</v>
      </c>
      <c r="H807" s="68">
        <v>1073.7349999999999</v>
      </c>
      <c r="I807" s="68">
        <v>0</v>
      </c>
      <c r="J807" s="61" t="s">
        <v>29</v>
      </c>
      <c r="K807" s="62" t="s">
        <v>30</v>
      </c>
      <c r="L807" s="57" t="s">
        <v>1023</v>
      </c>
    </row>
    <row r="808" spans="1:12" ht="69" x14ac:dyDescent="0.25">
      <c r="A808" s="1">
        <v>19</v>
      </c>
      <c r="B808" s="55">
        <f t="shared" si="54"/>
        <v>39</v>
      </c>
      <c r="C808" s="65" t="s">
        <v>1024</v>
      </c>
      <c r="D808" s="132" t="s">
        <v>69</v>
      </c>
      <c r="E808" s="67">
        <v>1068.5</v>
      </c>
      <c r="F808" s="68">
        <v>1068.5</v>
      </c>
      <c r="G808" s="68">
        <v>1068.5</v>
      </c>
      <c r="H808" s="68">
        <v>1061.192</v>
      </c>
      <c r="I808" s="68">
        <v>0</v>
      </c>
      <c r="J808" s="61" t="s">
        <v>29</v>
      </c>
      <c r="K808" s="62" t="s">
        <v>30</v>
      </c>
      <c r="L808" s="57" t="s">
        <v>1025</v>
      </c>
    </row>
    <row r="809" spans="1:12" ht="51.75" x14ac:dyDescent="0.25">
      <c r="A809" s="1">
        <v>19</v>
      </c>
      <c r="B809" s="55">
        <f t="shared" si="54"/>
        <v>40</v>
      </c>
      <c r="C809" s="65" t="s">
        <v>1026</v>
      </c>
      <c r="D809" s="132" t="s">
        <v>975</v>
      </c>
      <c r="E809" s="67">
        <v>1210</v>
      </c>
      <c r="F809" s="68">
        <v>1210</v>
      </c>
      <c r="G809" s="68">
        <v>1210</v>
      </c>
      <c r="H809" s="68">
        <v>1210</v>
      </c>
      <c r="I809" s="68">
        <v>0</v>
      </c>
      <c r="J809" s="61" t="s">
        <v>29</v>
      </c>
      <c r="K809" s="62" t="s">
        <v>30</v>
      </c>
      <c r="L809" s="57" t="s">
        <v>1027</v>
      </c>
    </row>
    <row r="810" spans="1:12" ht="120.75" x14ac:dyDescent="0.25">
      <c r="A810" s="1">
        <v>19</v>
      </c>
      <c r="B810" s="55">
        <f t="shared" si="54"/>
        <v>41</v>
      </c>
      <c r="C810" s="65" t="s">
        <v>1028</v>
      </c>
      <c r="D810" s="132" t="s">
        <v>717</v>
      </c>
      <c r="E810" s="67">
        <v>17874</v>
      </c>
      <c r="F810" s="68">
        <v>17874</v>
      </c>
      <c r="G810" s="68">
        <v>17874</v>
      </c>
      <c r="H810" s="68">
        <v>17874</v>
      </c>
      <c r="I810" s="68">
        <v>0</v>
      </c>
      <c r="J810" s="61" t="s">
        <v>45</v>
      </c>
      <c r="K810" s="62"/>
      <c r="L810" s="57"/>
    </row>
    <row r="811" spans="1:12" ht="69" x14ac:dyDescent="0.25">
      <c r="A811" s="1">
        <v>19</v>
      </c>
      <c r="B811" s="55">
        <f t="shared" si="54"/>
        <v>42</v>
      </c>
      <c r="C811" s="65" t="s">
        <v>1029</v>
      </c>
      <c r="D811" s="132" t="s">
        <v>37</v>
      </c>
      <c r="E811" s="67">
        <v>4717.3999999999996</v>
      </c>
      <c r="F811" s="68">
        <v>4717.3999999999996</v>
      </c>
      <c r="G811" s="68">
        <v>4717.3999999999996</v>
      </c>
      <c r="H811" s="68">
        <v>4717.3999999999996</v>
      </c>
      <c r="I811" s="68">
        <v>0</v>
      </c>
      <c r="J811" s="61" t="s">
        <v>29</v>
      </c>
      <c r="K811" s="62" t="s">
        <v>30</v>
      </c>
      <c r="L811" s="57" t="s">
        <v>1030</v>
      </c>
    </row>
    <row r="812" spans="1:12" ht="45.75" thickBot="1" x14ac:dyDescent="0.3">
      <c r="A812" s="1">
        <v>19</v>
      </c>
      <c r="B812" s="82">
        <f t="shared" si="54"/>
        <v>43</v>
      </c>
      <c r="C812" s="83" t="s">
        <v>1031</v>
      </c>
      <c r="D812" s="133" t="s">
        <v>975</v>
      </c>
      <c r="E812" s="85">
        <v>14263.02</v>
      </c>
      <c r="F812" s="86">
        <v>14263.02</v>
      </c>
      <c r="G812" s="86">
        <v>14263.02</v>
      </c>
      <c r="H812" s="86">
        <v>14039.138000000001</v>
      </c>
      <c r="I812" s="86">
        <v>0</v>
      </c>
      <c r="J812" s="89" t="s">
        <v>29</v>
      </c>
      <c r="K812" s="90" t="s">
        <v>30</v>
      </c>
      <c r="L812" s="123" t="s">
        <v>1032</v>
      </c>
    </row>
    <row r="813" spans="1:12" ht="15.75" thickBot="1" x14ac:dyDescent="0.3">
      <c r="A813" s="1">
        <v>20</v>
      </c>
      <c r="B813" s="192" t="s">
        <v>1033</v>
      </c>
      <c r="C813" s="193"/>
      <c r="D813" s="193"/>
      <c r="E813" s="193"/>
      <c r="F813" s="193"/>
      <c r="G813" s="193"/>
      <c r="H813" s="193"/>
      <c r="I813" s="193"/>
      <c r="J813" s="163"/>
      <c r="K813" s="163"/>
      <c r="L813" s="164"/>
    </row>
    <row r="814" spans="1:12" ht="18.75" x14ac:dyDescent="0.25">
      <c r="A814" s="1">
        <v>20</v>
      </c>
      <c r="B814" s="36"/>
      <c r="C814" s="37" t="s">
        <v>24</v>
      </c>
      <c r="D814" s="38"/>
      <c r="E814" s="39">
        <f t="shared" ref="E814:H814" si="55">SUM(E815,E817:E841)</f>
        <v>147473.72100000002</v>
      </c>
      <c r="F814" s="40">
        <f t="shared" si="55"/>
        <v>147392.71000000002</v>
      </c>
      <c r="G814" s="40">
        <f t="shared" si="55"/>
        <v>147392.71000000002</v>
      </c>
      <c r="H814" s="40">
        <f t="shared" si="55"/>
        <v>133048.70500000002</v>
      </c>
      <c r="I814" s="40">
        <f>SUM(I815,I817:I841)</f>
        <v>2989.8754899999994</v>
      </c>
      <c r="J814" s="92"/>
      <c r="K814" s="93"/>
      <c r="L814" s="38"/>
    </row>
    <row r="815" spans="1:12" ht="18.75" x14ac:dyDescent="0.25">
      <c r="A815" s="1">
        <v>20</v>
      </c>
      <c r="B815" s="46"/>
      <c r="C815" s="24" t="s">
        <v>21</v>
      </c>
      <c r="D815" s="47"/>
      <c r="E815" s="48">
        <v>81.010999999999996</v>
      </c>
      <c r="F815" s="49">
        <v>0</v>
      </c>
      <c r="G815" s="49">
        <v>0</v>
      </c>
      <c r="H815" s="49"/>
      <c r="I815" s="49"/>
      <c r="J815" s="95"/>
      <c r="K815" s="25"/>
      <c r="L815" s="47"/>
    </row>
    <row r="816" spans="1:12" ht="16.5" x14ac:dyDescent="0.25">
      <c r="A816" s="1">
        <v>20</v>
      </c>
      <c r="B816" s="46"/>
      <c r="C816" s="54" t="s">
        <v>22</v>
      </c>
      <c r="D816" s="47"/>
      <c r="E816" s="48">
        <f t="shared" ref="E816:H816" si="56">SUM(E817:E841)</f>
        <v>147392.71000000002</v>
      </c>
      <c r="F816" s="49">
        <f t="shared" si="56"/>
        <v>147392.71000000002</v>
      </c>
      <c r="G816" s="49">
        <f t="shared" si="56"/>
        <v>147392.71000000002</v>
      </c>
      <c r="H816" s="49">
        <f t="shared" si="56"/>
        <v>133048.70500000002</v>
      </c>
      <c r="I816" s="49">
        <f>SUM(I817:I841)</f>
        <v>2989.8754899999994</v>
      </c>
      <c r="J816" s="95"/>
      <c r="K816" s="25"/>
      <c r="L816" s="47"/>
    </row>
    <row r="817" spans="1:12" ht="86.25" x14ac:dyDescent="0.25">
      <c r="A817" s="1">
        <v>20</v>
      </c>
      <c r="B817" s="55">
        <v>1</v>
      </c>
      <c r="C817" s="65" t="s">
        <v>1034</v>
      </c>
      <c r="D817" s="66" t="s">
        <v>726</v>
      </c>
      <c r="E817" s="67">
        <v>4502.25</v>
      </c>
      <c r="F817" s="69">
        <v>4502.25</v>
      </c>
      <c r="G817" s="69">
        <v>4502.25</v>
      </c>
      <c r="H817" s="69">
        <v>4495.8159999999998</v>
      </c>
      <c r="I817" s="69">
        <f>1326.309+0.00049</f>
        <v>1326.3094899999999</v>
      </c>
      <c r="J817" s="61" t="s">
        <v>45</v>
      </c>
      <c r="K817" s="62"/>
      <c r="L817" s="57"/>
    </row>
    <row r="818" spans="1:12" ht="207" x14ac:dyDescent="0.25">
      <c r="A818" s="1">
        <v>20</v>
      </c>
      <c r="B818" s="55">
        <f>B817+1</f>
        <v>2</v>
      </c>
      <c r="C818" s="102" t="s">
        <v>1035</v>
      </c>
      <c r="D818" s="66" t="s">
        <v>726</v>
      </c>
      <c r="E818" s="67">
        <v>6150.9219999999996</v>
      </c>
      <c r="F818" s="69">
        <v>6150.9219999999996</v>
      </c>
      <c r="G818" s="69">
        <v>6150.9219999999996</v>
      </c>
      <c r="H818" s="69">
        <v>6144.4459999999999</v>
      </c>
      <c r="I818" s="69">
        <v>581.73699999999997</v>
      </c>
      <c r="J818" s="61" t="s">
        <v>45</v>
      </c>
      <c r="K818" s="62"/>
      <c r="L818" s="57"/>
    </row>
    <row r="819" spans="1:12" ht="69" x14ac:dyDescent="0.25">
      <c r="A819" s="1">
        <v>20</v>
      </c>
      <c r="B819" s="55">
        <f t="shared" ref="B819:B841" si="57">B818+1</f>
        <v>3</v>
      </c>
      <c r="C819" s="65" t="s">
        <v>1036</v>
      </c>
      <c r="D819" s="66" t="s">
        <v>153</v>
      </c>
      <c r="E819" s="67">
        <v>1072.758</v>
      </c>
      <c r="F819" s="69">
        <v>1072.758</v>
      </c>
      <c r="G819" s="69">
        <v>1072.758</v>
      </c>
      <c r="H819" s="69">
        <v>1072.758</v>
      </c>
      <c r="I819" s="69">
        <v>1072.758</v>
      </c>
      <c r="J819" s="61"/>
      <c r="K819" s="62"/>
      <c r="L819" s="57" t="s">
        <v>33</v>
      </c>
    </row>
    <row r="820" spans="1:12" ht="86.25" x14ac:dyDescent="0.25">
      <c r="A820" s="1">
        <v>20</v>
      </c>
      <c r="B820" s="55">
        <f t="shared" si="57"/>
        <v>4</v>
      </c>
      <c r="C820" s="65" t="s">
        <v>1037</v>
      </c>
      <c r="D820" s="66" t="s">
        <v>757</v>
      </c>
      <c r="E820" s="67">
        <v>5940.6379999999999</v>
      </c>
      <c r="F820" s="69">
        <v>5940.6379999999999</v>
      </c>
      <c r="G820" s="69">
        <v>5940.6379999999999</v>
      </c>
      <c r="H820" s="69">
        <v>5838.3029999999999</v>
      </c>
      <c r="I820" s="69">
        <v>9.0709999999999997</v>
      </c>
      <c r="J820" s="61" t="s">
        <v>45</v>
      </c>
      <c r="K820" s="62"/>
      <c r="L820" s="57"/>
    </row>
    <row r="821" spans="1:12" ht="138" x14ac:dyDescent="0.25">
      <c r="A821" s="1">
        <v>20</v>
      </c>
      <c r="B821" s="55">
        <f t="shared" si="57"/>
        <v>5</v>
      </c>
      <c r="C821" s="102" t="s">
        <v>1038</v>
      </c>
      <c r="D821" s="66" t="s">
        <v>153</v>
      </c>
      <c r="E821" s="67">
        <v>50</v>
      </c>
      <c r="F821" s="69">
        <v>50</v>
      </c>
      <c r="G821" s="69">
        <v>50</v>
      </c>
      <c r="H821" s="69">
        <v>49.991</v>
      </c>
      <c r="I821" s="69">
        <v>0</v>
      </c>
      <c r="J821" s="61" t="s">
        <v>29</v>
      </c>
      <c r="K821" s="62" t="s">
        <v>586</v>
      </c>
      <c r="L821" s="57" t="s">
        <v>126</v>
      </c>
    </row>
    <row r="822" spans="1:12" ht="51.75" x14ac:dyDescent="0.25">
      <c r="A822" s="1">
        <v>20</v>
      </c>
      <c r="B822" s="55">
        <f t="shared" si="57"/>
        <v>6</v>
      </c>
      <c r="C822" s="65" t="s">
        <v>1039</v>
      </c>
      <c r="D822" s="66" t="s">
        <v>153</v>
      </c>
      <c r="E822" s="67">
        <v>20125.771000000001</v>
      </c>
      <c r="F822" s="69">
        <v>20125.771000000001</v>
      </c>
      <c r="G822" s="69">
        <v>20125.771000000001</v>
      </c>
      <c r="H822" s="69">
        <v>19580.181</v>
      </c>
      <c r="I822" s="69">
        <v>0</v>
      </c>
      <c r="J822" s="61" t="s">
        <v>631</v>
      </c>
      <c r="K822" s="62" t="s">
        <v>1040</v>
      </c>
      <c r="L822" s="57"/>
    </row>
    <row r="823" spans="1:12" ht="103.5" x14ac:dyDescent="0.25">
      <c r="A823" s="1">
        <v>20</v>
      </c>
      <c r="B823" s="55">
        <f t="shared" si="57"/>
        <v>7</v>
      </c>
      <c r="C823" s="65" t="s">
        <v>1041</v>
      </c>
      <c r="D823" s="66" t="s">
        <v>95</v>
      </c>
      <c r="E823" s="67">
        <v>899.98299999999995</v>
      </c>
      <c r="F823" s="69">
        <v>899.98299999999995</v>
      </c>
      <c r="G823" s="69">
        <v>899.98299999999995</v>
      </c>
      <c r="H823" s="69">
        <v>872.32600000000002</v>
      </c>
      <c r="I823" s="69">
        <v>0</v>
      </c>
      <c r="J823" s="61" t="s">
        <v>45</v>
      </c>
      <c r="K823" s="62"/>
      <c r="L823" s="57"/>
    </row>
    <row r="824" spans="1:12" ht="138" x14ac:dyDescent="0.25">
      <c r="A824" s="1">
        <v>20</v>
      </c>
      <c r="B824" s="55">
        <f t="shared" si="57"/>
        <v>8</v>
      </c>
      <c r="C824" s="102" t="s">
        <v>1042</v>
      </c>
      <c r="D824" s="66" t="s">
        <v>153</v>
      </c>
      <c r="E824" s="67">
        <v>4188.549</v>
      </c>
      <c r="F824" s="69">
        <v>4188.549</v>
      </c>
      <c r="G824" s="69">
        <v>4188.549</v>
      </c>
      <c r="H824" s="69">
        <v>4187.7120000000004</v>
      </c>
      <c r="I824" s="69">
        <v>0</v>
      </c>
      <c r="J824" s="61" t="s">
        <v>29</v>
      </c>
      <c r="K824" s="62" t="s">
        <v>246</v>
      </c>
      <c r="L824" s="57" t="s">
        <v>57</v>
      </c>
    </row>
    <row r="825" spans="1:12" ht="86.25" x14ac:dyDescent="0.25">
      <c r="A825" s="1">
        <v>20</v>
      </c>
      <c r="B825" s="55">
        <f t="shared" si="57"/>
        <v>9</v>
      </c>
      <c r="C825" s="65" t="s">
        <v>1043</v>
      </c>
      <c r="D825" s="66" t="s">
        <v>153</v>
      </c>
      <c r="E825" s="67">
        <v>1264.913</v>
      </c>
      <c r="F825" s="69">
        <v>1264.913</v>
      </c>
      <c r="G825" s="69">
        <v>1264.913</v>
      </c>
      <c r="H825" s="69">
        <v>1251.3889999999999</v>
      </c>
      <c r="I825" s="69">
        <v>0</v>
      </c>
      <c r="J825" s="61" t="s">
        <v>29</v>
      </c>
      <c r="K825" s="62" t="s">
        <v>250</v>
      </c>
      <c r="L825" s="57" t="s">
        <v>57</v>
      </c>
    </row>
    <row r="826" spans="1:12" ht="69" x14ac:dyDescent="0.25">
      <c r="A826" s="1">
        <v>20</v>
      </c>
      <c r="B826" s="55">
        <f t="shared" si="57"/>
        <v>10</v>
      </c>
      <c r="C826" s="65" t="s">
        <v>1044</v>
      </c>
      <c r="D826" s="66" t="s">
        <v>153</v>
      </c>
      <c r="E826" s="67">
        <v>343.28500000000003</v>
      </c>
      <c r="F826" s="69">
        <v>343.28500000000003</v>
      </c>
      <c r="G826" s="69">
        <v>343.28500000000003</v>
      </c>
      <c r="H826" s="69">
        <v>343.28500000000003</v>
      </c>
      <c r="I826" s="69">
        <v>0</v>
      </c>
      <c r="J826" s="61" t="s">
        <v>29</v>
      </c>
      <c r="K826" s="62" t="s">
        <v>248</v>
      </c>
      <c r="L826" s="57" t="s">
        <v>57</v>
      </c>
    </row>
    <row r="827" spans="1:12" ht="120.75" x14ac:dyDescent="0.25">
      <c r="A827" s="1">
        <v>20</v>
      </c>
      <c r="B827" s="55">
        <f t="shared" si="57"/>
        <v>11</v>
      </c>
      <c r="C827" s="65" t="s">
        <v>1045</v>
      </c>
      <c r="D827" s="66" t="s">
        <v>153</v>
      </c>
      <c r="E827" s="67">
        <v>1060.49</v>
      </c>
      <c r="F827" s="69">
        <v>1060.49</v>
      </c>
      <c r="G827" s="69">
        <v>1060.49</v>
      </c>
      <c r="H827" s="69">
        <v>970.03599999999994</v>
      </c>
      <c r="I827" s="69">
        <v>0</v>
      </c>
      <c r="J827" s="61" t="s">
        <v>29</v>
      </c>
      <c r="K827" s="62" t="s">
        <v>248</v>
      </c>
      <c r="L827" s="57" t="s">
        <v>57</v>
      </c>
    </row>
    <row r="828" spans="1:12" ht="69" x14ac:dyDescent="0.25">
      <c r="A828" s="1">
        <v>20</v>
      </c>
      <c r="B828" s="55">
        <f t="shared" si="57"/>
        <v>12</v>
      </c>
      <c r="C828" s="65" t="s">
        <v>1046</v>
      </c>
      <c r="D828" s="66" t="s">
        <v>95</v>
      </c>
      <c r="E828" s="67">
        <v>3077.4369999999999</v>
      </c>
      <c r="F828" s="69">
        <v>3077.4369999999999</v>
      </c>
      <c r="G828" s="69">
        <v>3077.4369999999999</v>
      </c>
      <c r="H828" s="69">
        <v>3062.9679999999998</v>
      </c>
      <c r="I828" s="69">
        <v>0</v>
      </c>
      <c r="J828" s="61" t="s">
        <v>45</v>
      </c>
      <c r="K828" s="62"/>
      <c r="L828" s="57"/>
    </row>
    <row r="829" spans="1:12" ht="69" x14ac:dyDescent="0.25">
      <c r="A829" s="1">
        <v>20</v>
      </c>
      <c r="B829" s="55">
        <f t="shared" si="57"/>
        <v>13</v>
      </c>
      <c r="C829" s="65" t="s">
        <v>1047</v>
      </c>
      <c r="D829" s="66" t="s">
        <v>95</v>
      </c>
      <c r="E829" s="67">
        <v>552.86199999999997</v>
      </c>
      <c r="F829" s="69">
        <v>552.86199999999997</v>
      </c>
      <c r="G829" s="69">
        <v>552.86199999999997</v>
      </c>
      <c r="H829" s="69">
        <v>549.57299999999998</v>
      </c>
      <c r="I829" s="69">
        <v>0</v>
      </c>
      <c r="J829" s="61" t="s">
        <v>45</v>
      </c>
      <c r="K829" s="62"/>
      <c r="L829" s="57"/>
    </row>
    <row r="830" spans="1:12" ht="51.75" x14ac:dyDescent="0.25">
      <c r="A830" s="1">
        <v>20</v>
      </c>
      <c r="B830" s="55">
        <f t="shared" si="57"/>
        <v>14</v>
      </c>
      <c r="C830" s="65" t="s">
        <v>1048</v>
      </c>
      <c r="D830" s="66" t="s">
        <v>95</v>
      </c>
      <c r="E830" s="67">
        <v>894.327</v>
      </c>
      <c r="F830" s="69">
        <v>894.327</v>
      </c>
      <c r="G830" s="69">
        <v>894.327</v>
      </c>
      <c r="H830" s="69">
        <v>806.02700000000004</v>
      </c>
      <c r="I830" s="69">
        <v>0</v>
      </c>
      <c r="J830" s="61" t="s">
        <v>45</v>
      </c>
      <c r="K830" s="62"/>
      <c r="L830" s="57"/>
    </row>
    <row r="831" spans="1:12" ht="69" x14ac:dyDescent="0.25">
      <c r="A831" s="1">
        <v>20</v>
      </c>
      <c r="B831" s="55">
        <f t="shared" si="57"/>
        <v>15</v>
      </c>
      <c r="C831" s="65" t="s">
        <v>1049</v>
      </c>
      <c r="D831" s="66" t="s">
        <v>95</v>
      </c>
      <c r="E831" s="67">
        <v>1446.6369999999999</v>
      </c>
      <c r="F831" s="69">
        <v>1446.6369999999999</v>
      </c>
      <c r="G831" s="69">
        <v>1446.6369999999999</v>
      </c>
      <c r="H831" s="69">
        <v>1446.6369999999999</v>
      </c>
      <c r="I831" s="69">
        <v>0</v>
      </c>
      <c r="J831" s="61" t="s">
        <v>45</v>
      </c>
      <c r="K831" s="62"/>
      <c r="L831" s="57"/>
    </row>
    <row r="832" spans="1:12" ht="51.75" x14ac:dyDescent="0.25">
      <c r="A832" s="1">
        <v>20</v>
      </c>
      <c r="B832" s="55">
        <f t="shared" si="57"/>
        <v>16</v>
      </c>
      <c r="C832" s="65" t="s">
        <v>1050</v>
      </c>
      <c r="D832" s="66" t="s">
        <v>95</v>
      </c>
      <c r="E832" s="67">
        <v>2263.8939999999998</v>
      </c>
      <c r="F832" s="69">
        <v>2263.8939999999998</v>
      </c>
      <c r="G832" s="69">
        <v>2263.8939999999998</v>
      </c>
      <c r="H832" s="69">
        <v>2100.261</v>
      </c>
      <c r="I832" s="69">
        <v>0</v>
      </c>
      <c r="J832" s="61" t="s">
        <v>45</v>
      </c>
      <c r="K832" s="62"/>
      <c r="L832" s="57"/>
    </row>
    <row r="833" spans="1:12" ht="51.75" x14ac:dyDescent="0.25">
      <c r="A833" s="1">
        <v>20</v>
      </c>
      <c r="B833" s="55">
        <f t="shared" si="57"/>
        <v>17</v>
      </c>
      <c r="C833" s="65" t="s">
        <v>1051</v>
      </c>
      <c r="D833" s="66" t="s">
        <v>37</v>
      </c>
      <c r="E833" s="67">
        <v>6420.9769999999999</v>
      </c>
      <c r="F833" s="69">
        <v>6420.9769999999999</v>
      </c>
      <c r="G833" s="69">
        <v>6420.9769999999999</v>
      </c>
      <c r="H833" s="69">
        <v>6420.9769999999999</v>
      </c>
      <c r="I833" s="69">
        <v>0</v>
      </c>
      <c r="J833" s="61" t="s">
        <v>45</v>
      </c>
      <c r="K833" s="62" t="s">
        <v>1052</v>
      </c>
      <c r="L833" s="57"/>
    </row>
    <row r="834" spans="1:12" ht="69" x14ac:dyDescent="0.25">
      <c r="A834" s="1">
        <v>20</v>
      </c>
      <c r="B834" s="55">
        <f t="shared" si="57"/>
        <v>18</v>
      </c>
      <c r="C834" s="65" t="s">
        <v>1053</v>
      </c>
      <c r="D834" s="66" t="s">
        <v>153</v>
      </c>
      <c r="E834" s="67">
        <v>1222.1220000000001</v>
      </c>
      <c r="F834" s="69">
        <v>1222.1220000000001</v>
      </c>
      <c r="G834" s="69">
        <v>1222.1220000000001</v>
      </c>
      <c r="H834" s="69">
        <v>1085.059</v>
      </c>
      <c r="I834" s="69">
        <v>0</v>
      </c>
      <c r="J834" s="61" t="s">
        <v>631</v>
      </c>
      <c r="K834" s="62" t="s">
        <v>586</v>
      </c>
      <c r="L834" s="57"/>
    </row>
    <row r="835" spans="1:12" ht="86.25" x14ac:dyDescent="0.25">
      <c r="A835" s="1">
        <v>20</v>
      </c>
      <c r="B835" s="55">
        <f t="shared" si="57"/>
        <v>19</v>
      </c>
      <c r="C835" s="65" t="s">
        <v>1054</v>
      </c>
      <c r="D835" s="66" t="s">
        <v>95</v>
      </c>
      <c r="E835" s="67">
        <v>1144.837</v>
      </c>
      <c r="F835" s="69">
        <v>1144.837</v>
      </c>
      <c r="G835" s="69">
        <v>1144.837</v>
      </c>
      <c r="H835" s="69">
        <v>1139.8489999999999</v>
      </c>
      <c r="I835" s="69">
        <v>0</v>
      </c>
      <c r="J835" s="61" t="s">
        <v>45</v>
      </c>
      <c r="K835" s="62"/>
      <c r="L835" s="57"/>
    </row>
    <row r="836" spans="1:12" ht="51.75" x14ac:dyDescent="0.25">
      <c r="A836" s="1">
        <v>20</v>
      </c>
      <c r="B836" s="55">
        <f t="shared" si="57"/>
        <v>20</v>
      </c>
      <c r="C836" s="65" t="s">
        <v>1055</v>
      </c>
      <c r="D836" s="66" t="s">
        <v>153</v>
      </c>
      <c r="E836" s="67">
        <v>6929.8410000000003</v>
      </c>
      <c r="F836" s="69">
        <v>6929.8410000000003</v>
      </c>
      <c r="G836" s="69">
        <v>6929.8410000000003</v>
      </c>
      <c r="H836" s="69">
        <v>6929.8410000000003</v>
      </c>
      <c r="I836" s="69">
        <v>0</v>
      </c>
      <c r="J836" s="61" t="s">
        <v>29</v>
      </c>
      <c r="K836" s="62" t="s">
        <v>334</v>
      </c>
      <c r="L836" s="57"/>
    </row>
    <row r="837" spans="1:12" ht="69" x14ac:dyDescent="0.25">
      <c r="A837" s="1">
        <v>20</v>
      </c>
      <c r="B837" s="55">
        <f t="shared" si="57"/>
        <v>21</v>
      </c>
      <c r="C837" s="65" t="s">
        <v>1056</v>
      </c>
      <c r="D837" s="66" t="s">
        <v>153</v>
      </c>
      <c r="E837" s="67">
        <v>2531.0329999999999</v>
      </c>
      <c r="F837" s="69">
        <v>2531.0329999999999</v>
      </c>
      <c r="G837" s="69">
        <v>2531.0329999999999</v>
      </c>
      <c r="H837" s="69">
        <v>2531.0329999999999</v>
      </c>
      <c r="I837" s="69">
        <v>0</v>
      </c>
      <c r="J837" s="61" t="s">
        <v>29</v>
      </c>
      <c r="K837" s="62" t="s">
        <v>1057</v>
      </c>
      <c r="L837" s="57" t="s">
        <v>1058</v>
      </c>
    </row>
    <row r="838" spans="1:12" ht="51.75" x14ac:dyDescent="0.25">
      <c r="A838" s="1">
        <v>20</v>
      </c>
      <c r="B838" s="55">
        <f t="shared" si="57"/>
        <v>22</v>
      </c>
      <c r="C838" s="65" t="s">
        <v>1059</v>
      </c>
      <c r="D838" s="66" t="s">
        <v>95</v>
      </c>
      <c r="E838" s="67">
        <v>2624.1439999999998</v>
      </c>
      <c r="F838" s="69">
        <v>2624.1439999999998</v>
      </c>
      <c r="G838" s="69">
        <v>2624.1439999999998</v>
      </c>
      <c r="H838" s="69">
        <v>2600.1529999999998</v>
      </c>
      <c r="I838" s="69">
        <v>0</v>
      </c>
      <c r="J838" s="61" t="s">
        <v>45</v>
      </c>
      <c r="K838" s="62"/>
      <c r="L838" s="57"/>
    </row>
    <row r="839" spans="1:12" ht="51.75" x14ac:dyDescent="0.25">
      <c r="A839" s="1">
        <v>20</v>
      </c>
      <c r="B839" s="55">
        <f t="shared" si="57"/>
        <v>23</v>
      </c>
      <c r="C839" s="65" t="s">
        <v>1060</v>
      </c>
      <c r="D839" s="66" t="s">
        <v>153</v>
      </c>
      <c r="E839" s="67">
        <v>917.72400000000005</v>
      </c>
      <c r="F839" s="69">
        <v>917.72400000000005</v>
      </c>
      <c r="G839" s="69">
        <v>917.72400000000005</v>
      </c>
      <c r="H839" s="69">
        <v>870.99</v>
      </c>
      <c r="I839" s="69">
        <v>0</v>
      </c>
      <c r="J839" s="61" t="s">
        <v>29</v>
      </c>
      <c r="K839" s="62" t="s">
        <v>246</v>
      </c>
      <c r="L839" s="57" t="s">
        <v>57</v>
      </c>
    </row>
    <row r="840" spans="1:12" ht="69" x14ac:dyDescent="0.25">
      <c r="A840" s="1">
        <v>20</v>
      </c>
      <c r="B840" s="55">
        <f t="shared" si="57"/>
        <v>24</v>
      </c>
      <c r="C840" s="65" t="s">
        <v>1061</v>
      </c>
      <c r="D840" s="66" t="s">
        <v>1062</v>
      </c>
      <c r="E840" s="67">
        <v>13267.316000000001</v>
      </c>
      <c r="F840" s="69">
        <v>13267.316000000001</v>
      </c>
      <c r="G840" s="69">
        <v>13267.316000000001</v>
      </c>
      <c r="H840" s="69">
        <v>5447.3760000000002</v>
      </c>
      <c r="I840" s="69">
        <v>0</v>
      </c>
      <c r="J840" s="61" t="s">
        <v>45</v>
      </c>
      <c r="K840" s="62"/>
      <c r="L840" s="57"/>
    </row>
    <row r="841" spans="1:12" ht="104.25" thickBot="1" x14ac:dyDescent="0.3">
      <c r="A841" s="1">
        <v>20</v>
      </c>
      <c r="B841" s="82">
        <f t="shared" si="57"/>
        <v>25</v>
      </c>
      <c r="C841" s="83" t="s">
        <v>1063</v>
      </c>
      <c r="D841" s="84" t="s">
        <v>95</v>
      </c>
      <c r="E841" s="85">
        <v>58500</v>
      </c>
      <c r="F841" s="87">
        <v>58500</v>
      </c>
      <c r="G841" s="87">
        <v>58500</v>
      </c>
      <c r="H841" s="87">
        <v>53251.718000000001</v>
      </c>
      <c r="I841" s="87">
        <v>0</v>
      </c>
      <c r="J841" s="89" t="s">
        <v>45</v>
      </c>
      <c r="K841" s="90"/>
      <c r="L841" s="123"/>
    </row>
    <row r="842" spans="1:12" ht="15.75" thickBot="1" x14ac:dyDescent="0.3">
      <c r="A842" s="1">
        <v>21</v>
      </c>
      <c r="B842" s="189" t="s">
        <v>1064</v>
      </c>
      <c r="C842" s="190"/>
      <c r="D842" s="190"/>
      <c r="E842" s="190"/>
      <c r="F842" s="190"/>
      <c r="G842" s="190"/>
      <c r="H842" s="190"/>
      <c r="I842" s="190"/>
      <c r="J842" s="190"/>
      <c r="K842" s="190"/>
      <c r="L842" s="191"/>
    </row>
    <row r="843" spans="1:12" ht="18.75" x14ac:dyDescent="0.25">
      <c r="A843" s="1">
        <v>21</v>
      </c>
      <c r="B843" s="36"/>
      <c r="C843" s="37" t="s">
        <v>24</v>
      </c>
      <c r="D843" s="38"/>
      <c r="E843" s="39">
        <f t="shared" ref="E843:I843" si="58">SUM(E844,E846:E863)</f>
        <v>98540.647000000026</v>
      </c>
      <c r="F843" s="40">
        <f t="shared" si="58"/>
        <v>98540.646999999997</v>
      </c>
      <c r="G843" s="40">
        <f t="shared" si="58"/>
        <v>87825.023000000016</v>
      </c>
      <c r="H843" s="40">
        <f t="shared" si="58"/>
        <v>57030.284999999989</v>
      </c>
      <c r="I843" s="40">
        <f t="shared" si="58"/>
        <v>2064.3809999999999</v>
      </c>
      <c r="J843" s="92"/>
      <c r="K843" s="93"/>
      <c r="L843" s="38"/>
    </row>
    <row r="844" spans="1:12" ht="18.75" x14ac:dyDescent="0.25">
      <c r="A844" s="1">
        <v>21</v>
      </c>
      <c r="B844" s="46"/>
      <c r="C844" s="24" t="s">
        <v>21</v>
      </c>
      <c r="D844" s="47"/>
      <c r="E844" s="48">
        <v>0</v>
      </c>
      <c r="F844" s="49">
        <v>0</v>
      </c>
      <c r="G844" s="49">
        <v>0</v>
      </c>
      <c r="H844" s="49"/>
      <c r="I844" s="49"/>
      <c r="J844" s="95"/>
      <c r="K844" s="25"/>
      <c r="L844" s="47"/>
    </row>
    <row r="845" spans="1:12" ht="16.5" x14ac:dyDescent="0.25">
      <c r="A845" s="1">
        <v>21</v>
      </c>
      <c r="B845" s="46"/>
      <c r="C845" s="54" t="s">
        <v>22</v>
      </c>
      <c r="D845" s="47"/>
      <c r="E845" s="48">
        <f t="shared" ref="E845:I845" si="59">SUM(E846:E863)</f>
        <v>98540.647000000026</v>
      </c>
      <c r="F845" s="49">
        <f t="shared" si="59"/>
        <v>98540.646999999997</v>
      </c>
      <c r="G845" s="49">
        <f t="shared" si="59"/>
        <v>87825.023000000016</v>
      </c>
      <c r="H845" s="49">
        <f t="shared" si="59"/>
        <v>57030.284999999989</v>
      </c>
      <c r="I845" s="49">
        <f t="shared" si="59"/>
        <v>2064.3809999999999</v>
      </c>
      <c r="J845" s="95"/>
      <c r="K845" s="25"/>
      <c r="L845" s="47"/>
    </row>
    <row r="846" spans="1:12" ht="86.25" x14ac:dyDescent="0.25">
      <c r="A846" s="1">
        <v>21</v>
      </c>
      <c r="B846" s="55">
        <v>1</v>
      </c>
      <c r="C846" s="65" t="s">
        <v>1065</v>
      </c>
      <c r="D846" s="66" t="s">
        <v>59</v>
      </c>
      <c r="E846" s="67">
        <v>2963.6410000000001</v>
      </c>
      <c r="F846" s="68">
        <v>2963.6410000000001</v>
      </c>
      <c r="G846" s="68">
        <v>2963.6410000000001</v>
      </c>
      <c r="H846" s="68">
        <v>2733.1680000000001</v>
      </c>
      <c r="I846" s="68">
        <v>1504.8309999999999</v>
      </c>
      <c r="J846" s="61" t="s">
        <v>29</v>
      </c>
      <c r="K846" s="62" t="s">
        <v>1066</v>
      </c>
      <c r="L846" s="57" t="s">
        <v>57</v>
      </c>
    </row>
    <row r="847" spans="1:12" ht="86.25" x14ac:dyDescent="0.25">
      <c r="A847" s="1">
        <v>21</v>
      </c>
      <c r="B847" s="55">
        <f t="shared" ref="B847:B863" si="60">B846+1</f>
        <v>2</v>
      </c>
      <c r="C847" s="65" t="s">
        <v>1067</v>
      </c>
      <c r="D847" s="66"/>
      <c r="E847" s="67">
        <v>269.923</v>
      </c>
      <c r="F847" s="68">
        <v>269.923</v>
      </c>
      <c r="G847" s="68">
        <v>269.923</v>
      </c>
      <c r="H847" s="68">
        <v>269.923</v>
      </c>
      <c r="I847" s="68">
        <v>269.923</v>
      </c>
      <c r="J847" s="61"/>
      <c r="K847" s="62"/>
      <c r="L847" s="57" t="s">
        <v>33</v>
      </c>
    </row>
    <row r="848" spans="1:12" ht="69" x14ac:dyDescent="0.25">
      <c r="A848" s="1">
        <v>21</v>
      </c>
      <c r="B848" s="55">
        <f t="shared" si="60"/>
        <v>3</v>
      </c>
      <c r="C848" s="65" t="s">
        <v>1068</v>
      </c>
      <c r="D848" s="66"/>
      <c r="E848" s="67">
        <v>214.22499999999999</v>
      </c>
      <c r="F848" s="68">
        <v>214.22499999999999</v>
      </c>
      <c r="G848" s="68">
        <v>214.22499999999999</v>
      </c>
      <c r="H848" s="68">
        <v>214.22499999999999</v>
      </c>
      <c r="I848" s="68">
        <v>214.22499999999999</v>
      </c>
      <c r="J848" s="61"/>
      <c r="K848" s="62"/>
      <c r="L848" s="57" t="s">
        <v>33</v>
      </c>
    </row>
    <row r="849" spans="1:12" ht="69" x14ac:dyDescent="0.25">
      <c r="A849" s="1">
        <v>21</v>
      </c>
      <c r="B849" s="55">
        <f t="shared" si="60"/>
        <v>4</v>
      </c>
      <c r="C849" s="65" t="s">
        <v>1069</v>
      </c>
      <c r="D849" s="66"/>
      <c r="E849" s="67">
        <v>75.402000000000001</v>
      </c>
      <c r="F849" s="68">
        <v>75.402000000000001</v>
      </c>
      <c r="G849" s="68">
        <v>75.402000000000001</v>
      </c>
      <c r="H849" s="68">
        <v>75.402000000000001</v>
      </c>
      <c r="I849" s="68">
        <v>75.402000000000001</v>
      </c>
      <c r="J849" s="61"/>
      <c r="K849" s="62"/>
      <c r="L849" s="57" t="s">
        <v>33</v>
      </c>
    </row>
    <row r="850" spans="1:12" ht="69" x14ac:dyDescent="0.25">
      <c r="A850" s="1">
        <v>21</v>
      </c>
      <c r="B850" s="64">
        <f t="shared" si="60"/>
        <v>5</v>
      </c>
      <c r="C850" s="65" t="s">
        <v>1070</v>
      </c>
      <c r="D850" s="66" t="s">
        <v>153</v>
      </c>
      <c r="E850" s="67">
        <f>49416.516+14861.061</f>
        <v>64277.577000000005</v>
      </c>
      <c r="F850" s="68">
        <v>64277.576999999997</v>
      </c>
      <c r="G850" s="68">
        <v>53561.953000000001</v>
      </c>
      <c r="H850" s="68">
        <v>32230.705000000002</v>
      </c>
      <c r="I850" s="68">
        <v>0</v>
      </c>
      <c r="J850" s="61" t="s">
        <v>45</v>
      </c>
      <c r="K850" s="62"/>
      <c r="L850" s="57"/>
    </row>
    <row r="851" spans="1:12" ht="69" x14ac:dyDescent="0.25">
      <c r="A851" s="1">
        <v>21</v>
      </c>
      <c r="B851" s="55">
        <f t="shared" si="60"/>
        <v>6</v>
      </c>
      <c r="C851" s="65" t="s">
        <v>1071</v>
      </c>
      <c r="D851" s="66" t="s">
        <v>153</v>
      </c>
      <c r="E851" s="67">
        <v>2250</v>
      </c>
      <c r="F851" s="68">
        <v>2250</v>
      </c>
      <c r="G851" s="68">
        <v>2250</v>
      </c>
      <c r="H851" s="68">
        <v>1780.6869999999999</v>
      </c>
      <c r="I851" s="68">
        <v>0</v>
      </c>
      <c r="J851" s="61" t="s">
        <v>29</v>
      </c>
      <c r="K851" s="62" t="s">
        <v>108</v>
      </c>
      <c r="L851" s="57" t="s">
        <v>57</v>
      </c>
    </row>
    <row r="852" spans="1:12" ht="34.5" x14ac:dyDescent="0.25">
      <c r="A852" s="1">
        <v>21</v>
      </c>
      <c r="B852" s="64">
        <f t="shared" si="60"/>
        <v>7</v>
      </c>
      <c r="C852" s="65" t="s">
        <v>1072</v>
      </c>
      <c r="D852" s="66" t="s">
        <v>44</v>
      </c>
      <c r="E852" s="67">
        <f>11250-359.093</f>
        <v>10890.906999999999</v>
      </c>
      <c r="F852" s="68">
        <v>10890.906999999999</v>
      </c>
      <c r="G852" s="68">
        <v>10890.906999999999</v>
      </c>
      <c r="H852" s="68">
        <v>7996.3220000000001</v>
      </c>
      <c r="I852" s="68">
        <v>0</v>
      </c>
      <c r="J852" s="61" t="s">
        <v>45</v>
      </c>
      <c r="K852" s="62"/>
      <c r="L852" s="57"/>
    </row>
    <row r="853" spans="1:12" ht="86.25" x14ac:dyDescent="0.25">
      <c r="A853" s="1">
        <v>21</v>
      </c>
      <c r="B853" s="55">
        <f t="shared" si="60"/>
        <v>8</v>
      </c>
      <c r="C853" s="65" t="s">
        <v>1073</v>
      </c>
      <c r="D853" s="66" t="s">
        <v>153</v>
      </c>
      <c r="E853" s="67">
        <v>4680</v>
      </c>
      <c r="F853" s="68">
        <v>4680</v>
      </c>
      <c r="G853" s="68">
        <v>4680</v>
      </c>
      <c r="H853" s="68">
        <v>0</v>
      </c>
      <c r="I853" s="68">
        <v>0</v>
      </c>
      <c r="J853" s="61" t="s">
        <v>45</v>
      </c>
      <c r="K853" s="62"/>
      <c r="L853" s="57"/>
    </row>
    <row r="854" spans="1:12" ht="51.75" x14ac:dyDescent="0.25">
      <c r="A854" s="1">
        <v>21</v>
      </c>
      <c r="B854" s="64">
        <f t="shared" si="60"/>
        <v>9</v>
      </c>
      <c r="C854" s="65" t="s">
        <v>1074</v>
      </c>
      <c r="D854" s="66" t="s">
        <v>153</v>
      </c>
      <c r="E854" s="67">
        <v>1107</v>
      </c>
      <c r="F854" s="68">
        <v>1107</v>
      </c>
      <c r="G854" s="68">
        <v>1107</v>
      </c>
      <c r="H854" s="68">
        <v>1107</v>
      </c>
      <c r="I854" s="68">
        <v>0</v>
      </c>
      <c r="J854" s="61" t="s">
        <v>29</v>
      </c>
      <c r="K854" s="62" t="s">
        <v>436</v>
      </c>
      <c r="L854" s="57" t="s">
        <v>57</v>
      </c>
    </row>
    <row r="855" spans="1:12" ht="69" x14ac:dyDescent="0.25">
      <c r="A855" s="1">
        <v>21</v>
      </c>
      <c r="B855" s="64">
        <f t="shared" si="60"/>
        <v>10</v>
      </c>
      <c r="C855" s="65" t="s">
        <v>1075</v>
      </c>
      <c r="D855" s="66" t="s">
        <v>37</v>
      </c>
      <c r="E855" s="67">
        <v>3186.4</v>
      </c>
      <c r="F855" s="68">
        <v>3186.4</v>
      </c>
      <c r="G855" s="68">
        <v>3186.4</v>
      </c>
      <c r="H855" s="68">
        <v>3154.5070000000001</v>
      </c>
      <c r="I855" s="68">
        <v>0</v>
      </c>
      <c r="J855" s="61" t="s">
        <v>29</v>
      </c>
      <c r="K855" s="62" t="s">
        <v>392</v>
      </c>
      <c r="L855" s="57" t="s">
        <v>57</v>
      </c>
    </row>
    <row r="856" spans="1:12" ht="69" x14ac:dyDescent="0.25">
      <c r="A856" s="1">
        <v>21</v>
      </c>
      <c r="B856" s="55">
        <f t="shared" si="60"/>
        <v>11</v>
      </c>
      <c r="C856" s="65" t="s">
        <v>1076</v>
      </c>
      <c r="D856" s="66" t="s">
        <v>153</v>
      </c>
      <c r="E856" s="67">
        <v>680.8</v>
      </c>
      <c r="F856" s="68">
        <v>680.8</v>
      </c>
      <c r="G856" s="68">
        <v>680.8</v>
      </c>
      <c r="H856" s="68">
        <v>0</v>
      </c>
      <c r="I856" s="68">
        <v>0</v>
      </c>
      <c r="J856" s="61" t="s">
        <v>45</v>
      </c>
      <c r="K856" s="62"/>
      <c r="L856" s="57"/>
    </row>
    <row r="857" spans="1:12" ht="51.75" x14ac:dyDescent="0.25">
      <c r="A857" s="1">
        <v>21</v>
      </c>
      <c r="B857" s="55">
        <f t="shared" si="60"/>
        <v>12</v>
      </c>
      <c r="C857" s="65" t="s">
        <v>1077</v>
      </c>
      <c r="D857" s="66" t="s">
        <v>153</v>
      </c>
      <c r="E857" s="67">
        <v>73.745999999999995</v>
      </c>
      <c r="F857" s="68">
        <v>73.745999999999995</v>
      </c>
      <c r="G857" s="68">
        <v>73.745999999999995</v>
      </c>
      <c r="H857" s="68">
        <v>73.162000000000006</v>
      </c>
      <c r="I857" s="68">
        <v>0</v>
      </c>
      <c r="J857" s="61" t="s">
        <v>29</v>
      </c>
      <c r="K857" s="62" t="s">
        <v>1078</v>
      </c>
      <c r="L857" s="57" t="s">
        <v>57</v>
      </c>
    </row>
    <row r="858" spans="1:12" ht="51.75" x14ac:dyDescent="0.25">
      <c r="A858" s="1">
        <v>21</v>
      </c>
      <c r="B858" s="55">
        <f t="shared" si="60"/>
        <v>13</v>
      </c>
      <c r="C858" s="65" t="s">
        <v>1079</v>
      </c>
      <c r="D858" s="66" t="s">
        <v>982</v>
      </c>
      <c r="E858" s="67">
        <v>4265.1899999999996</v>
      </c>
      <c r="F858" s="68">
        <v>4265.1899999999996</v>
      </c>
      <c r="G858" s="68">
        <v>4265.1899999999996</v>
      </c>
      <c r="H858" s="68">
        <v>4133.7719999999999</v>
      </c>
      <c r="I858" s="68">
        <v>0</v>
      </c>
      <c r="J858" s="61" t="s">
        <v>29</v>
      </c>
      <c r="K858" s="62" t="s">
        <v>1080</v>
      </c>
      <c r="L858" s="57" t="s">
        <v>57</v>
      </c>
    </row>
    <row r="859" spans="1:12" ht="51.75" x14ac:dyDescent="0.25">
      <c r="A859" s="1">
        <v>21</v>
      </c>
      <c r="B859" s="55">
        <f t="shared" si="60"/>
        <v>14</v>
      </c>
      <c r="C859" s="65" t="s">
        <v>1081</v>
      </c>
      <c r="D859" s="66" t="s">
        <v>153</v>
      </c>
      <c r="E859" s="67">
        <v>632.25099999999998</v>
      </c>
      <c r="F859" s="68">
        <v>632.25099999999998</v>
      </c>
      <c r="G859" s="68">
        <v>632.25099999999998</v>
      </c>
      <c r="H859" s="68">
        <v>622.20600000000002</v>
      </c>
      <c r="I859" s="68">
        <v>0</v>
      </c>
      <c r="J859" s="61" t="s">
        <v>29</v>
      </c>
      <c r="K859" s="62" t="s">
        <v>1082</v>
      </c>
      <c r="L859" s="57" t="s">
        <v>57</v>
      </c>
    </row>
    <row r="860" spans="1:12" ht="86.25" x14ac:dyDescent="0.25">
      <c r="A860" s="1">
        <v>21</v>
      </c>
      <c r="B860" s="55">
        <f t="shared" si="60"/>
        <v>15</v>
      </c>
      <c r="C860" s="65" t="s">
        <v>1083</v>
      </c>
      <c r="D860" s="66" t="s">
        <v>153</v>
      </c>
      <c r="E860" s="67">
        <v>851.96100000000001</v>
      </c>
      <c r="F860" s="68">
        <v>851.96100000000001</v>
      </c>
      <c r="G860" s="68">
        <v>851.96100000000001</v>
      </c>
      <c r="H860" s="68">
        <v>824.774</v>
      </c>
      <c r="I860" s="68">
        <v>0</v>
      </c>
      <c r="J860" s="61" t="s">
        <v>29</v>
      </c>
      <c r="K860" s="62" t="s">
        <v>1082</v>
      </c>
      <c r="L860" s="57" t="s">
        <v>57</v>
      </c>
    </row>
    <row r="861" spans="1:12" ht="69" x14ac:dyDescent="0.25">
      <c r="A861" s="1">
        <v>21</v>
      </c>
      <c r="B861" s="55">
        <f t="shared" si="60"/>
        <v>16</v>
      </c>
      <c r="C861" s="65" t="s">
        <v>1084</v>
      </c>
      <c r="D861" s="66" t="s">
        <v>153</v>
      </c>
      <c r="E861" s="67">
        <v>222.89500000000001</v>
      </c>
      <c r="F861" s="68">
        <v>222.89500000000001</v>
      </c>
      <c r="G861" s="68">
        <v>222.89500000000001</v>
      </c>
      <c r="H861" s="68">
        <v>0</v>
      </c>
      <c r="I861" s="68">
        <v>0</v>
      </c>
      <c r="J861" s="61" t="s">
        <v>45</v>
      </c>
      <c r="K861" s="62"/>
      <c r="L861" s="57"/>
    </row>
    <row r="862" spans="1:12" ht="51.75" x14ac:dyDescent="0.25">
      <c r="A862" s="1">
        <v>21</v>
      </c>
      <c r="B862" s="55">
        <f t="shared" si="60"/>
        <v>17</v>
      </c>
      <c r="C862" s="65" t="s">
        <v>1085</v>
      </c>
      <c r="D862" s="66" t="s">
        <v>153</v>
      </c>
      <c r="E862" s="67">
        <v>1061.107</v>
      </c>
      <c r="F862" s="68">
        <v>1061.107</v>
      </c>
      <c r="G862" s="68">
        <v>1061.107</v>
      </c>
      <c r="H862" s="68">
        <v>1024.9949999999999</v>
      </c>
      <c r="I862" s="68">
        <v>0</v>
      </c>
      <c r="J862" s="61" t="s">
        <v>29</v>
      </c>
      <c r="K862" s="62" t="s">
        <v>1082</v>
      </c>
      <c r="L862" s="57" t="s">
        <v>57</v>
      </c>
    </row>
    <row r="863" spans="1:12" ht="69.75" thickBot="1" x14ac:dyDescent="0.3">
      <c r="A863" s="1">
        <v>21</v>
      </c>
      <c r="B863" s="82">
        <f t="shared" si="60"/>
        <v>18</v>
      </c>
      <c r="C863" s="83" t="s">
        <v>1086</v>
      </c>
      <c r="D863" s="84" t="s">
        <v>153</v>
      </c>
      <c r="E863" s="85">
        <v>837.62199999999996</v>
      </c>
      <c r="F863" s="86">
        <v>837.62199999999996</v>
      </c>
      <c r="G863" s="86">
        <v>837.62199999999996</v>
      </c>
      <c r="H863" s="86">
        <v>789.43700000000001</v>
      </c>
      <c r="I863" s="86">
        <v>0</v>
      </c>
      <c r="J863" s="89" t="s">
        <v>29</v>
      </c>
      <c r="K863" s="90" t="s">
        <v>211</v>
      </c>
      <c r="L863" s="123" t="s">
        <v>57</v>
      </c>
    </row>
    <row r="864" spans="1:12" ht="15.75" thickBot="1" x14ac:dyDescent="0.3">
      <c r="A864" s="1">
        <v>22</v>
      </c>
      <c r="B864" s="186" t="s">
        <v>1087</v>
      </c>
      <c r="C864" s="187"/>
      <c r="D864" s="187"/>
      <c r="E864" s="187"/>
      <c r="F864" s="187"/>
      <c r="G864" s="187"/>
      <c r="H864" s="187"/>
      <c r="I864" s="187"/>
      <c r="J864" s="187"/>
      <c r="K864" s="187"/>
      <c r="L864" s="188"/>
    </row>
    <row r="865" spans="1:12" ht="18.75" x14ac:dyDescent="0.25">
      <c r="A865" s="1">
        <v>22</v>
      </c>
      <c r="B865" s="36"/>
      <c r="C865" s="37" t="s">
        <v>24</v>
      </c>
      <c r="D865" s="38"/>
      <c r="E865" s="134">
        <f t="shared" ref="E865:I865" si="61">SUM(E866,E868:E901)</f>
        <v>120078.12799999998</v>
      </c>
      <c r="F865" s="40">
        <f t="shared" si="61"/>
        <v>120078.12799999998</v>
      </c>
      <c r="G865" s="40">
        <f t="shared" si="61"/>
        <v>120078.12799999998</v>
      </c>
      <c r="H865" s="40">
        <f t="shared" si="61"/>
        <v>114480.592</v>
      </c>
      <c r="I865" s="40">
        <f t="shared" si="61"/>
        <v>397.46</v>
      </c>
      <c r="J865" s="92"/>
      <c r="K865" s="93"/>
      <c r="L865" s="38"/>
    </row>
    <row r="866" spans="1:12" ht="18.75" x14ac:dyDescent="0.25">
      <c r="A866" s="1">
        <v>22</v>
      </c>
      <c r="B866" s="46"/>
      <c r="C866" s="24" t="s">
        <v>21</v>
      </c>
      <c r="D866" s="47"/>
      <c r="E866" s="135">
        <v>0</v>
      </c>
      <c r="F866" s="49">
        <v>0</v>
      </c>
      <c r="G866" s="49">
        <v>0</v>
      </c>
      <c r="H866" s="49"/>
      <c r="I866" s="49"/>
      <c r="J866" s="95"/>
      <c r="K866" s="25"/>
      <c r="L866" s="47"/>
    </row>
    <row r="867" spans="1:12" ht="16.5" x14ac:dyDescent="0.25">
      <c r="A867" s="1">
        <v>22</v>
      </c>
      <c r="B867" s="46"/>
      <c r="C867" s="54" t="s">
        <v>22</v>
      </c>
      <c r="D867" s="47"/>
      <c r="E867" s="135">
        <f>SUM(E868:E901)</f>
        <v>120078.12799999998</v>
      </c>
      <c r="F867" s="49">
        <f t="shared" ref="F867:I867" si="62">SUM(F868:F901)</f>
        <v>120078.12799999998</v>
      </c>
      <c r="G867" s="49">
        <f t="shared" si="62"/>
        <v>120078.12799999998</v>
      </c>
      <c r="H867" s="49">
        <f t="shared" si="62"/>
        <v>114480.592</v>
      </c>
      <c r="I867" s="49">
        <f t="shared" si="62"/>
        <v>397.46</v>
      </c>
      <c r="J867" s="95"/>
      <c r="K867" s="25"/>
      <c r="L867" s="47"/>
    </row>
    <row r="868" spans="1:12" ht="103.5" x14ac:dyDescent="0.25">
      <c r="A868" s="1">
        <v>22</v>
      </c>
      <c r="B868" s="64">
        <v>1</v>
      </c>
      <c r="C868" s="65" t="s">
        <v>1088</v>
      </c>
      <c r="D868" s="66" t="s">
        <v>959</v>
      </c>
      <c r="E868" s="136">
        <f>7158.96+1000</f>
        <v>8158.96</v>
      </c>
      <c r="F868" s="68">
        <v>8158.96</v>
      </c>
      <c r="G868" s="68">
        <v>8158.96</v>
      </c>
      <c r="H868" s="68">
        <v>7908.7290000000003</v>
      </c>
      <c r="I868" s="68">
        <v>397.46</v>
      </c>
      <c r="J868" s="61" t="s">
        <v>29</v>
      </c>
      <c r="K868" s="62" t="s">
        <v>1015</v>
      </c>
      <c r="L868" s="57" t="s">
        <v>1089</v>
      </c>
    </row>
    <row r="869" spans="1:12" ht="51.75" x14ac:dyDescent="0.25">
      <c r="A869" s="1">
        <v>22</v>
      </c>
      <c r="B869" s="64">
        <f>B868+1</f>
        <v>2</v>
      </c>
      <c r="C869" s="65" t="s">
        <v>1090</v>
      </c>
      <c r="D869" s="98" t="s">
        <v>1091</v>
      </c>
      <c r="E869" s="136">
        <f>25000-2400</f>
        <v>22600</v>
      </c>
      <c r="F869" s="68">
        <v>22600</v>
      </c>
      <c r="G869" s="68">
        <v>22600</v>
      </c>
      <c r="H869" s="68">
        <v>22600</v>
      </c>
      <c r="I869" s="68">
        <v>0</v>
      </c>
      <c r="J869" s="61" t="s">
        <v>483</v>
      </c>
      <c r="K869" s="62" t="s">
        <v>776</v>
      </c>
      <c r="L869" s="57" t="s">
        <v>126</v>
      </c>
    </row>
    <row r="870" spans="1:12" ht="69" x14ac:dyDescent="0.25">
      <c r="A870" s="1">
        <v>22</v>
      </c>
      <c r="B870" s="55">
        <f t="shared" ref="B870:B901" si="63">B869+1</f>
        <v>3</v>
      </c>
      <c r="C870" s="65" t="s">
        <v>1092</v>
      </c>
      <c r="D870" s="66" t="s">
        <v>59</v>
      </c>
      <c r="E870" s="136">
        <v>2039.5</v>
      </c>
      <c r="F870" s="68">
        <v>2039.5</v>
      </c>
      <c r="G870" s="68">
        <v>2039.5</v>
      </c>
      <c r="H870" s="68">
        <v>2039.5</v>
      </c>
      <c r="I870" s="68">
        <v>0</v>
      </c>
      <c r="J870" s="96" t="s">
        <v>110</v>
      </c>
      <c r="K870" s="62" t="s">
        <v>1093</v>
      </c>
      <c r="L870" s="57"/>
    </row>
    <row r="871" spans="1:12" ht="51.75" x14ac:dyDescent="0.25">
      <c r="A871" s="1">
        <v>22</v>
      </c>
      <c r="B871" s="55">
        <f t="shared" si="63"/>
        <v>4</v>
      </c>
      <c r="C871" s="65" t="s">
        <v>1094</v>
      </c>
      <c r="D871" s="66" t="s">
        <v>59</v>
      </c>
      <c r="E871" s="136">
        <v>3100</v>
      </c>
      <c r="F871" s="68">
        <v>3100</v>
      </c>
      <c r="G871" s="68">
        <v>3100</v>
      </c>
      <c r="H871" s="68">
        <v>3100</v>
      </c>
      <c r="I871" s="68">
        <v>0</v>
      </c>
      <c r="J871" s="96" t="s">
        <v>110</v>
      </c>
      <c r="K871" s="62" t="s">
        <v>580</v>
      </c>
      <c r="L871" s="57"/>
    </row>
    <row r="872" spans="1:12" ht="69" x14ac:dyDescent="0.25">
      <c r="A872" s="1">
        <v>22</v>
      </c>
      <c r="B872" s="55">
        <f t="shared" si="63"/>
        <v>5</v>
      </c>
      <c r="C872" s="65" t="s">
        <v>1095</v>
      </c>
      <c r="D872" s="66" t="s">
        <v>28</v>
      </c>
      <c r="E872" s="136">
        <v>2867.3</v>
      </c>
      <c r="F872" s="68">
        <v>2867.3</v>
      </c>
      <c r="G872" s="68">
        <v>2867.3</v>
      </c>
      <c r="H872" s="68">
        <v>2863.3719999999998</v>
      </c>
      <c r="I872" s="68">
        <v>0</v>
      </c>
      <c r="J872" s="61" t="s">
        <v>45</v>
      </c>
      <c r="K872" s="62" t="s">
        <v>505</v>
      </c>
      <c r="L872" s="57"/>
    </row>
    <row r="873" spans="1:12" ht="51.75" x14ac:dyDescent="0.25">
      <c r="A873" s="1">
        <v>22</v>
      </c>
      <c r="B873" s="55">
        <f t="shared" si="63"/>
        <v>6</v>
      </c>
      <c r="C873" s="65" t="s">
        <v>1096</v>
      </c>
      <c r="D873" s="66" t="s">
        <v>153</v>
      </c>
      <c r="E873" s="136">
        <v>1976.4</v>
      </c>
      <c r="F873" s="68">
        <v>1976.4</v>
      </c>
      <c r="G873" s="68">
        <v>1976.4</v>
      </c>
      <c r="H873" s="68">
        <v>1976.4</v>
      </c>
      <c r="I873" s="68">
        <v>0</v>
      </c>
      <c r="J873" s="61" t="s">
        <v>29</v>
      </c>
      <c r="K873" s="62" t="s">
        <v>1015</v>
      </c>
      <c r="L873" s="57" t="s">
        <v>1097</v>
      </c>
    </row>
    <row r="874" spans="1:12" ht="69" x14ac:dyDescent="0.25">
      <c r="A874" s="1">
        <v>22</v>
      </c>
      <c r="B874" s="55">
        <f t="shared" si="63"/>
        <v>7</v>
      </c>
      <c r="C874" s="65" t="s">
        <v>1098</v>
      </c>
      <c r="D874" s="66" t="s">
        <v>153</v>
      </c>
      <c r="E874" s="136">
        <v>853.6</v>
      </c>
      <c r="F874" s="68">
        <v>853.6</v>
      </c>
      <c r="G874" s="68">
        <v>853.6</v>
      </c>
      <c r="H874" s="68">
        <v>851.24</v>
      </c>
      <c r="I874" s="68">
        <v>0</v>
      </c>
      <c r="J874" s="61" t="s">
        <v>45</v>
      </c>
      <c r="K874" s="62" t="s">
        <v>1099</v>
      </c>
      <c r="L874" s="57"/>
    </row>
    <row r="875" spans="1:12" ht="69" x14ac:dyDescent="0.25">
      <c r="A875" s="1">
        <v>22</v>
      </c>
      <c r="B875" s="55">
        <f t="shared" si="63"/>
        <v>8</v>
      </c>
      <c r="C875" s="65" t="s">
        <v>1100</v>
      </c>
      <c r="D875" s="66" t="s">
        <v>59</v>
      </c>
      <c r="E875" s="136">
        <v>1090.2</v>
      </c>
      <c r="F875" s="68">
        <v>1090.2</v>
      </c>
      <c r="G875" s="68">
        <v>1090.2</v>
      </c>
      <c r="H875" s="68">
        <v>1056.04</v>
      </c>
      <c r="I875" s="68">
        <v>0</v>
      </c>
      <c r="J875" s="61" t="s">
        <v>29</v>
      </c>
      <c r="K875" s="62" t="s">
        <v>30</v>
      </c>
      <c r="L875" s="57" t="s">
        <v>1101</v>
      </c>
    </row>
    <row r="876" spans="1:12" ht="51.75" x14ac:dyDescent="0.25">
      <c r="A876" s="1">
        <v>22</v>
      </c>
      <c r="B876" s="55">
        <f t="shared" si="63"/>
        <v>9</v>
      </c>
      <c r="C876" s="65" t="s">
        <v>1102</v>
      </c>
      <c r="D876" s="66" t="s">
        <v>69</v>
      </c>
      <c r="E876" s="136">
        <v>431.6</v>
      </c>
      <c r="F876" s="68">
        <v>431.6</v>
      </c>
      <c r="G876" s="68">
        <v>431.6</v>
      </c>
      <c r="H876" s="68">
        <v>431.6</v>
      </c>
      <c r="I876" s="68">
        <v>0</v>
      </c>
      <c r="J876" s="61" t="s">
        <v>29</v>
      </c>
      <c r="K876" s="62" t="s">
        <v>30</v>
      </c>
      <c r="L876" s="57" t="s">
        <v>1103</v>
      </c>
    </row>
    <row r="877" spans="1:12" ht="69" x14ac:dyDescent="0.25">
      <c r="A877" s="1">
        <v>22</v>
      </c>
      <c r="B877" s="55">
        <f t="shared" si="63"/>
        <v>10</v>
      </c>
      <c r="C877" s="65" t="s">
        <v>1104</v>
      </c>
      <c r="D877" s="66" t="s">
        <v>153</v>
      </c>
      <c r="E877" s="136">
        <v>5131.2</v>
      </c>
      <c r="F877" s="68">
        <v>5131.2</v>
      </c>
      <c r="G877" s="68">
        <v>5131.2</v>
      </c>
      <c r="H877" s="68">
        <v>4930.7709999999997</v>
      </c>
      <c r="I877" s="68">
        <v>0</v>
      </c>
      <c r="J877" s="96" t="s">
        <v>1105</v>
      </c>
      <c r="K877" s="62" t="s">
        <v>1106</v>
      </c>
      <c r="L877" s="57"/>
    </row>
    <row r="878" spans="1:12" ht="51.75" x14ac:dyDescent="0.25">
      <c r="A878" s="1">
        <v>22</v>
      </c>
      <c r="B878" s="55">
        <f t="shared" si="63"/>
        <v>11</v>
      </c>
      <c r="C878" s="65" t="s">
        <v>1107</v>
      </c>
      <c r="D878" s="66" t="s">
        <v>153</v>
      </c>
      <c r="E878" s="136">
        <v>2137.3000000000002</v>
      </c>
      <c r="F878" s="68">
        <v>2137.3000000000002</v>
      </c>
      <c r="G878" s="68">
        <v>2137.3000000000002</v>
      </c>
      <c r="H878" s="68">
        <v>1927.8340000000001</v>
      </c>
      <c r="I878" s="68">
        <v>0</v>
      </c>
      <c r="J878" s="96" t="s">
        <v>110</v>
      </c>
      <c r="K878" s="62" t="s">
        <v>1108</v>
      </c>
      <c r="L878" s="57"/>
    </row>
    <row r="879" spans="1:12" ht="69" x14ac:dyDescent="0.25">
      <c r="A879" s="1">
        <v>22</v>
      </c>
      <c r="B879" s="55">
        <f t="shared" si="63"/>
        <v>12</v>
      </c>
      <c r="C879" s="65" t="s">
        <v>1109</v>
      </c>
      <c r="D879" s="66" t="s">
        <v>153</v>
      </c>
      <c r="E879" s="136">
        <v>2201.1</v>
      </c>
      <c r="F879" s="68">
        <v>2201.1</v>
      </c>
      <c r="G879" s="68">
        <v>2201.1</v>
      </c>
      <c r="H879" s="68">
        <v>528.27</v>
      </c>
      <c r="I879" s="68">
        <v>0</v>
      </c>
      <c r="J879" s="61" t="s">
        <v>45</v>
      </c>
      <c r="K879" s="62" t="s">
        <v>428</v>
      </c>
      <c r="L879" s="57"/>
    </row>
    <row r="880" spans="1:12" ht="45" x14ac:dyDescent="0.25">
      <c r="A880" s="1">
        <v>22</v>
      </c>
      <c r="B880" s="55">
        <f t="shared" si="63"/>
        <v>13</v>
      </c>
      <c r="C880" s="65" t="s">
        <v>1110</v>
      </c>
      <c r="D880" s="66" t="s">
        <v>153</v>
      </c>
      <c r="E880" s="136">
        <v>1245.0999999999999</v>
      </c>
      <c r="F880" s="68">
        <v>1245.0999999999999</v>
      </c>
      <c r="G880" s="68">
        <v>1245.0999999999999</v>
      </c>
      <c r="H880" s="68">
        <v>1207.816</v>
      </c>
      <c r="I880" s="68">
        <v>0</v>
      </c>
      <c r="J880" s="61" t="s">
        <v>29</v>
      </c>
      <c r="K880" s="62" t="s">
        <v>30</v>
      </c>
      <c r="L880" s="57" t="s">
        <v>1111</v>
      </c>
    </row>
    <row r="881" spans="1:12" ht="103.5" x14ac:dyDescent="0.25">
      <c r="A881" s="1">
        <v>22</v>
      </c>
      <c r="B881" s="55">
        <f t="shared" si="63"/>
        <v>14</v>
      </c>
      <c r="C881" s="65" t="s">
        <v>1112</v>
      </c>
      <c r="D881" s="66" t="s">
        <v>28</v>
      </c>
      <c r="E881" s="136">
        <v>2506.8000000000002</v>
      </c>
      <c r="F881" s="68">
        <v>2506.8000000000002</v>
      </c>
      <c r="G881" s="68">
        <v>2506.8000000000002</v>
      </c>
      <c r="H881" s="68">
        <v>1886.261</v>
      </c>
      <c r="I881" s="68">
        <v>0</v>
      </c>
      <c r="J881" s="61" t="s">
        <v>45</v>
      </c>
      <c r="K881" s="62" t="s">
        <v>590</v>
      </c>
      <c r="L881" s="57"/>
    </row>
    <row r="882" spans="1:12" ht="69" x14ac:dyDescent="0.25">
      <c r="A882" s="1">
        <v>22</v>
      </c>
      <c r="B882" s="55">
        <f t="shared" si="63"/>
        <v>15</v>
      </c>
      <c r="C882" s="65" t="s">
        <v>1113</v>
      </c>
      <c r="D882" s="66" t="s">
        <v>153</v>
      </c>
      <c r="E882" s="136">
        <v>1026.9000000000001</v>
      </c>
      <c r="F882" s="68">
        <v>1026.9000000000001</v>
      </c>
      <c r="G882" s="68">
        <v>1026.9000000000001</v>
      </c>
      <c r="H882" s="68">
        <v>1022.21</v>
      </c>
      <c r="I882" s="68">
        <v>0</v>
      </c>
      <c r="J882" s="61" t="s">
        <v>29</v>
      </c>
      <c r="K882" s="62" t="s">
        <v>1015</v>
      </c>
      <c r="L882" s="57" t="s">
        <v>1114</v>
      </c>
    </row>
    <row r="883" spans="1:12" ht="51.75" x14ac:dyDescent="0.25">
      <c r="A883" s="1">
        <v>22</v>
      </c>
      <c r="B883" s="55">
        <f t="shared" si="63"/>
        <v>16</v>
      </c>
      <c r="C883" s="65" t="s">
        <v>1115</v>
      </c>
      <c r="D883" s="66" t="s">
        <v>153</v>
      </c>
      <c r="E883" s="136">
        <v>1063</v>
      </c>
      <c r="F883" s="68">
        <v>1063</v>
      </c>
      <c r="G883" s="68">
        <v>1063</v>
      </c>
      <c r="H883" s="68">
        <v>1012.484</v>
      </c>
      <c r="I883" s="68">
        <v>0</v>
      </c>
      <c r="J883" s="96" t="s">
        <v>110</v>
      </c>
      <c r="K883" s="62" t="s">
        <v>1116</v>
      </c>
      <c r="L883" s="57" t="s">
        <v>57</v>
      </c>
    </row>
    <row r="884" spans="1:12" ht="69" x14ac:dyDescent="0.25">
      <c r="A884" s="1">
        <v>22</v>
      </c>
      <c r="B884" s="64">
        <f t="shared" si="63"/>
        <v>17</v>
      </c>
      <c r="C884" s="65" t="s">
        <v>1117</v>
      </c>
      <c r="D884" s="66" t="s">
        <v>550</v>
      </c>
      <c r="E884" s="136">
        <f>3470.73+1400</f>
        <v>4870.7299999999996</v>
      </c>
      <c r="F884" s="68">
        <v>4870.7299999999996</v>
      </c>
      <c r="G884" s="68">
        <v>4870.7299999999996</v>
      </c>
      <c r="H884" s="68">
        <v>4870.7299999999996</v>
      </c>
      <c r="I884" s="68">
        <v>0</v>
      </c>
      <c r="J884" s="61" t="s">
        <v>45</v>
      </c>
      <c r="K884" s="62" t="s">
        <v>1118</v>
      </c>
      <c r="L884" s="57"/>
    </row>
    <row r="885" spans="1:12" ht="69" x14ac:dyDescent="0.25">
      <c r="A885" s="1">
        <v>22</v>
      </c>
      <c r="B885" s="55">
        <f t="shared" si="63"/>
        <v>18</v>
      </c>
      <c r="C885" s="65" t="s">
        <v>1119</v>
      </c>
      <c r="D885" s="66" t="s">
        <v>153</v>
      </c>
      <c r="E885" s="136">
        <v>9000</v>
      </c>
      <c r="F885" s="68">
        <v>9000</v>
      </c>
      <c r="G885" s="68">
        <v>9000</v>
      </c>
      <c r="H885" s="68">
        <v>9000</v>
      </c>
      <c r="I885" s="68">
        <v>0</v>
      </c>
      <c r="J885" s="61" t="s">
        <v>29</v>
      </c>
      <c r="K885" s="62" t="s">
        <v>1015</v>
      </c>
      <c r="L885" s="57" t="s">
        <v>1120</v>
      </c>
    </row>
    <row r="886" spans="1:12" ht="86.25" x14ac:dyDescent="0.25">
      <c r="A886" s="1">
        <v>22</v>
      </c>
      <c r="B886" s="55">
        <f t="shared" si="63"/>
        <v>19</v>
      </c>
      <c r="C886" s="65" t="s">
        <v>1121</v>
      </c>
      <c r="D886" s="66" t="s">
        <v>37</v>
      </c>
      <c r="E886" s="136">
        <v>3528</v>
      </c>
      <c r="F886" s="68">
        <v>3528</v>
      </c>
      <c r="G886" s="68">
        <v>3528</v>
      </c>
      <c r="H886" s="68">
        <v>3223.627</v>
      </c>
      <c r="I886" s="68">
        <v>0</v>
      </c>
      <c r="J886" s="61" t="s">
        <v>45</v>
      </c>
      <c r="K886" s="62" t="s">
        <v>1122</v>
      </c>
      <c r="L886" s="57"/>
    </row>
    <row r="887" spans="1:12" ht="155.25" x14ac:dyDescent="0.25">
      <c r="A887" s="1">
        <v>22</v>
      </c>
      <c r="B887" s="55">
        <f t="shared" si="63"/>
        <v>20</v>
      </c>
      <c r="C887" s="102" t="s">
        <v>1123</v>
      </c>
      <c r="D887" s="66" t="s">
        <v>59</v>
      </c>
      <c r="E887" s="136">
        <v>3549</v>
      </c>
      <c r="F887" s="68">
        <v>3549</v>
      </c>
      <c r="G887" s="68">
        <v>3549</v>
      </c>
      <c r="H887" s="68">
        <v>3548.0279999999998</v>
      </c>
      <c r="I887" s="68">
        <v>0</v>
      </c>
      <c r="J887" s="61" t="s">
        <v>45</v>
      </c>
      <c r="K887" s="62" t="s">
        <v>1124</v>
      </c>
      <c r="L887" s="57"/>
    </row>
    <row r="888" spans="1:12" ht="51.75" x14ac:dyDescent="0.25">
      <c r="A888" s="1">
        <v>22</v>
      </c>
      <c r="B888" s="64">
        <f t="shared" si="63"/>
        <v>21</v>
      </c>
      <c r="C888" s="97" t="s">
        <v>1125</v>
      </c>
      <c r="D888" s="66" t="s">
        <v>1126</v>
      </c>
      <c r="E888" s="136">
        <v>7369.3980000000001</v>
      </c>
      <c r="F888" s="68">
        <v>7369.3980000000001</v>
      </c>
      <c r="G888" s="68">
        <v>7369.3980000000001</v>
      </c>
      <c r="H888" s="68">
        <v>7288.2190000000001</v>
      </c>
      <c r="I888" s="68">
        <v>0</v>
      </c>
      <c r="J888" s="61" t="s">
        <v>45</v>
      </c>
      <c r="K888" s="62" t="s">
        <v>1099</v>
      </c>
      <c r="L888" s="57"/>
    </row>
    <row r="889" spans="1:12" ht="34.5" x14ac:dyDescent="0.25">
      <c r="A889" s="1">
        <v>22</v>
      </c>
      <c r="B889" s="55">
        <f t="shared" si="63"/>
        <v>22</v>
      </c>
      <c r="C889" s="65" t="s">
        <v>1127</v>
      </c>
      <c r="D889" s="66" t="s">
        <v>153</v>
      </c>
      <c r="E889" s="136">
        <v>3306.3</v>
      </c>
      <c r="F889" s="68">
        <v>3306.3</v>
      </c>
      <c r="G889" s="68">
        <v>3306.3</v>
      </c>
      <c r="H889" s="68">
        <v>3069.7820000000002</v>
      </c>
      <c r="I889" s="68">
        <v>0</v>
      </c>
      <c r="J889" s="96" t="s">
        <v>110</v>
      </c>
      <c r="K889" s="62" t="s">
        <v>1128</v>
      </c>
      <c r="L889" s="57"/>
    </row>
    <row r="890" spans="1:12" ht="86.25" x14ac:dyDescent="0.25">
      <c r="A890" s="1">
        <v>22</v>
      </c>
      <c r="B890" s="55">
        <f t="shared" si="63"/>
        <v>23</v>
      </c>
      <c r="C890" s="65" t="s">
        <v>1129</v>
      </c>
      <c r="D890" s="66" t="s">
        <v>153</v>
      </c>
      <c r="E890" s="136">
        <v>2499.9299999999998</v>
      </c>
      <c r="F890" s="68">
        <v>2499.9299999999998</v>
      </c>
      <c r="G890" s="68">
        <v>2499.9299999999998</v>
      </c>
      <c r="H890" s="68">
        <v>2481.9659999999999</v>
      </c>
      <c r="I890" s="68">
        <v>0</v>
      </c>
      <c r="J890" s="61" t="s">
        <v>45</v>
      </c>
      <c r="K890" s="71" t="s">
        <v>436</v>
      </c>
      <c r="L890" s="57"/>
    </row>
    <row r="891" spans="1:12" ht="51.75" x14ac:dyDescent="0.25">
      <c r="A891" s="1">
        <v>22</v>
      </c>
      <c r="B891" s="55">
        <f t="shared" si="63"/>
        <v>24</v>
      </c>
      <c r="C891" s="65" t="s">
        <v>1130</v>
      </c>
      <c r="D891" s="66" t="s">
        <v>153</v>
      </c>
      <c r="E891" s="136">
        <v>3618.4</v>
      </c>
      <c r="F891" s="68">
        <v>3618.4</v>
      </c>
      <c r="G891" s="68">
        <v>3618.4</v>
      </c>
      <c r="H891" s="68">
        <v>3618.3829999999998</v>
      </c>
      <c r="I891" s="68">
        <v>0</v>
      </c>
      <c r="J891" s="96" t="s">
        <v>631</v>
      </c>
      <c r="K891" s="71" t="s">
        <v>359</v>
      </c>
      <c r="L891" s="57"/>
    </row>
    <row r="892" spans="1:12" ht="51.75" x14ac:dyDescent="0.25">
      <c r="A892" s="1">
        <v>22</v>
      </c>
      <c r="B892" s="55">
        <f t="shared" si="63"/>
        <v>25</v>
      </c>
      <c r="C892" s="65" t="s">
        <v>1131</v>
      </c>
      <c r="D892" s="66" t="s">
        <v>190</v>
      </c>
      <c r="E892" s="136">
        <v>3800</v>
      </c>
      <c r="F892" s="68">
        <v>3800</v>
      </c>
      <c r="G892" s="68">
        <v>3800</v>
      </c>
      <c r="H892" s="68">
        <v>3117.2220000000002</v>
      </c>
      <c r="I892" s="68">
        <v>0</v>
      </c>
      <c r="J892" s="96" t="s">
        <v>110</v>
      </c>
      <c r="K892" s="62"/>
      <c r="L892" s="57"/>
    </row>
    <row r="893" spans="1:12" ht="51.75" x14ac:dyDescent="0.25">
      <c r="A893" s="1">
        <v>22</v>
      </c>
      <c r="B893" s="55">
        <f t="shared" si="63"/>
        <v>26</v>
      </c>
      <c r="C893" s="65" t="s">
        <v>1132</v>
      </c>
      <c r="D893" s="66" t="s">
        <v>153</v>
      </c>
      <c r="E893" s="136">
        <v>1076.04</v>
      </c>
      <c r="F893" s="68">
        <v>1076.04</v>
      </c>
      <c r="G893" s="68">
        <v>1076.04</v>
      </c>
      <c r="H893" s="68">
        <v>1076.04</v>
      </c>
      <c r="I893" s="68">
        <v>0</v>
      </c>
      <c r="J893" s="61" t="s">
        <v>29</v>
      </c>
      <c r="K893" s="62" t="s">
        <v>30</v>
      </c>
      <c r="L893" s="57" t="s">
        <v>1133</v>
      </c>
    </row>
    <row r="894" spans="1:12" ht="69" x14ac:dyDescent="0.25">
      <c r="A894" s="1">
        <v>22</v>
      </c>
      <c r="B894" s="55">
        <f t="shared" si="63"/>
        <v>27</v>
      </c>
      <c r="C894" s="65" t="s">
        <v>1134</v>
      </c>
      <c r="D894" s="66" t="s">
        <v>153</v>
      </c>
      <c r="E894" s="136">
        <v>1002.08</v>
      </c>
      <c r="F894" s="68">
        <v>1002.08</v>
      </c>
      <c r="G894" s="68">
        <v>1002.08</v>
      </c>
      <c r="H894" s="68">
        <v>1002.08</v>
      </c>
      <c r="I894" s="68">
        <v>0</v>
      </c>
      <c r="J894" s="61" t="s">
        <v>29</v>
      </c>
      <c r="K894" s="62" t="s">
        <v>30</v>
      </c>
      <c r="L894" s="57" t="s">
        <v>1135</v>
      </c>
    </row>
    <row r="895" spans="1:12" ht="51.75" x14ac:dyDescent="0.25">
      <c r="A895" s="1">
        <v>22</v>
      </c>
      <c r="B895" s="55">
        <f t="shared" si="63"/>
        <v>28</v>
      </c>
      <c r="C895" s="65" t="s">
        <v>1136</v>
      </c>
      <c r="D895" s="66" t="s">
        <v>153</v>
      </c>
      <c r="E895" s="136">
        <v>3811.8</v>
      </c>
      <c r="F895" s="68">
        <v>3811.8</v>
      </c>
      <c r="G895" s="68">
        <v>3811.8</v>
      </c>
      <c r="H895" s="68">
        <v>3435.8490000000002</v>
      </c>
      <c r="I895" s="68">
        <v>0</v>
      </c>
      <c r="J895" s="96" t="s">
        <v>110</v>
      </c>
      <c r="K895" s="62" t="s">
        <v>1137</v>
      </c>
      <c r="L895" s="57"/>
    </row>
    <row r="896" spans="1:12" ht="69" x14ac:dyDescent="0.25">
      <c r="A896" s="1">
        <v>22</v>
      </c>
      <c r="B896" s="55">
        <f t="shared" si="63"/>
        <v>29</v>
      </c>
      <c r="C896" s="65" t="s">
        <v>1138</v>
      </c>
      <c r="D896" s="66" t="s">
        <v>735</v>
      </c>
      <c r="E896" s="136">
        <v>4433.5</v>
      </c>
      <c r="F896" s="68">
        <v>4433.5</v>
      </c>
      <c r="G896" s="68">
        <v>4433.5</v>
      </c>
      <c r="H896" s="68">
        <v>3769.9670000000001</v>
      </c>
      <c r="I896" s="68">
        <v>0</v>
      </c>
      <c r="J896" s="96" t="s">
        <v>110</v>
      </c>
      <c r="K896" s="62" t="s">
        <v>593</v>
      </c>
      <c r="L896" s="57"/>
    </row>
    <row r="897" spans="1:12" ht="51.75" x14ac:dyDescent="0.25">
      <c r="A897" s="1">
        <v>22</v>
      </c>
      <c r="B897" s="55">
        <f t="shared" si="63"/>
        <v>30</v>
      </c>
      <c r="C897" s="65" t="s">
        <v>1139</v>
      </c>
      <c r="D897" s="66" t="s">
        <v>153</v>
      </c>
      <c r="E897" s="137">
        <v>388.7</v>
      </c>
      <c r="F897" s="76">
        <v>388.7</v>
      </c>
      <c r="G897" s="76">
        <v>388.7</v>
      </c>
      <c r="H897" s="76">
        <v>388.7</v>
      </c>
      <c r="I897" s="76">
        <v>0</v>
      </c>
      <c r="J897" s="79" t="s">
        <v>29</v>
      </c>
      <c r="K897" s="80" t="s">
        <v>1140</v>
      </c>
      <c r="L897" s="57" t="s">
        <v>75</v>
      </c>
    </row>
    <row r="898" spans="1:12" ht="86.25" x14ac:dyDescent="0.25">
      <c r="A898" s="1">
        <v>22</v>
      </c>
      <c r="B898" s="55">
        <f t="shared" si="63"/>
        <v>31</v>
      </c>
      <c r="C898" s="65" t="s">
        <v>1141</v>
      </c>
      <c r="D898" s="66" t="s">
        <v>153</v>
      </c>
      <c r="E898" s="137">
        <v>445.4</v>
      </c>
      <c r="F898" s="76">
        <v>445.4</v>
      </c>
      <c r="G898" s="76">
        <v>445.4</v>
      </c>
      <c r="H898" s="76">
        <v>445.4</v>
      </c>
      <c r="I898" s="76">
        <v>0</v>
      </c>
      <c r="J898" s="116" t="s">
        <v>110</v>
      </c>
      <c r="K898" s="80" t="s">
        <v>1116</v>
      </c>
      <c r="L898" s="57"/>
    </row>
    <row r="899" spans="1:12" ht="69" x14ac:dyDescent="0.25">
      <c r="A899" s="1">
        <v>22</v>
      </c>
      <c r="B899" s="55">
        <f t="shared" si="63"/>
        <v>32</v>
      </c>
      <c r="C899" s="65" t="s">
        <v>1142</v>
      </c>
      <c r="D899" s="66" t="s">
        <v>153</v>
      </c>
      <c r="E899" s="137">
        <v>5409.2</v>
      </c>
      <c r="F899" s="76">
        <v>5409.2</v>
      </c>
      <c r="G899" s="76">
        <v>5409.2</v>
      </c>
      <c r="H899" s="76">
        <v>5405.5889999999999</v>
      </c>
      <c r="I899" s="76">
        <v>0</v>
      </c>
      <c r="J899" s="116" t="s">
        <v>110</v>
      </c>
      <c r="K899" s="80" t="s">
        <v>1143</v>
      </c>
      <c r="L899" s="57"/>
    </row>
    <row r="900" spans="1:12" ht="69" x14ac:dyDescent="0.25">
      <c r="A900" s="1">
        <v>22</v>
      </c>
      <c r="B900" s="64">
        <f t="shared" si="63"/>
        <v>33</v>
      </c>
      <c r="C900" s="65" t="s">
        <v>1144</v>
      </c>
      <c r="D900" s="66" t="s">
        <v>95</v>
      </c>
      <c r="E900" s="137">
        <f>3540.69-1000</f>
        <v>2540.69</v>
      </c>
      <c r="F900" s="76">
        <v>2540.69</v>
      </c>
      <c r="G900" s="76">
        <v>2540.69</v>
      </c>
      <c r="H900" s="76">
        <v>2396.4830000000002</v>
      </c>
      <c r="I900" s="76">
        <v>0</v>
      </c>
      <c r="J900" s="79" t="s">
        <v>45</v>
      </c>
      <c r="K900" s="80" t="s">
        <v>1145</v>
      </c>
      <c r="L900" s="125"/>
    </row>
    <row r="901" spans="1:12" ht="104.25" thickBot="1" x14ac:dyDescent="0.3">
      <c r="A901" s="1">
        <v>22</v>
      </c>
      <c r="B901" s="82">
        <f t="shared" si="63"/>
        <v>34</v>
      </c>
      <c r="C901" s="83" t="s">
        <v>1146</v>
      </c>
      <c r="D901" s="84" t="s">
        <v>1147</v>
      </c>
      <c r="E901" s="138">
        <v>1000</v>
      </c>
      <c r="F901" s="86">
        <v>1000</v>
      </c>
      <c r="G901" s="86">
        <v>1000</v>
      </c>
      <c r="H901" s="86">
        <v>1000</v>
      </c>
      <c r="I901" s="86">
        <v>0</v>
      </c>
      <c r="J901" s="89" t="s">
        <v>483</v>
      </c>
      <c r="K901" s="90"/>
      <c r="L901" s="123"/>
    </row>
    <row r="902" spans="1:12" ht="15.75" thickBot="1" x14ac:dyDescent="0.3">
      <c r="A902" s="1">
        <v>23</v>
      </c>
      <c r="B902" s="192" t="s">
        <v>1148</v>
      </c>
      <c r="C902" s="193"/>
      <c r="D902" s="193"/>
      <c r="E902" s="163"/>
      <c r="F902" s="163"/>
      <c r="G902" s="163"/>
      <c r="H902" s="163"/>
      <c r="I902" s="163"/>
      <c r="J902" s="163"/>
      <c r="K902" s="163"/>
      <c r="L902" s="164"/>
    </row>
    <row r="903" spans="1:12" ht="18.75" x14ac:dyDescent="0.25">
      <c r="A903" s="1">
        <v>23</v>
      </c>
      <c r="B903" s="36"/>
      <c r="C903" s="37" t="s">
        <v>24</v>
      </c>
      <c r="D903" s="38"/>
      <c r="E903" s="39">
        <f t="shared" ref="E903:I903" si="64">SUM(E904,E906:E920)</f>
        <v>67882.396999999997</v>
      </c>
      <c r="F903" s="40">
        <f t="shared" si="64"/>
        <v>67882.397000000012</v>
      </c>
      <c r="G903" s="40">
        <f t="shared" si="64"/>
        <v>67882.397000000012</v>
      </c>
      <c r="H903" s="40">
        <f t="shared" si="64"/>
        <v>67320.445000000007</v>
      </c>
      <c r="I903" s="40">
        <f t="shared" si="64"/>
        <v>555.45799999999997</v>
      </c>
      <c r="J903" s="92"/>
      <c r="K903" s="93"/>
      <c r="L903" s="38"/>
    </row>
    <row r="904" spans="1:12" ht="18.75" x14ac:dyDescent="0.25">
      <c r="A904" s="1">
        <v>23</v>
      </c>
      <c r="B904" s="46"/>
      <c r="C904" s="24" t="s">
        <v>21</v>
      </c>
      <c r="D904" s="47"/>
      <c r="E904" s="48">
        <v>0</v>
      </c>
      <c r="F904" s="49">
        <v>0</v>
      </c>
      <c r="G904" s="49">
        <v>0</v>
      </c>
      <c r="H904" s="49"/>
      <c r="I904" s="49"/>
      <c r="J904" s="95"/>
      <c r="K904" s="25"/>
      <c r="L904" s="47"/>
    </row>
    <row r="905" spans="1:12" ht="16.5" x14ac:dyDescent="0.25">
      <c r="A905" s="1">
        <v>23</v>
      </c>
      <c r="B905" s="46"/>
      <c r="C905" s="54" t="s">
        <v>22</v>
      </c>
      <c r="D905" s="47"/>
      <c r="E905" s="48">
        <f t="shared" ref="E905:I905" si="65">SUM(E906:E920)</f>
        <v>67882.396999999997</v>
      </c>
      <c r="F905" s="49">
        <f t="shared" si="65"/>
        <v>67882.397000000012</v>
      </c>
      <c r="G905" s="49">
        <f t="shared" si="65"/>
        <v>67882.397000000012</v>
      </c>
      <c r="H905" s="49">
        <f t="shared" si="65"/>
        <v>67320.445000000007</v>
      </c>
      <c r="I905" s="49">
        <f t="shared" si="65"/>
        <v>555.45799999999997</v>
      </c>
      <c r="J905" s="95"/>
      <c r="K905" s="25"/>
      <c r="L905" s="47"/>
    </row>
    <row r="906" spans="1:12" ht="69" x14ac:dyDescent="0.25">
      <c r="A906" s="1">
        <v>23</v>
      </c>
      <c r="B906" s="55">
        <v>1</v>
      </c>
      <c r="C906" s="65" t="s">
        <v>1149</v>
      </c>
      <c r="D906" s="66"/>
      <c r="E906" s="67">
        <v>106.81399999999999</v>
      </c>
      <c r="F906" s="68">
        <v>106.81399999999999</v>
      </c>
      <c r="G906" s="68">
        <v>106.81399999999999</v>
      </c>
      <c r="H906" s="68">
        <v>106.81399999999999</v>
      </c>
      <c r="I906" s="68">
        <v>106.81399999999999</v>
      </c>
      <c r="J906" s="61"/>
      <c r="K906" s="62"/>
      <c r="L906" s="57" t="s">
        <v>33</v>
      </c>
    </row>
    <row r="907" spans="1:12" ht="90" x14ac:dyDescent="0.25">
      <c r="A907" s="1">
        <v>23</v>
      </c>
      <c r="B907" s="55">
        <f>B906+1</f>
        <v>2</v>
      </c>
      <c r="C907" s="65" t="s">
        <v>1150</v>
      </c>
      <c r="D907" s="66"/>
      <c r="E907" s="67">
        <v>448.64400000000001</v>
      </c>
      <c r="F907" s="68">
        <v>448.64400000000001</v>
      </c>
      <c r="G907" s="68">
        <v>448.64400000000001</v>
      </c>
      <c r="H907" s="68">
        <v>448.64400000000001</v>
      </c>
      <c r="I907" s="68">
        <v>448.64400000000001</v>
      </c>
      <c r="J907" s="61"/>
      <c r="K907" s="62"/>
      <c r="L907" s="57" t="s">
        <v>1151</v>
      </c>
    </row>
    <row r="908" spans="1:12" ht="51.75" x14ac:dyDescent="0.25">
      <c r="A908" s="1">
        <v>23</v>
      </c>
      <c r="B908" s="55">
        <f t="shared" ref="B908:B920" si="66">B907+1</f>
        <v>3</v>
      </c>
      <c r="C908" s="65" t="s">
        <v>1152</v>
      </c>
      <c r="D908" s="66" t="s">
        <v>1153</v>
      </c>
      <c r="E908" s="67">
        <v>9015.4310000000005</v>
      </c>
      <c r="F908" s="68">
        <v>9015.4310000000005</v>
      </c>
      <c r="G908" s="68">
        <v>9015.4310000000005</v>
      </c>
      <c r="H908" s="68">
        <v>9005.634</v>
      </c>
      <c r="I908" s="68">
        <v>0</v>
      </c>
      <c r="J908" s="61" t="s">
        <v>45</v>
      </c>
      <c r="K908" s="62"/>
      <c r="L908" s="57"/>
    </row>
    <row r="909" spans="1:12" ht="86.25" x14ac:dyDescent="0.25">
      <c r="A909" s="1">
        <v>23</v>
      </c>
      <c r="B909" s="55">
        <f t="shared" si="66"/>
        <v>4</v>
      </c>
      <c r="C909" s="65" t="s">
        <v>1154</v>
      </c>
      <c r="D909" s="66" t="s">
        <v>69</v>
      </c>
      <c r="E909" s="67">
        <v>1900</v>
      </c>
      <c r="F909" s="68">
        <v>1900</v>
      </c>
      <c r="G909" s="68">
        <v>1900</v>
      </c>
      <c r="H909" s="68">
        <v>1900</v>
      </c>
      <c r="I909" s="68">
        <v>0</v>
      </c>
      <c r="J909" s="61" t="s">
        <v>796</v>
      </c>
      <c r="K909" s="62" t="s">
        <v>30</v>
      </c>
      <c r="L909" s="57" t="s">
        <v>126</v>
      </c>
    </row>
    <row r="910" spans="1:12" ht="51.75" x14ac:dyDescent="0.25">
      <c r="A910" s="1">
        <v>23</v>
      </c>
      <c r="B910" s="55">
        <f t="shared" si="66"/>
        <v>5</v>
      </c>
      <c r="C910" s="65" t="s">
        <v>1155</v>
      </c>
      <c r="D910" s="66" t="s">
        <v>153</v>
      </c>
      <c r="E910" s="67">
        <v>3779.3290000000002</v>
      </c>
      <c r="F910" s="68">
        <v>3779.3290000000002</v>
      </c>
      <c r="G910" s="68">
        <v>3779.3290000000002</v>
      </c>
      <c r="H910" s="68">
        <v>3697.1880000000001</v>
      </c>
      <c r="I910" s="68">
        <v>0</v>
      </c>
      <c r="J910" s="61" t="s">
        <v>45</v>
      </c>
      <c r="K910" s="62" t="s">
        <v>30</v>
      </c>
      <c r="L910" s="57" t="s">
        <v>126</v>
      </c>
    </row>
    <row r="911" spans="1:12" ht="86.25" x14ac:dyDescent="0.25">
      <c r="A911" s="1">
        <v>23</v>
      </c>
      <c r="B911" s="55">
        <f t="shared" si="66"/>
        <v>6</v>
      </c>
      <c r="C911" s="65" t="s">
        <v>1156</v>
      </c>
      <c r="D911" s="66" t="s">
        <v>153</v>
      </c>
      <c r="E911" s="67">
        <v>1094.0999999999999</v>
      </c>
      <c r="F911" s="68">
        <v>1094.0999999999999</v>
      </c>
      <c r="G911" s="68">
        <v>1094.0999999999999</v>
      </c>
      <c r="H911" s="68">
        <v>1076.6970000000001</v>
      </c>
      <c r="I911" s="68">
        <v>0</v>
      </c>
      <c r="J911" s="61" t="s">
        <v>45</v>
      </c>
      <c r="K911" s="62"/>
      <c r="L911" s="57"/>
    </row>
    <row r="912" spans="1:12" ht="69" x14ac:dyDescent="0.25">
      <c r="A912" s="1">
        <v>23</v>
      </c>
      <c r="B912" s="55">
        <f t="shared" si="66"/>
        <v>7</v>
      </c>
      <c r="C912" s="65" t="s">
        <v>1157</v>
      </c>
      <c r="D912" s="66" t="s">
        <v>37</v>
      </c>
      <c r="E912" s="67">
        <v>1638.009</v>
      </c>
      <c r="F912" s="68">
        <v>1638.009</v>
      </c>
      <c r="G912" s="68">
        <v>1638.009</v>
      </c>
      <c r="H912" s="68">
        <v>1599.652</v>
      </c>
      <c r="I912" s="68">
        <v>0</v>
      </c>
      <c r="J912" s="61" t="s">
        <v>45</v>
      </c>
      <c r="K912" s="62"/>
      <c r="L912" s="57"/>
    </row>
    <row r="913" spans="1:12" ht="69" x14ac:dyDescent="0.25">
      <c r="A913" s="1">
        <v>23</v>
      </c>
      <c r="B913" s="55">
        <f t="shared" si="66"/>
        <v>8</v>
      </c>
      <c r="C913" s="65" t="s">
        <v>1158</v>
      </c>
      <c r="D913" s="66" t="s">
        <v>153</v>
      </c>
      <c r="E913" s="67">
        <v>1434.6220000000001</v>
      </c>
      <c r="F913" s="68">
        <v>1434.6220000000001</v>
      </c>
      <c r="G913" s="68">
        <v>1434.6220000000001</v>
      </c>
      <c r="H913" s="68">
        <v>1170</v>
      </c>
      <c r="I913" s="68">
        <v>0</v>
      </c>
      <c r="J913" s="61" t="s">
        <v>29</v>
      </c>
      <c r="K913" s="62" t="s">
        <v>1159</v>
      </c>
      <c r="L913" s="57" t="s">
        <v>1160</v>
      </c>
    </row>
    <row r="914" spans="1:12" ht="69" x14ac:dyDescent="0.25">
      <c r="A914" s="1">
        <v>23</v>
      </c>
      <c r="B914" s="55">
        <f t="shared" si="66"/>
        <v>9</v>
      </c>
      <c r="C914" s="65" t="s">
        <v>1161</v>
      </c>
      <c r="D914" s="66" t="s">
        <v>153</v>
      </c>
      <c r="E914" s="67">
        <v>1078.7</v>
      </c>
      <c r="F914" s="68">
        <v>1078.7</v>
      </c>
      <c r="G914" s="68">
        <v>1078.7</v>
      </c>
      <c r="H914" s="68">
        <v>983.25</v>
      </c>
      <c r="I914" s="68">
        <v>0</v>
      </c>
      <c r="J914" s="61" t="s">
        <v>45</v>
      </c>
      <c r="K914" s="62"/>
      <c r="L914" s="57"/>
    </row>
    <row r="915" spans="1:12" ht="69" x14ac:dyDescent="0.25">
      <c r="A915" s="1">
        <v>23</v>
      </c>
      <c r="B915" s="55">
        <f t="shared" si="66"/>
        <v>10</v>
      </c>
      <c r="C915" s="65" t="s">
        <v>1162</v>
      </c>
      <c r="D915" s="66" t="s">
        <v>153</v>
      </c>
      <c r="E915" s="67">
        <v>1200</v>
      </c>
      <c r="F915" s="68">
        <v>1200</v>
      </c>
      <c r="G915" s="68">
        <v>1200</v>
      </c>
      <c r="H915" s="68">
        <v>1165.8200000000002</v>
      </c>
      <c r="I915" s="68">
        <v>0</v>
      </c>
      <c r="J915" s="61" t="s">
        <v>29</v>
      </c>
      <c r="K915" s="62" t="s">
        <v>30</v>
      </c>
      <c r="L915" s="57" t="s">
        <v>1163</v>
      </c>
    </row>
    <row r="916" spans="1:12" ht="69" x14ac:dyDescent="0.25">
      <c r="A916" s="1">
        <v>23</v>
      </c>
      <c r="B916" s="55">
        <f t="shared" si="66"/>
        <v>11</v>
      </c>
      <c r="C916" s="65" t="s">
        <v>1164</v>
      </c>
      <c r="D916" s="66" t="s">
        <v>37</v>
      </c>
      <c r="E916" s="67">
        <v>617.9</v>
      </c>
      <c r="F916" s="68">
        <v>617.9</v>
      </c>
      <c r="G916" s="68">
        <v>617.9</v>
      </c>
      <c r="H916" s="68">
        <v>617.9</v>
      </c>
      <c r="I916" s="68">
        <v>0</v>
      </c>
      <c r="J916" s="61" t="s">
        <v>29</v>
      </c>
      <c r="K916" s="62" t="s">
        <v>1165</v>
      </c>
      <c r="L916" s="57" t="s">
        <v>57</v>
      </c>
    </row>
    <row r="917" spans="1:12" ht="69" x14ac:dyDescent="0.25">
      <c r="A917" s="1">
        <v>23</v>
      </c>
      <c r="B917" s="55">
        <f t="shared" si="66"/>
        <v>12</v>
      </c>
      <c r="C917" s="65" t="s">
        <v>1166</v>
      </c>
      <c r="D917" s="66" t="s">
        <v>69</v>
      </c>
      <c r="E917" s="67">
        <v>3</v>
      </c>
      <c r="F917" s="68">
        <v>3</v>
      </c>
      <c r="G917" s="68">
        <v>3</v>
      </c>
      <c r="H917" s="68">
        <v>3</v>
      </c>
      <c r="I917" s="68">
        <v>0</v>
      </c>
      <c r="J917" s="61" t="s">
        <v>29</v>
      </c>
      <c r="K917" s="62"/>
      <c r="L917" s="57" t="s">
        <v>75</v>
      </c>
    </row>
    <row r="918" spans="1:12" ht="86.25" x14ac:dyDescent="0.25">
      <c r="A918" s="1">
        <v>23</v>
      </c>
      <c r="B918" s="55">
        <f t="shared" si="66"/>
        <v>13</v>
      </c>
      <c r="C918" s="65" t="s">
        <v>1167</v>
      </c>
      <c r="D918" s="66" t="s">
        <v>28</v>
      </c>
      <c r="E918" s="67">
        <v>25644.332999999999</v>
      </c>
      <c r="F918" s="68">
        <v>25644.333000000002</v>
      </c>
      <c r="G918" s="68">
        <v>25644.333000000002</v>
      </c>
      <c r="H918" s="68">
        <v>25634.332000000002</v>
      </c>
      <c r="I918" s="68">
        <v>0</v>
      </c>
      <c r="J918" s="61" t="s">
        <v>796</v>
      </c>
      <c r="K918" s="62"/>
      <c r="L918" s="57" t="s">
        <v>126</v>
      </c>
    </row>
    <row r="919" spans="1:12" ht="34.5" x14ac:dyDescent="0.25">
      <c r="A919" s="1">
        <v>23</v>
      </c>
      <c r="B919" s="64">
        <f t="shared" si="66"/>
        <v>14</v>
      </c>
      <c r="C919" s="65" t="s">
        <v>1168</v>
      </c>
      <c r="D919" s="66" t="s">
        <v>982</v>
      </c>
      <c r="E919" s="67">
        <f>17071.162+2759.303</f>
        <v>19830.465</v>
      </c>
      <c r="F919" s="68">
        <v>19830.465</v>
      </c>
      <c r="G919" s="68">
        <v>19830.465</v>
      </c>
      <c r="H919" s="68">
        <v>19820.464</v>
      </c>
      <c r="I919" s="68">
        <v>0</v>
      </c>
      <c r="J919" s="61" t="s">
        <v>796</v>
      </c>
      <c r="K919" s="62"/>
      <c r="L919" s="57" t="s">
        <v>126</v>
      </c>
    </row>
    <row r="920" spans="1:12" ht="87" thickBot="1" x14ac:dyDescent="0.3">
      <c r="A920" s="1">
        <v>23</v>
      </c>
      <c r="B920" s="103">
        <f t="shared" si="66"/>
        <v>15</v>
      </c>
      <c r="C920" s="83" t="s">
        <v>1169</v>
      </c>
      <c r="D920" s="84" t="s">
        <v>28</v>
      </c>
      <c r="E920" s="85">
        <v>91.05</v>
      </c>
      <c r="F920" s="86">
        <v>91.05</v>
      </c>
      <c r="G920" s="86">
        <v>91.05</v>
      </c>
      <c r="H920" s="86">
        <v>91.05</v>
      </c>
      <c r="I920" s="86">
        <v>0</v>
      </c>
      <c r="J920" s="89" t="s">
        <v>29</v>
      </c>
      <c r="K920" s="90"/>
      <c r="L920" s="123" t="s">
        <v>75</v>
      </c>
    </row>
    <row r="921" spans="1:12" ht="15.75" thickBot="1" x14ac:dyDescent="0.3">
      <c r="A921" s="1">
        <v>24</v>
      </c>
      <c r="B921" s="189" t="s">
        <v>1170</v>
      </c>
      <c r="C921" s="190"/>
      <c r="D921" s="190"/>
      <c r="E921" s="190"/>
      <c r="F921" s="190"/>
      <c r="G921" s="190"/>
      <c r="H921" s="190"/>
      <c r="I921" s="190"/>
      <c r="J921" s="190"/>
      <c r="K921" s="190"/>
      <c r="L921" s="191"/>
    </row>
    <row r="922" spans="1:12" ht="18.75" x14ac:dyDescent="0.25">
      <c r="A922" s="1">
        <v>24</v>
      </c>
      <c r="B922" s="36"/>
      <c r="C922" s="37" t="s">
        <v>24</v>
      </c>
      <c r="D922" s="38"/>
      <c r="E922" s="39">
        <f t="shared" ref="E922:I922" si="67">SUM(E923,E925:E937)</f>
        <v>83467.947000000015</v>
      </c>
      <c r="F922" s="40">
        <f t="shared" si="67"/>
        <v>83465.030000000013</v>
      </c>
      <c r="G922" s="40">
        <f t="shared" si="67"/>
        <v>83465.030000000013</v>
      </c>
      <c r="H922" s="40">
        <f t="shared" si="67"/>
        <v>67886.192999999999</v>
      </c>
      <c r="I922" s="40">
        <f t="shared" si="67"/>
        <v>2202.0650000000001</v>
      </c>
      <c r="J922" s="92"/>
      <c r="K922" s="93"/>
      <c r="L922" s="38"/>
    </row>
    <row r="923" spans="1:12" ht="18.75" x14ac:dyDescent="0.25">
      <c r="A923" s="1">
        <v>24</v>
      </c>
      <c r="B923" s="46"/>
      <c r="C923" s="24" t="s">
        <v>21</v>
      </c>
      <c r="D923" s="47"/>
      <c r="E923" s="48">
        <v>2.9169999999999998</v>
      </c>
      <c r="F923" s="49">
        <v>0</v>
      </c>
      <c r="G923" s="49">
        <v>0</v>
      </c>
      <c r="H923" s="49"/>
      <c r="I923" s="49"/>
      <c r="J923" s="95"/>
      <c r="K923" s="25"/>
      <c r="L923" s="47"/>
    </row>
    <row r="924" spans="1:12" ht="16.5" x14ac:dyDescent="0.25">
      <c r="A924" s="1">
        <v>24</v>
      </c>
      <c r="B924" s="46"/>
      <c r="C924" s="54" t="s">
        <v>22</v>
      </c>
      <c r="D924" s="47"/>
      <c r="E924" s="48">
        <f t="shared" ref="E924:I924" si="68">SUM(E925:E937)</f>
        <v>83465.030000000013</v>
      </c>
      <c r="F924" s="49">
        <f t="shared" si="68"/>
        <v>83465.030000000013</v>
      </c>
      <c r="G924" s="49">
        <f t="shared" si="68"/>
        <v>83465.030000000013</v>
      </c>
      <c r="H924" s="106">
        <f t="shared" si="68"/>
        <v>67886.192999999999</v>
      </c>
      <c r="I924" s="49">
        <f t="shared" si="68"/>
        <v>2202.0650000000001</v>
      </c>
      <c r="J924" s="95"/>
      <c r="K924" s="25"/>
      <c r="L924" s="47"/>
    </row>
    <row r="925" spans="1:12" ht="86.25" x14ac:dyDescent="0.25">
      <c r="A925" s="1">
        <v>24</v>
      </c>
      <c r="B925" s="55">
        <v>1</v>
      </c>
      <c r="C925" s="65" t="s">
        <v>1171</v>
      </c>
      <c r="D925" s="66" t="s">
        <v>986</v>
      </c>
      <c r="E925" s="67">
        <v>21945.821</v>
      </c>
      <c r="F925" s="68">
        <v>21945.821</v>
      </c>
      <c r="G925" s="68">
        <v>21945.821</v>
      </c>
      <c r="H925" s="68">
        <v>21945.821</v>
      </c>
      <c r="I925" s="68">
        <v>945.82100000000003</v>
      </c>
      <c r="J925" s="61" t="s">
        <v>45</v>
      </c>
      <c r="K925" s="62"/>
      <c r="L925" s="57"/>
    </row>
    <row r="926" spans="1:12" ht="69" x14ac:dyDescent="0.25">
      <c r="A926" s="1">
        <v>24</v>
      </c>
      <c r="B926" s="55">
        <f>B925+1</f>
        <v>2</v>
      </c>
      <c r="C926" s="65" t="s">
        <v>1172</v>
      </c>
      <c r="D926" s="66"/>
      <c r="E926" s="67">
        <v>183.03399999999999</v>
      </c>
      <c r="F926" s="68">
        <v>183.03399999999999</v>
      </c>
      <c r="G926" s="68">
        <v>183.03399999999999</v>
      </c>
      <c r="H926" s="68">
        <v>183.03399999999999</v>
      </c>
      <c r="I926" s="68">
        <v>183.03399999999999</v>
      </c>
      <c r="J926" s="61"/>
      <c r="K926" s="62"/>
      <c r="L926" s="63" t="s">
        <v>33</v>
      </c>
    </row>
    <row r="927" spans="1:12" ht="120.75" x14ac:dyDescent="0.25">
      <c r="A927" s="1">
        <v>24</v>
      </c>
      <c r="B927" s="55">
        <f t="shared" ref="B927:B937" si="69">B926+1</f>
        <v>3</v>
      </c>
      <c r="C927" s="65" t="s">
        <v>1173</v>
      </c>
      <c r="D927" s="66" t="s">
        <v>550</v>
      </c>
      <c r="E927" s="67">
        <v>17670.038</v>
      </c>
      <c r="F927" s="68">
        <v>17670.038</v>
      </c>
      <c r="G927" s="68">
        <v>17670.038</v>
      </c>
      <c r="H927" s="69">
        <v>10730.732</v>
      </c>
      <c r="I927" s="68">
        <v>1073.21</v>
      </c>
      <c r="J927" s="61" t="s">
        <v>45</v>
      </c>
      <c r="K927" s="62"/>
      <c r="L927" s="57"/>
    </row>
    <row r="928" spans="1:12" ht="86.25" x14ac:dyDescent="0.25">
      <c r="A928" s="1">
        <v>24</v>
      </c>
      <c r="B928" s="55">
        <f t="shared" si="69"/>
        <v>4</v>
      </c>
      <c r="C928" s="65" t="s">
        <v>1174</v>
      </c>
      <c r="D928" s="66" t="s">
        <v>986</v>
      </c>
      <c r="E928" s="67">
        <v>5775</v>
      </c>
      <c r="F928" s="68">
        <v>5775</v>
      </c>
      <c r="G928" s="68">
        <v>5775</v>
      </c>
      <c r="H928" s="68">
        <v>2362.5520000000001</v>
      </c>
      <c r="I928" s="68">
        <v>0</v>
      </c>
      <c r="J928" s="61" t="s">
        <v>45</v>
      </c>
      <c r="K928" s="62"/>
      <c r="L928" s="57"/>
    </row>
    <row r="929" spans="1:12" ht="69" x14ac:dyDescent="0.25">
      <c r="A929" s="1">
        <v>24</v>
      </c>
      <c r="B929" s="55">
        <f t="shared" si="69"/>
        <v>5</v>
      </c>
      <c r="C929" s="65" t="s">
        <v>1175</v>
      </c>
      <c r="D929" s="66" t="s">
        <v>37</v>
      </c>
      <c r="E929" s="67">
        <v>6906</v>
      </c>
      <c r="F929" s="68">
        <v>6906</v>
      </c>
      <c r="G929" s="68">
        <v>6906</v>
      </c>
      <c r="H929" s="68">
        <v>6906</v>
      </c>
      <c r="I929" s="68">
        <v>0</v>
      </c>
      <c r="J929" s="61" t="s">
        <v>45</v>
      </c>
      <c r="K929" s="62"/>
      <c r="L929" s="57"/>
    </row>
    <row r="930" spans="1:12" ht="103.5" x14ac:dyDescent="0.25">
      <c r="A930" s="1">
        <v>24</v>
      </c>
      <c r="B930" s="55">
        <f t="shared" si="69"/>
        <v>6</v>
      </c>
      <c r="C930" s="65" t="s">
        <v>1176</v>
      </c>
      <c r="D930" s="66" t="s">
        <v>986</v>
      </c>
      <c r="E930" s="67">
        <v>8867.6489999999994</v>
      </c>
      <c r="F930" s="68">
        <v>8867.6489999999994</v>
      </c>
      <c r="G930" s="68">
        <v>8867.6489999999994</v>
      </c>
      <c r="H930" s="68">
        <v>5681.4520000000002</v>
      </c>
      <c r="I930" s="68">
        <v>0</v>
      </c>
      <c r="J930" s="61" t="s">
        <v>45</v>
      </c>
      <c r="K930" s="62"/>
      <c r="L930" s="57"/>
    </row>
    <row r="931" spans="1:12" ht="69" x14ac:dyDescent="0.25">
      <c r="A931" s="1">
        <v>24</v>
      </c>
      <c r="B931" s="55">
        <f t="shared" si="69"/>
        <v>7</v>
      </c>
      <c r="C931" s="65" t="s">
        <v>1177</v>
      </c>
      <c r="D931" s="66" t="s">
        <v>1178</v>
      </c>
      <c r="E931" s="67">
        <v>8831.7330000000002</v>
      </c>
      <c r="F931" s="68">
        <v>8831.7330000000002</v>
      </c>
      <c r="G931" s="68">
        <v>8831.7330000000002</v>
      </c>
      <c r="H931" s="68">
        <v>8386.6569999999992</v>
      </c>
      <c r="I931" s="68">
        <v>0</v>
      </c>
      <c r="J931" s="61" t="s">
        <v>45</v>
      </c>
      <c r="K931" s="62"/>
      <c r="L931" s="57"/>
    </row>
    <row r="932" spans="1:12" ht="69" x14ac:dyDescent="0.25">
      <c r="A932" s="1">
        <v>24</v>
      </c>
      <c r="B932" s="55">
        <f t="shared" si="69"/>
        <v>8</v>
      </c>
      <c r="C932" s="65" t="s">
        <v>1179</v>
      </c>
      <c r="D932" s="66" t="s">
        <v>153</v>
      </c>
      <c r="E932" s="67">
        <v>895.33799999999997</v>
      </c>
      <c r="F932" s="68">
        <v>895.33799999999997</v>
      </c>
      <c r="G932" s="68">
        <v>895.33799999999997</v>
      </c>
      <c r="H932" s="68">
        <v>894.471</v>
      </c>
      <c r="I932" s="68">
        <v>0</v>
      </c>
      <c r="J932" s="61" t="s">
        <v>29</v>
      </c>
      <c r="K932" s="62" t="s">
        <v>30</v>
      </c>
      <c r="L932" s="57"/>
    </row>
    <row r="933" spans="1:12" ht="69" x14ac:dyDescent="0.25">
      <c r="A933" s="1">
        <v>24</v>
      </c>
      <c r="B933" s="72">
        <f t="shared" si="69"/>
        <v>9</v>
      </c>
      <c r="C933" s="73" t="s">
        <v>1180</v>
      </c>
      <c r="D933" s="74" t="s">
        <v>28</v>
      </c>
      <c r="E933" s="75">
        <v>3597.2689999999998</v>
      </c>
      <c r="F933" s="76">
        <v>3597.2689999999998</v>
      </c>
      <c r="G933" s="76">
        <v>3597.2689999999998</v>
      </c>
      <c r="H933" s="76">
        <v>3597.2689999999998</v>
      </c>
      <c r="I933" s="76">
        <v>0</v>
      </c>
      <c r="J933" s="61" t="s">
        <v>45</v>
      </c>
      <c r="K933" s="62"/>
      <c r="L933" s="57"/>
    </row>
    <row r="934" spans="1:12" ht="86.25" x14ac:dyDescent="0.25">
      <c r="A934" s="1">
        <v>24</v>
      </c>
      <c r="B934" s="72">
        <f t="shared" si="69"/>
        <v>10</v>
      </c>
      <c r="C934" s="73" t="s">
        <v>1181</v>
      </c>
      <c r="D934" s="74" t="s">
        <v>153</v>
      </c>
      <c r="E934" s="75">
        <v>3865.5810000000001</v>
      </c>
      <c r="F934" s="76">
        <v>3865.5810000000001</v>
      </c>
      <c r="G934" s="76">
        <v>3865.5810000000001</v>
      </c>
      <c r="H934" s="76">
        <v>2895.002</v>
      </c>
      <c r="I934" s="76">
        <v>0</v>
      </c>
      <c r="J934" s="79" t="s">
        <v>45</v>
      </c>
      <c r="K934" s="117"/>
      <c r="L934" s="125"/>
    </row>
    <row r="935" spans="1:12" ht="34.5" x14ac:dyDescent="0.25">
      <c r="A935" s="1">
        <v>24</v>
      </c>
      <c r="B935" s="72">
        <f t="shared" si="69"/>
        <v>11</v>
      </c>
      <c r="C935" s="73" t="s">
        <v>1182</v>
      </c>
      <c r="D935" s="74" t="s">
        <v>153</v>
      </c>
      <c r="E935" s="75">
        <v>2910.9560000000001</v>
      </c>
      <c r="F935" s="76">
        <v>2910.9560000000001</v>
      </c>
      <c r="G935" s="76">
        <v>2910.9560000000001</v>
      </c>
      <c r="H935" s="76">
        <v>2606.8150000000001</v>
      </c>
      <c r="I935" s="76">
        <v>0</v>
      </c>
      <c r="J935" s="79" t="s">
        <v>29</v>
      </c>
      <c r="K935" s="117" t="s">
        <v>359</v>
      </c>
      <c r="L935" s="57"/>
    </row>
    <row r="936" spans="1:12" ht="86.25" x14ac:dyDescent="0.25">
      <c r="A936" s="1">
        <v>24</v>
      </c>
      <c r="B936" s="72">
        <f t="shared" si="69"/>
        <v>12</v>
      </c>
      <c r="C936" s="73" t="s">
        <v>1183</v>
      </c>
      <c r="D936" s="74" t="s">
        <v>735</v>
      </c>
      <c r="E936" s="75">
        <v>1729.7360000000001</v>
      </c>
      <c r="F936" s="76">
        <v>1729.7360000000001</v>
      </c>
      <c r="G936" s="76">
        <v>1729.7360000000001</v>
      </c>
      <c r="H936" s="76">
        <v>1409.5129999999999</v>
      </c>
      <c r="I936" s="76">
        <v>0</v>
      </c>
      <c r="J936" s="61" t="s">
        <v>45</v>
      </c>
      <c r="K936" s="62"/>
      <c r="L936" s="57"/>
    </row>
    <row r="937" spans="1:12" ht="69.75" thickBot="1" x14ac:dyDescent="0.3">
      <c r="A937" s="1">
        <v>24</v>
      </c>
      <c r="B937" s="82">
        <f t="shared" si="69"/>
        <v>13</v>
      </c>
      <c r="C937" s="83" t="s">
        <v>1184</v>
      </c>
      <c r="D937" s="84" t="s">
        <v>735</v>
      </c>
      <c r="E937" s="85">
        <v>286.875</v>
      </c>
      <c r="F937" s="86">
        <v>286.875</v>
      </c>
      <c r="G937" s="86">
        <v>286.875</v>
      </c>
      <c r="H937" s="86">
        <v>286.875</v>
      </c>
      <c r="I937" s="86">
        <v>0</v>
      </c>
      <c r="J937" s="89" t="s">
        <v>29</v>
      </c>
      <c r="K937" s="121" t="s">
        <v>30</v>
      </c>
      <c r="L937" s="123"/>
    </row>
    <row r="938" spans="1:12" ht="15.75" thickBot="1" x14ac:dyDescent="0.3">
      <c r="A938" s="1">
        <v>25</v>
      </c>
      <c r="B938" s="162" t="s">
        <v>1185</v>
      </c>
      <c r="C938" s="163"/>
      <c r="D938" s="163"/>
      <c r="E938" s="163"/>
      <c r="F938" s="163"/>
      <c r="G938" s="163"/>
      <c r="H938" s="163"/>
      <c r="I938" s="163"/>
      <c r="J938" s="163"/>
      <c r="K938" s="163"/>
      <c r="L938" s="164"/>
    </row>
    <row r="939" spans="1:12" ht="18.75" x14ac:dyDescent="0.25">
      <c r="A939" s="1">
        <v>25</v>
      </c>
      <c r="B939" s="36"/>
      <c r="C939" s="37" t="s">
        <v>24</v>
      </c>
      <c r="D939" s="38"/>
      <c r="E939" s="39">
        <f t="shared" ref="E939:I939" si="70">SUM(E940,E942:E985)</f>
        <v>98013.200999999972</v>
      </c>
      <c r="F939" s="40">
        <f t="shared" si="70"/>
        <v>98013.200999999972</v>
      </c>
      <c r="G939" s="40">
        <f t="shared" si="70"/>
        <v>98013.200999999972</v>
      </c>
      <c r="H939" s="40">
        <f t="shared" si="70"/>
        <v>83976.314000000013</v>
      </c>
      <c r="I939" s="40">
        <f t="shared" si="70"/>
        <v>1390.48</v>
      </c>
      <c r="J939" s="92"/>
      <c r="K939" s="93"/>
      <c r="L939" s="38"/>
    </row>
    <row r="940" spans="1:12" ht="18.75" x14ac:dyDescent="0.25">
      <c r="A940" s="1">
        <v>25</v>
      </c>
      <c r="B940" s="46"/>
      <c r="C940" s="24" t="s">
        <v>21</v>
      </c>
      <c r="D940" s="47"/>
      <c r="E940" s="48">
        <v>0</v>
      </c>
      <c r="F940" s="49">
        <v>0</v>
      </c>
      <c r="G940" s="49">
        <v>0</v>
      </c>
      <c r="H940" s="49"/>
      <c r="I940" s="49"/>
      <c r="J940" s="95"/>
      <c r="K940" s="25"/>
      <c r="L940" s="47"/>
    </row>
    <row r="941" spans="1:12" ht="16.5" x14ac:dyDescent="0.25">
      <c r="A941" s="1">
        <v>25</v>
      </c>
      <c r="B941" s="46"/>
      <c r="C941" s="54" t="s">
        <v>22</v>
      </c>
      <c r="D941" s="47"/>
      <c r="E941" s="48">
        <f t="shared" ref="E941:I941" si="71">SUM(E942:E985)</f>
        <v>98013.200999999972</v>
      </c>
      <c r="F941" s="49">
        <f t="shared" si="71"/>
        <v>98013.200999999972</v>
      </c>
      <c r="G941" s="49">
        <f t="shared" si="71"/>
        <v>98013.200999999972</v>
      </c>
      <c r="H941" s="49">
        <f t="shared" si="71"/>
        <v>83976.314000000013</v>
      </c>
      <c r="I941" s="49">
        <f t="shared" si="71"/>
        <v>1390.48</v>
      </c>
      <c r="J941" s="95"/>
      <c r="K941" s="25"/>
      <c r="L941" s="47"/>
    </row>
    <row r="942" spans="1:12" ht="103.5" x14ac:dyDescent="0.25">
      <c r="A942" s="1">
        <v>25</v>
      </c>
      <c r="B942" s="55">
        <v>1</v>
      </c>
      <c r="C942" s="65" t="s">
        <v>1186</v>
      </c>
      <c r="D942" s="66"/>
      <c r="E942" s="70">
        <v>1218.067</v>
      </c>
      <c r="F942" s="69">
        <v>1218.067</v>
      </c>
      <c r="G942" s="69">
        <v>1218.067</v>
      </c>
      <c r="H942" s="69">
        <v>1218.067</v>
      </c>
      <c r="I942" s="69">
        <v>1218.067</v>
      </c>
      <c r="J942" s="96"/>
      <c r="K942" s="62"/>
      <c r="L942" s="57" t="s">
        <v>33</v>
      </c>
    </row>
    <row r="943" spans="1:12" ht="69" x14ac:dyDescent="0.25">
      <c r="A943" s="1">
        <v>25</v>
      </c>
      <c r="B943" s="55">
        <f>B942+1</f>
        <v>2</v>
      </c>
      <c r="C943" s="65" t="s">
        <v>1187</v>
      </c>
      <c r="D943" s="66"/>
      <c r="E943" s="70">
        <v>172.41300000000001</v>
      </c>
      <c r="F943" s="69">
        <v>172.41300000000001</v>
      </c>
      <c r="G943" s="69">
        <v>172.41300000000001</v>
      </c>
      <c r="H943" s="69">
        <v>172.41300000000001</v>
      </c>
      <c r="I943" s="69">
        <v>172.41300000000001</v>
      </c>
      <c r="J943" s="96"/>
      <c r="K943" s="62"/>
      <c r="L943" s="57" t="s">
        <v>33</v>
      </c>
    </row>
    <row r="944" spans="1:12" ht="51.75" x14ac:dyDescent="0.25">
      <c r="A944" s="1">
        <v>25</v>
      </c>
      <c r="B944" s="64">
        <f t="shared" ref="B944:B985" si="72">B943+1</f>
        <v>3</v>
      </c>
      <c r="C944" s="65" t="s">
        <v>1188</v>
      </c>
      <c r="D944" s="66" t="s">
        <v>37</v>
      </c>
      <c r="E944" s="70">
        <f>8672.004-2257.704</f>
        <v>6414.3000000000011</v>
      </c>
      <c r="F944" s="69">
        <v>6414.3</v>
      </c>
      <c r="G944" s="69">
        <v>6414.3</v>
      </c>
      <c r="H944" s="69">
        <v>4318.0680000000002</v>
      </c>
      <c r="I944" s="69">
        <v>0</v>
      </c>
      <c r="J944" s="96" t="s">
        <v>45</v>
      </c>
      <c r="K944" s="62"/>
      <c r="L944" s="57"/>
    </row>
    <row r="945" spans="1:12" ht="69" x14ac:dyDescent="0.25">
      <c r="A945" s="1">
        <v>25</v>
      </c>
      <c r="B945" s="64">
        <f t="shared" si="72"/>
        <v>4</v>
      </c>
      <c r="C945" s="65" t="s">
        <v>1189</v>
      </c>
      <c r="D945" s="66" t="s">
        <v>59</v>
      </c>
      <c r="E945" s="70">
        <f>7764.64-1091.907</f>
        <v>6672.7330000000002</v>
      </c>
      <c r="F945" s="69">
        <v>6672.7330000000002</v>
      </c>
      <c r="G945" s="69">
        <v>6672.7330000000002</v>
      </c>
      <c r="H945" s="69">
        <v>6664.098</v>
      </c>
      <c r="I945" s="69">
        <v>0</v>
      </c>
      <c r="J945" s="61" t="s">
        <v>29</v>
      </c>
      <c r="K945" s="62" t="s">
        <v>30</v>
      </c>
      <c r="L945" s="57"/>
    </row>
    <row r="946" spans="1:12" ht="69" x14ac:dyDescent="0.25">
      <c r="A946" s="1">
        <v>25</v>
      </c>
      <c r="B946" s="55">
        <f t="shared" si="72"/>
        <v>5</v>
      </c>
      <c r="C946" s="65" t="s">
        <v>1190</v>
      </c>
      <c r="D946" s="66" t="s">
        <v>153</v>
      </c>
      <c r="E946" s="70">
        <v>4642.6629999999996</v>
      </c>
      <c r="F946" s="69">
        <v>4642.6629999999996</v>
      </c>
      <c r="G946" s="69">
        <v>4642.6629999999996</v>
      </c>
      <c r="H946" s="69">
        <v>4192.2290000000003</v>
      </c>
      <c r="I946" s="69">
        <v>0</v>
      </c>
      <c r="J946" s="61" t="s">
        <v>29</v>
      </c>
      <c r="K946" s="62" t="s">
        <v>30</v>
      </c>
      <c r="L946" s="57"/>
    </row>
    <row r="947" spans="1:12" ht="86.25" x14ac:dyDescent="0.25">
      <c r="A947" s="1">
        <v>25</v>
      </c>
      <c r="B947" s="55">
        <f t="shared" si="72"/>
        <v>6</v>
      </c>
      <c r="C947" s="65" t="s">
        <v>1191</v>
      </c>
      <c r="D947" s="66" t="s">
        <v>153</v>
      </c>
      <c r="E947" s="70">
        <v>562.58100000000002</v>
      </c>
      <c r="F947" s="69">
        <v>562.58100000000002</v>
      </c>
      <c r="G947" s="69">
        <v>562.58100000000002</v>
      </c>
      <c r="H947" s="69">
        <v>562.52300000000002</v>
      </c>
      <c r="I947" s="69">
        <v>0</v>
      </c>
      <c r="J947" s="61" t="s">
        <v>29</v>
      </c>
      <c r="K947" s="62" t="s">
        <v>30</v>
      </c>
      <c r="L947" s="57"/>
    </row>
    <row r="948" spans="1:12" ht="86.25" x14ac:dyDescent="0.25">
      <c r="A948" s="1">
        <v>25</v>
      </c>
      <c r="B948" s="64">
        <f t="shared" si="72"/>
        <v>7</v>
      </c>
      <c r="C948" s="65" t="s">
        <v>1192</v>
      </c>
      <c r="D948" s="66" t="s">
        <v>153</v>
      </c>
      <c r="E948" s="70">
        <f>1917.705-535.485</f>
        <v>1382.2199999999998</v>
      </c>
      <c r="F948" s="69">
        <v>1382.22</v>
      </c>
      <c r="G948" s="69">
        <v>1382.22</v>
      </c>
      <c r="H948" s="69">
        <v>1382.106</v>
      </c>
      <c r="I948" s="69">
        <v>0</v>
      </c>
      <c r="J948" s="61" t="s">
        <v>29</v>
      </c>
      <c r="K948" s="62" t="s">
        <v>30</v>
      </c>
      <c r="L948" s="57"/>
    </row>
    <row r="949" spans="1:12" ht="103.5" x14ac:dyDescent="0.25">
      <c r="A949" s="1">
        <v>25</v>
      </c>
      <c r="B949" s="64">
        <f t="shared" si="72"/>
        <v>8</v>
      </c>
      <c r="C949" s="65" t="s">
        <v>1193</v>
      </c>
      <c r="D949" s="66" t="s">
        <v>153</v>
      </c>
      <c r="E949" s="70">
        <f>1001.136-79.536</f>
        <v>921.59999999999991</v>
      </c>
      <c r="F949" s="69">
        <v>921.6</v>
      </c>
      <c r="G949" s="69">
        <v>921.6</v>
      </c>
      <c r="H949" s="69">
        <v>919.75699999999995</v>
      </c>
      <c r="I949" s="69">
        <v>0</v>
      </c>
      <c r="J949" s="96" t="s">
        <v>29</v>
      </c>
      <c r="K949" s="62" t="s">
        <v>1010</v>
      </c>
      <c r="L949" s="57" t="s">
        <v>1194</v>
      </c>
    </row>
    <row r="950" spans="1:12" ht="69" x14ac:dyDescent="0.25">
      <c r="A950" s="1">
        <v>25</v>
      </c>
      <c r="B950" s="64">
        <f t="shared" si="72"/>
        <v>9</v>
      </c>
      <c r="C950" s="65" t="s">
        <v>1195</v>
      </c>
      <c r="D950" s="66" t="s">
        <v>59</v>
      </c>
      <c r="E950" s="70">
        <f>3131.121-599.421</f>
        <v>2531.6999999999998</v>
      </c>
      <c r="F950" s="69">
        <v>2531.6999999999998</v>
      </c>
      <c r="G950" s="69">
        <v>2531.6999999999998</v>
      </c>
      <c r="H950" s="69">
        <v>2531.6999999999998</v>
      </c>
      <c r="I950" s="69">
        <v>0</v>
      </c>
      <c r="J950" s="61" t="s">
        <v>29</v>
      </c>
      <c r="K950" s="62" t="s">
        <v>30</v>
      </c>
      <c r="L950" s="57"/>
    </row>
    <row r="951" spans="1:12" ht="34.5" x14ac:dyDescent="0.25">
      <c r="A951" s="1">
        <v>25</v>
      </c>
      <c r="B951" s="64">
        <f t="shared" si="72"/>
        <v>10</v>
      </c>
      <c r="C951" s="65" t="s">
        <v>1196</v>
      </c>
      <c r="D951" s="66" t="s">
        <v>59</v>
      </c>
      <c r="E951" s="70">
        <f>1577.591-419.291</f>
        <v>1158.3</v>
      </c>
      <c r="F951" s="69">
        <v>1158.3</v>
      </c>
      <c r="G951" s="69">
        <v>1158.3</v>
      </c>
      <c r="H951" s="69">
        <v>1158.018</v>
      </c>
      <c r="I951" s="69">
        <v>0</v>
      </c>
      <c r="J951" s="61" t="s">
        <v>29</v>
      </c>
      <c r="K951" s="62" t="s">
        <v>30</v>
      </c>
      <c r="L951" s="57"/>
    </row>
    <row r="952" spans="1:12" ht="34.5" x14ac:dyDescent="0.25">
      <c r="A952" s="1">
        <v>25</v>
      </c>
      <c r="B952" s="64">
        <f t="shared" si="72"/>
        <v>11</v>
      </c>
      <c r="C952" s="65" t="s">
        <v>1197</v>
      </c>
      <c r="D952" s="66" t="s">
        <v>1147</v>
      </c>
      <c r="E952" s="70">
        <f>1800-350</f>
        <v>1450</v>
      </c>
      <c r="F952" s="69">
        <v>1450</v>
      </c>
      <c r="G952" s="69">
        <v>1450</v>
      </c>
      <c r="H952" s="69">
        <v>1371.7349999999999</v>
      </c>
      <c r="I952" s="69">
        <v>0</v>
      </c>
      <c r="J952" s="61" t="s">
        <v>29</v>
      </c>
      <c r="K952" s="62" t="s">
        <v>30</v>
      </c>
      <c r="L952" s="57"/>
    </row>
    <row r="953" spans="1:12" ht="51.75" x14ac:dyDescent="0.25">
      <c r="A953" s="1">
        <v>25</v>
      </c>
      <c r="B953" s="55">
        <f t="shared" si="72"/>
        <v>12</v>
      </c>
      <c r="C953" s="65" t="s">
        <v>1198</v>
      </c>
      <c r="D953" s="66" t="s">
        <v>153</v>
      </c>
      <c r="E953" s="70">
        <v>246.268</v>
      </c>
      <c r="F953" s="69">
        <v>246.268</v>
      </c>
      <c r="G953" s="69">
        <v>246.268</v>
      </c>
      <c r="H953" s="69">
        <v>237.02</v>
      </c>
      <c r="I953" s="69">
        <v>0</v>
      </c>
      <c r="J953" s="96" t="s">
        <v>29</v>
      </c>
      <c r="K953" s="62" t="s">
        <v>1015</v>
      </c>
      <c r="L953" s="57" t="s">
        <v>1199</v>
      </c>
    </row>
    <row r="954" spans="1:12" ht="86.25" x14ac:dyDescent="0.25">
      <c r="A954" s="1">
        <v>25</v>
      </c>
      <c r="B954" s="55">
        <f t="shared" si="72"/>
        <v>13</v>
      </c>
      <c r="C954" s="65" t="s">
        <v>1200</v>
      </c>
      <c r="D954" s="66" t="s">
        <v>153</v>
      </c>
      <c r="E954" s="70">
        <v>976.66600000000005</v>
      </c>
      <c r="F954" s="69">
        <v>976.66600000000005</v>
      </c>
      <c r="G954" s="69">
        <v>976.66600000000005</v>
      </c>
      <c r="H954" s="69">
        <v>972.20399999999995</v>
      </c>
      <c r="I954" s="69">
        <v>0</v>
      </c>
      <c r="J954" s="61" t="s">
        <v>29</v>
      </c>
      <c r="K954" s="62" t="s">
        <v>30</v>
      </c>
      <c r="L954" s="57"/>
    </row>
    <row r="955" spans="1:12" ht="51.75" x14ac:dyDescent="0.25">
      <c r="A955" s="1">
        <v>25</v>
      </c>
      <c r="B955" s="64">
        <f t="shared" si="72"/>
        <v>14</v>
      </c>
      <c r="C955" s="65" t="s">
        <v>1201</v>
      </c>
      <c r="D955" s="66" t="s">
        <v>153</v>
      </c>
      <c r="E955" s="70">
        <f>1078.142-70.71</f>
        <v>1007.432</v>
      </c>
      <c r="F955" s="69">
        <v>1007.432</v>
      </c>
      <c r="G955" s="69">
        <v>1007.432</v>
      </c>
      <c r="H955" s="69">
        <v>923.89499999999998</v>
      </c>
      <c r="I955" s="69">
        <v>0</v>
      </c>
      <c r="J955" s="61" t="s">
        <v>29</v>
      </c>
      <c r="K955" s="62" t="s">
        <v>30</v>
      </c>
      <c r="L955" s="57"/>
    </row>
    <row r="956" spans="1:12" ht="120.75" x14ac:dyDescent="0.25">
      <c r="A956" s="1">
        <v>25</v>
      </c>
      <c r="B956" s="64">
        <f t="shared" si="72"/>
        <v>15</v>
      </c>
      <c r="C956" s="102" t="s">
        <v>1202</v>
      </c>
      <c r="D956" s="66" t="s">
        <v>95</v>
      </c>
      <c r="E956" s="70">
        <f>2661.594-85.506</f>
        <v>2576.0880000000002</v>
      </c>
      <c r="F956" s="69">
        <v>2576.0880000000002</v>
      </c>
      <c r="G956" s="69">
        <v>2576.0880000000002</v>
      </c>
      <c r="H956" s="69">
        <v>2095.701</v>
      </c>
      <c r="I956" s="69">
        <v>0</v>
      </c>
      <c r="J956" s="96" t="s">
        <v>45</v>
      </c>
      <c r="K956" s="62"/>
      <c r="L956" s="57"/>
    </row>
    <row r="957" spans="1:12" ht="103.5" x14ac:dyDescent="0.25">
      <c r="A957" s="1">
        <v>25</v>
      </c>
      <c r="B957" s="55">
        <f t="shared" si="72"/>
        <v>16</v>
      </c>
      <c r="C957" s="65" t="s">
        <v>1203</v>
      </c>
      <c r="D957" s="66" t="s">
        <v>153</v>
      </c>
      <c r="E957" s="70">
        <v>1078.913</v>
      </c>
      <c r="F957" s="69">
        <v>1078.913</v>
      </c>
      <c r="G957" s="69">
        <v>1078.913</v>
      </c>
      <c r="H957" s="69">
        <v>1078.913</v>
      </c>
      <c r="I957" s="69">
        <v>0</v>
      </c>
      <c r="J957" s="61" t="s">
        <v>29</v>
      </c>
      <c r="K957" s="62" t="s">
        <v>30</v>
      </c>
      <c r="L957" s="57"/>
    </row>
    <row r="958" spans="1:12" ht="69" x14ac:dyDescent="0.25">
      <c r="A958" s="1">
        <v>25</v>
      </c>
      <c r="B958" s="64">
        <f t="shared" si="72"/>
        <v>17</v>
      </c>
      <c r="C958" s="65" t="s">
        <v>1204</v>
      </c>
      <c r="D958" s="66" t="s">
        <v>153</v>
      </c>
      <c r="E958" s="70">
        <f>1912.135-630.184</f>
        <v>1281.951</v>
      </c>
      <c r="F958" s="69">
        <v>1281.951</v>
      </c>
      <c r="G958" s="69">
        <v>1281.951</v>
      </c>
      <c r="H958" s="69">
        <v>1279.095</v>
      </c>
      <c r="I958" s="69">
        <v>0</v>
      </c>
      <c r="J958" s="61" t="s">
        <v>29</v>
      </c>
      <c r="K958" s="62" t="s">
        <v>30</v>
      </c>
      <c r="L958" s="57"/>
    </row>
    <row r="959" spans="1:12" ht="86.25" x14ac:dyDescent="0.25">
      <c r="A959" s="1">
        <v>25</v>
      </c>
      <c r="B959" s="55">
        <f t="shared" si="72"/>
        <v>18</v>
      </c>
      <c r="C959" s="65" t="s">
        <v>1205</v>
      </c>
      <c r="D959" s="66" t="s">
        <v>153</v>
      </c>
      <c r="E959" s="70">
        <v>800</v>
      </c>
      <c r="F959" s="69">
        <v>800</v>
      </c>
      <c r="G959" s="69">
        <v>800</v>
      </c>
      <c r="H959" s="69">
        <v>660.00199999999995</v>
      </c>
      <c r="I959" s="69">
        <v>0</v>
      </c>
      <c r="J959" s="61" t="s">
        <v>29</v>
      </c>
      <c r="K959" s="62" t="s">
        <v>30</v>
      </c>
      <c r="L959" s="57"/>
    </row>
    <row r="960" spans="1:12" ht="69" x14ac:dyDescent="0.25">
      <c r="A960" s="1">
        <v>25</v>
      </c>
      <c r="B960" s="55">
        <f t="shared" si="72"/>
        <v>19</v>
      </c>
      <c r="C960" s="65" t="s">
        <v>1206</v>
      </c>
      <c r="D960" s="66" t="s">
        <v>153</v>
      </c>
      <c r="E960" s="70">
        <v>220.32900000000001</v>
      </c>
      <c r="F960" s="69">
        <v>220.32900000000001</v>
      </c>
      <c r="G960" s="69">
        <v>220.32900000000001</v>
      </c>
      <c r="H960" s="69">
        <v>172.64099999999999</v>
      </c>
      <c r="I960" s="69">
        <v>0</v>
      </c>
      <c r="J960" s="61" t="s">
        <v>29</v>
      </c>
      <c r="K960" s="62" t="s">
        <v>30</v>
      </c>
      <c r="L960" s="57"/>
    </row>
    <row r="961" spans="1:12" ht="69" x14ac:dyDescent="0.25">
      <c r="A961" s="1">
        <v>25</v>
      </c>
      <c r="B961" s="55">
        <f t="shared" si="72"/>
        <v>20</v>
      </c>
      <c r="C961" s="65" t="s">
        <v>1207</v>
      </c>
      <c r="D961" s="66" t="s">
        <v>153</v>
      </c>
      <c r="E961" s="70">
        <v>1041.7</v>
      </c>
      <c r="F961" s="69">
        <v>1041.7</v>
      </c>
      <c r="G961" s="69">
        <v>1041.7</v>
      </c>
      <c r="H961" s="69">
        <v>746.36400000000003</v>
      </c>
      <c r="I961" s="69">
        <v>0</v>
      </c>
      <c r="J961" s="61" t="s">
        <v>29</v>
      </c>
      <c r="K961" s="62" t="s">
        <v>30</v>
      </c>
      <c r="L961" s="57"/>
    </row>
    <row r="962" spans="1:12" ht="69" x14ac:dyDescent="0.25">
      <c r="A962" s="1">
        <v>25</v>
      </c>
      <c r="B962" s="55">
        <f t="shared" si="72"/>
        <v>21</v>
      </c>
      <c r="C962" s="65" t="s">
        <v>1208</v>
      </c>
      <c r="D962" s="66" t="s">
        <v>153</v>
      </c>
      <c r="E962" s="70">
        <v>2122.0210000000002</v>
      </c>
      <c r="F962" s="69">
        <v>2122.0210000000002</v>
      </c>
      <c r="G962" s="69">
        <v>2122.0210000000002</v>
      </c>
      <c r="H962" s="69">
        <v>2122.0210000000002</v>
      </c>
      <c r="I962" s="69">
        <v>0</v>
      </c>
      <c r="J962" s="61" t="s">
        <v>29</v>
      </c>
      <c r="K962" s="62" t="s">
        <v>30</v>
      </c>
      <c r="L962" s="57"/>
    </row>
    <row r="963" spans="1:12" ht="69" x14ac:dyDescent="0.25">
      <c r="A963" s="1">
        <v>25</v>
      </c>
      <c r="B963" s="55">
        <f t="shared" si="72"/>
        <v>22</v>
      </c>
      <c r="C963" s="65" t="s">
        <v>1209</v>
      </c>
      <c r="D963" s="66" t="s">
        <v>95</v>
      </c>
      <c r="E963" s="70">
        <f>2862+1223.519</f>
        <v>4085.5190000000002</v>
      </c>
      <c r="F963" s="69">
        <v>4085.5189999999998</v>
      </c>
      <c r="G963" s="69">
        <v>4085.5189999999998</v>
      </c>
      <c r="H963" s="69">
        <v>4073.136</v>
      </c>
      <c r="I963" s="69">
        <v>0</v>
      </c>
      <c r="J963" s="61" t="s">
        <v>29</v>
      </c>
      <c r="K963" s="62" t="s">
        <v>30</v>
      </c>
      <c r="L963" s="57"/>
    </row>
    <row r="964" spans="1:12" ht="69" x14ac:dyDescent="0.25">
      <c r="A964" s="1">
        <v>25</v>
      </c>
      <c r="B964" s="55">
        <f t="shared" si="72"/>
        <v>23</v>
      </c>
      <c r="C964" s="65" t="s">
        <v>1210</v>
      </c>
      <c r="D964" s="98" t="s">
        <v>1211</v>
      </c>
      <c r="E964" s="70">
        <v>10000</v>
      </c>
      <c r="F964" s="69">
        <v>10000</v>
      </c>
      <c r="G964" s="69">
        <v>10000</v>
      </c>
      <c r="H964" s="69">
        <v>5282.4620000000004</v>
      </c>
      <c r="I964" s="69">
        <v>0</v>
      </c>
      <c r="J964" s="96" t="s">
        <v>45</v>
      </c>
      <c r="K964" s="62"/>
      <c r="L964" s="57" t="s">
        <v>1212</v>
      </c>
    </row>
    <row r="965" spans="1:12" ht="69" x14ac:dyDescent="0.25">
      <c r="A965" s="1">
        <v>25</v>
      </c>
      <c r="B965" s="55">
        <f t="shared" si="72"/>
        <v>24</v>
      </c>
      <c r="C965" s="65" t="s">
        <v>1213</v>
      </c>
      <c r="D965" s="66" t="s">
        <v>153</v>
      </c>
      <c r="E965" s="70">
        <v>2146.9639999999999</v>
      </c>
      <c r="F965" s="69">
        <v>2146.9639999999999</v>
      </c>
      <c r="G965" s="69">
        <v>2146.9639999999999</v>
      </c>
      <c r="H965" s="69">
        <v>2144.904</v>
      </c>
      <c r="I965" s="69">
        <v>0</v>
      </c>
      <c r="J965" s="61" t="s">
        <v>29</v>
      </c>
      <c r="K965" s="62" t="s">
        <v>30</v>
      </c>
      <c r="L965" s="57" t="s">
        <v>1214</v>
      </c>
    </row>
    <row r="966" spans="1:12" ht="51.75" x14ac:dyDescent="0.25">
      <c r="A966" s="1">
        <v>25</v>
      </c>
      <c r="B966" s="55">
        <f t="shared" si="72"/>
        <v>25</v>
      </c>
      <c r="C966" s="65" t="s">
        <v>1215</v>
      </c>
      <c r="D966" s="66" t="s">
        <v>95</v>
      </c>
      <c r="E966" s="70">
        <v>9927.1350000000002</v>
      </c>
      <c r="F966" s="69">
        <v>9927.1350000000002</v>
      </c>
      <c r="G966" s="69">
        <v>9927.1350000000002</v>
      </c>
      <c r="H966" s="69">
        <v>9280.5220000000008</v>
      </c>
      <c r="I966" s="69">
        <v>0</v>
      </c>
      <c r="J966" s="96" t="s">
        <v>45</v>
      </c>
      <c r="K966" s="62"/>
      <c r="L966" s="57"/>
    </row>
    <row r="967" spans="1:12" ht="120.75" x14ac:dyDescent="0.25">
      <c r="A967" s="1">
        <v>25</v>
      </c>
      <c r="B967" s="55">
        <f t="shared" si="72"/>
        <v>26</v>
      </c>
      <c r="C967" s="102" t="s">
        <v>1216</v>
      </c>
      <c r="D967" s="66" t="s">
        <v>153</v>
      </c>
      <c r="E967" s="70">
        <v>1003.457</v>
      </c>
      <c r="F967" s="69">
        <v>1003.457</v>
      </c>
      <c r="G967" s="69">
        <v>1003.457</v>
      </c>
      <c r="H967" s="69">
        <v>1003.457</v>
      </c>
      <c r="I967" s="69">
        <v>0</v>
      </c>
      <c r="J967" s="61" t="s">
        <v>29</v>
      </c>
      <c r="K967" s="62" t="s">
        <v>30</v>
      </c>
      <c r="L967" s="57"/>
    </row>
    <row r="968" spans="1:12" ht="103.5" x14ac:dyDescent="0.25">
      <c r="A968" s="1">
        <v>25</v>
      </c>
      <c r="B968" s="64">
        <f t="shared" si="72"/>
        <v>27</v>
      </c>
      <c r="C968" s="65" t="s">
        <v>1217</v>
      </c>
      <c r="D968" s="66" t="s">
        <v>28</v>
      </c>
      <c r="E968" s="70">
        <f>6849.578-722.335</f>
        <v>6127.2430000000004</v>
      </c>
      <c r="F968" s="69">
        <v>6127.2430000000004</v>
      </c>
      <c r="G968" s="69">
        <v>6127.2430000000004</v>
      </c>
      <c r="H968" s="69">
        <v>5340.5720000000001</v>
      </c>
      <c r="I968" s="69">
        <v>0</v>
      </c>
      <c r="J968" s="61" t="s">
        <v>29</v>
      </c>
      <c r="K968" s="62" t="s">
        <v>30</v>
      </c>
      <c r="L968" s="57"/>
    </row>
    <row r="969" spans="1:12" ht="86.25" x14ac:dyDescent="0.25">
      <c r="A969" s="1">
        <v>25</v>
      </c>
      <c r="B969" s="64">
        <f t="shared" si="72"/>
        <v>28</v>
      </c>
      <c r="C969" s="65" t="s">
        <v>1218</v>
      </c>
      <c r="D969" s="66" t="s">
        <v>153</v>
      </c>
      <c r="E969" s="70">
        <f>1916.861-287.613</f>
        <v>1629.248</v>
      </c>
      <c r="F969" s="69">
        <v>1629.248</v>
      </c>
      <c r="G969" s="69">
        <v>1629.248</v>
      </c>
      <c r="H969" s="69">
        <v>1629.248</v>
      </c>
      <c r="I969" s="69">
        <v>0</v>
      </c>
      <c r="J969" s="61" t="s">
        <v>29</v>
      </c>
      <c r="K969" s="62" t="s">
        <v>30</v>
      </c>
      <c r="L969" s="57"/>
    </row>
    <row r="970" spans="1:12" ht="103.5" x14ac:dyDescent="0.25">
      <c r="A970" s="1">
        <v>25</v>
      </c>
      <c r="B970" s="55">
        <f t="shared" si="72"/>
        <v>29</v>
      </c>
      <c r="C970" s="65" t="s">
        <v>1219</v>
      </c>
      <c r="D970" s="66" t="s">
        <v>153</v>
      </c>
      <c r="E970" s="70">
        <v>4488.1120000000001</v>
      </c>
      <c r="F970" s="69">
        <v>4488.1120000000001</v>
      </c>
      <c r="G970" s="69">
        <v>4488.1120000000001</v>
      </c>
      <c r="H970" s="69">
        <v>4315.3040000000001</v>
      </c>
      <c r="I970" s="69">
        <v>0</v>
      </c>
      <c r="J970" s="61" t="s">
        <v>29</v>
      </c>
      <c r="K970" s="62" t="s">
        <v>30</v>
      </c>
      <c r="L970" s="57"/>
    </row>
    <row r="971" spans="1:12" ht="86.25" x14ac:dyDescent="0.25">
      <c r="A971" s="1">
        <v>25</v>
      </c>
      <c r="B971" s="64">
        <f t="shared" si="72"/>
        <v>30</v>
      </c>
      <c r="C971" s="65" t="s">
        <v>1220</v>
      </c>
      <c r="D971" s="66" t="s">
        <v>95</v>
      </c>
      <c r="E971" s="70">
        <f>3150.879+2285.684</f>
        <v>5436.5630000000001</v>
      </c>
      <c r="F971" s="69">
        <v>5436.5630000000001</v>
      </c>
      <c r="G971" s="69">
        <v>5436.5630000000001</v>
      </c>
      <c r="H971" s="69">
        <v>2606.2179999999998</v>
      </c>
      <c r="I971" s="69">
        <v>0</v>
      </c>
      <c r="J971" s="96" t="s">
        <v>45</v>
      </c>
      <c r="K971" s="62"/>
      <c r="L971" s="57"/>
    </row>
    <row r="972" spans="1:12" ht="51.75" x14ac:dyDescent="0.25">
      <c r="A972" s="1">
        <v>25</v>
      </c>
      <c r="B972" s="55">
        <f t="shared" si="72"/>
        <v>31</v>
      </c>
      <c r="C972" s="65" t="s">
        <v>1221</v>
      </c>
      <c r="D972" s="66" t="s">
        <v>153</v>
      </c>
      <c r="E972" s="70">
        <v>245.26</v>
      </c>
      <c r="F972" s="69">
        <v>245.26</v>
      </c>
      <c r="G972" s="69">
        <v>245.26</v>
      </c>
      <c r="H972" s="69">
        <v>213.48599999999999</v>
      </c>
      <c r="I972" s="69">
        <v>0</v>
      </c>
      <c r="J972" s="61" t="s">
        <v>29</v>
      </c>
      <c r="K972" s="62" t="s">
        <v>30</v>
      </c>
      <c r="L972" s="57"/>
    </row>
    <row r="973" spans="1:12" ht="103.5" x14ac:dyDescent="0.25">
      <c r="A973" s="1">
        <v>25</v>
      </c>
      <c r="B973" s="55">
        <f t="shared" si="72"/>
        <v>32</v>
      </c>
      <c r="C973" s="65" t="s">
        <v>1222</v>
      </c>
      <c r="D973" s="66" t="s">
        <v>153</v>
      </c>
      <c r="E973" s="70">
        <v>81.171999999999997</v>
      </c>
      <c r="F973" s="69">
        <v>81.171999999999997</v>
      </c>
      <c r="G973" s="69">
        <v>81.171999999999997</v>
      </c>
      <c r="H973" s="69">
        <v>81.171000000000006</v>
      </c>
      <c r="I973" s="69">
        <v>0</v>
      </c>
      <c r="J973" s="61" t="s">
        <v>29</v>
      </c>
      <c r="K973" s="62" t="s">
        <v>30</v>
      </c>
      <c r="L973" s="57"/>
    </row>
    <row r="974" spans="1:12" ht="69" x14ac:dyDescent="0.25">
      <c r="A974" s="1">
        <v>25</v>
      </c>
      <c r="B974" s="55">
        <f t="shared" si="72"/>
        <v>33</v>
      </c>
      <c r="C974" s="65" t="s">
        <v>1223</v>
      </c>
      <c r="D974" s="66" t="s">
        <v>153</v>
      </c>
      <c r="E974" s="70">
        <v>1013.287</v>
      </c>
      <c r="F974" s="69">
        <v>1013.287</v>
      </c>
      <c r="G974" s="69">
        <v>1013.287</v>
      </c>
      <c r="H974" s="69">
        <v>998.43200000000002</v>
      </c>
      <c r="I974" s="69">
        <v>0</v>
      </c>
      <c r="J974" s="61" t="s">
        <v>29</v>
      </c>
      <c r="K974" s="62" t="s">
        <v>30</v>
      </c>
      <c r="L974" s="57"/>
    </row>
    <row r="975" spans="1:12" ht="103.5" x14ac:dyDescent="0.25">
      <c r="A975" s="1">
        <v>25</v>
      </c>
      <c r="B975" s="55">
        <f t="shared" si="72"/>
        <v>34</v>
      </c>
      <c r="C975" s="65" t="s">
        <v>1224</v>
      </c>
      <c r="D975" s="66" t="s">
        <v>153</v>
      </c>
      <c r="E975" s="70">
        <v>138.08600000000001</v>
      </c>
      <c r="F975" s="69">
        <v>138.08600000000001</v>
      </c>
      <c r="G975" s="69">
        <v>138.08600000000001</v>
      </c>
      <c r="H975" s="69">
        <v>138.08600000000001</v>
      </c>
      <c r="I975" s="69">
        <v>0</v>
      </c>
      <c r="J975" s="61" t="s">
        <v>29</v>
      </c>
      <c r="K975" s="62" t="s">
        <v>30</v>
      </c>
      <c r="L975" s="57" t="s">
        <v>1225</v>
      </c>
    </row>
    <row r="976" spans="1:12" ht="103.5" x14ac:dyDescent="0.25">
      <c r="A976" s="1">
        <v>25</v>
      </c>
      <c r="B976" s="55">
        <f t="shared" si="72"/>
        <v>35</v>
      </c>
      <c r="C976" s="65" t="s">
        <v>1226</v>
      </c>
      <c r="D976" s="66" t="s">
        <v>153</v>
      </c>
      <c r="E976" s="70">
        <v>163.292</v>
      </c>
      <c r="F976" s="69">
        <v>163.292</v>
      </c>
      <c r="G976" s="69">
        <v>163.292</v>
      </c>
      <c r="H976" s="69">
        <v>163.292</v>
      </c>
      <c r="I976" s="69">
        <v>0</v>
      </c>
      <c r="J976" s="61" t="s">
        <v>29</v>
      </c>
      <c r="K976" s="62" t="s">
        <v>30</v>
      </c>
      <c r="L976" s="57" t="s">
        <v>1227</v>
      </c>
    </row>
    <row r="977" spans="1:12" ht="86.25" x14ac:dyDescent="0.25">
      <c r="A977" s="1">
        <v>25</v>
      </c>
      <c r="B977" s="55">
        <f t="shared" si="72"/>
        <v>36</v>
      </c>
      <c r="C977" s="65" t="s">
        <v>1228</v>
      </c>
      <c r="D977" s="66" t="s">
        <v>153</v>
      </c>
      <c r="E977" s="70">
        <v>596.32299999999998</v>
      </c>
      <c r="F977" s="69">
        <v>596.32299999999998</v>
      </c>
      <c r="G977" s="69">
        <v>596.32299999999998</v>
      </c>
      <c r="H977" s="69">
        <v>596.32299999999998</v>
      </c>
      <c r="I977" s="69">
        <v>0</v>
      </c>
      <c r="J977" s="61" t="s">
        <v>29</v>
      </c>
      <c r="K977" s="62" t="s">
        <v>30</v>
      </c>
      <c r="L977" s="57"/>
    </row>
    <row r="978" spans="1:12" ht="69" x14ac:dyDescent="0.25">
      <c r="A978" s="1">
        <v>25</v>
      </c>
      <c r="B978" s="55">
        <f t="shared" si="72"/>
        <v>37</v>
      </c>
      <c r="C978" s="65" t="s">
        <v>1229</v>
      </c>
      <c r="D978" s="66" t="s">
        <v>153</v>
      </c>
      <c r="E978" s="70">
        <v>833.10599999999999</v>
      </c>
      <c r="F978" s="69">
        <v>833.10599999999999</v>
      </c>
      <c r="G978" s="69">
        <v>833.10599999999999</v>
      </c>
      <c r="H978" s="69">
        <v>833.10599999999999</v>
      </c>
      <c r="I978" s="69">
        <v>0</v>
      </c>
      <c r="J978" s="61" t="s">
        <v>29</v>
      </c>
      <c r="K978" s="62" t="s">
        <v>30</v>
      </c>
      <c r="L978" s="57" t="s">
        <v>1230</v>
      </c>
    </row>
    <row r="979" spans="1:12" ht="69" x14ac:dyDescent="0.25">
      <c r="A979" s="1">
        <v>25</v>
      </c>
      <c r="B979" s="55">
        <f t="shared" si="72"/>
        <v>38</v>
      </c>
      <c r="C979" s="65" t="s">
        <v>1231</v>
      </c>
      <c r="D979" s="66" t="s">
        <v>95</v>
      </c>
      <c r="E979" s="70">
        <v>8000</v>
      </c>
      <c r="F979" s="69">
        <v>8000</v>
      </c>
      <c r="G979" s="69">
        <v>8000</v>
      </c>
      <c r="H979" s="69">
        <v>7993.4049999999997</v>
      </c>
      <c r="I979" s="69">
        <v>0</v>
      </c>
      <c r="J979" s="96" t="s">
        <v>45</v>
      </c>
      <c r="K979" s="62"/>
      <c r="L979" s="57"/>
    </row>
    <row r="980" spans="1:12" ht="51.75" x14ac:dyDescent="0.25">
      <c r="A980" s="1">
        <v>25</v>
      </c>
      <c r="B980" s="55">
        <f t="shared" si="72"/>
        <v>39</v>
      </c>
      <c r="C980" s="65" t="s">
        <v>1232</v>
      </c>
      <c r="D980" s="66" t="s">
        <v>95</v>
      </c>
      <c r="E980" s="70">
        <v>539.45100000000002</v>
      </c>
      <c r="F980" s="69">
        <v>539.45100000000002</v>
      </c>
      <c r="G980" s="69">
        <v>539.45100000000002</v>
      </c>
      <c r="H980" s="69">
        <v>297.48899999999998</v>
      </c>
      <c r="I980" s="69">
        <v>0</v>
      </c>
      <c r="J980" s="96" t="s">
        <v>45</v>
      </c>
      <c r="K980" s="62"/>
      <c r="L980" s="57"/>
    </row>
    <row r="981" spans="1:12" ht="103.5" x14ac:dyDescent="0.25">
      <c r="A981" s="1">
        <v>25</v>
      </c>
      <c r="B981" s="55">
        <f t="shared" si="72"/>
        <v>40</v>
      </c>
      <c r="C981" s="65" t="s">
        <v>1233</v>
      </c>
      <c r="D981" s="66" t="s">
        <v>153</v>
      </c>
      <c r="E981" s="70">
        <v>752.4</v>
      </c>
      <c r="F981" s="69">
        <v>752.4</v>
      </c>
      <c r="G981" s="69">
        <v>752.4</v>
      </c>
      <c r="H981" s="69">
        <v>752.01199999999994</v>
      </c>
      <c r="I981" s="69">
        <v>0</v>
      </c>
      <c r="J981" s="61" t="s">
        <v>29</v>
      </c>
      <c r="K981" s="62" t="s">
        <v>30</v>
      </c>
      <c r="L981" s="57"/>
    </row>
    <row r="982" spans="1:12" ht="86.25" x14ac:dyDescent="0.25">
      <c r="A982" s="1">
        <v>25</v>
      </c>
      <c r="B982" s="55">
        <f t="shared" si="72"/>
        <v>41</v>
      </c>
      <c r="C982" s="65" t="s">
        <v>1234</v>
      </c>
      <c r="D982" s="66" t="s">
        <v>153</v>
      </c>
      <c r="E982" s="70">
        <v>720.18399999999997</v>
      </c>
      <c r="F982" s="69">
        <v>720.18399999999997</v>
      </c>
      <c r="G982" s="69">
        <v>720.18399999999997</v>
      </c>
      <c r="H982" s="69">
        <v>720.18399999999997</v>
      </c>
      <c r="I982" s="69">
        <v>0</v>
      </c>
      <c r="J982" s="61" t="s">
        <v>29</v>
      </c>
      <c r="K982" s="62" t="s">
        <v>30</v>
      </c>
      <c r="L982" s="57"/>
    </row>
    <row r="983" spans="1:12" ht="86.25" x14ac:dyDescent="0.25">
      <c r="A983" s="1">
        <v>25</v>
      </c>
      <c r="B983" s="55">
        <f t="shared" si="72"/>
        <v>42</v>
      </c>
      <c r="C983" s="65" t="s">
        <v>1235</v>
      </c>
      <c r="D983" s="66" t="s">
        <v>153</v>
      </c>
      <c r="E983" s="70">
        <v>513</v>
      </c>
      <c r="F983" s="69">
        <v>513</v>
      </c>
      <c r="G983" s="69">
        <v>513</v>
      </c>
      <c r="H983" s="69">
        <v>513</v>
      </c>
      <c r="I983" s="69">
        <v>0</v>
      </c>
      <c r="J983" s="61" t="s">
        <v>29</v>
      </c>
      <c r="K983" s="62" t="s">
        <v>30</v>
      </c>
      <c r="L983" s="57"/>
    </row>
    <row r="984" spans="1:12" ht="69" x14ac:dyDescent="0.25">
      <c r="A984" s="1">
        <v>25</v>
      </c>
      <c r="B984" s="55">
        <f t="shared" si="72"/>
        <v>43</v>
      </c>
      <c r="C984" s="65" t="s">
        <v>1236</v>
      </c>
      <c r="D984" s="66" t="s">
        <v>95</v>
      </c>
      <c r="E984" s="70">
        <v>873.51900000000001</v>
      </c>
      <c r="F984" s="69">
        <v>873.51900000000001</v>
      </c>
      <c r="G984" s="69">
        <v>873.51900000000001</v>
      </c>
      <c r="H984" s="69">
        <v>0</v>
      </c>
      <c r="I984" s="69">
        <v>0</v>
      </c>
      <c r="J984" s="96" t="s">
        <v>45</v>
      </c>
      <c r="K984" s="62"/>
      <c r="L984" s="57"/>
    </row>
    <row r="985" spans="1:12" ht="87" thickBot="1" x14ac:dyDescent="0.3">
      <c r="A985" s="1">
        <v>25</v>
      </c>
      <c r="B985" s="82">
        <f t="shared" si="72"/>
        <v>44</v>
      </c>
      <c r="C985" s="83" t="s">
        <v>1237</v>
      </c>
      <c r="D985" s="84" t="s">
        <v>153</v>
      </c>
      <c r="E985" s="88">
        <v>221.935</v>
      </c>
      <c r="F985" s="87">
        <v>221.935</v>
      </c>
      <c r="G985" s="87">
        <v>221.935</v>
      </c>
      <c r="H985" s="87">
        <v>221.935</v>
      </c>
      <c r="I985" s="87">
        <v>0</v>
      </c>
      <c r="J985" s="120" t="s">
        <v>29</v>
      </c>
      <c r="K985" s="90" t="s">
        <v>30</v>
      </c>
      <c r="L985" s="123"/>
    </row>
    <row r="986" spans="1:12" ht="15.75" thickBot="1" x14ac:dyDescent="0.3">
      <c r="A986" s="1">
        <v>26</v>
      </c>
      <c r="B986" s="192" t="s">
        <v>1238</v>
      </c>
      <c r="C986" s="193"/>
      <c r="D986" s="193"/>
      <c r="E986" s="193"/>
      <c r="F986" s="193"/>
      <c r="G986" s="193"/>
      <c r="H986" s="193"/>
      <c r="I986" s="193"/>
      <c r="J986" s="193"/>
      <c r="K986" s="193"/>
      <c r="L986" s="194"/>
    </row>
    <row r="987" spans="1:12" ht="18.75" x14ac:dyDescent="0.25">
      <c r="A987" s="1">
        <v>26</v>
      </c>
      <c r="B987" s="36"/>
      <c r="C987" s="37" t="s">
        <v>24</v>
      </c>
      <c r="D987" s="38"/>
      <c r="E987" s="39">
        <f>SUM(E988,E990)</f>
        <v>154556.36000000002</v>
      </c>
      <c r="F987" s="40">
        <f t="shared" ref="F987:I987" si="73">SUM(F988,F990)</f>
        <v>154556.36000000002</v>
      </c>
      <c r="G987" s="40">
        <f t="shared" si="73"/>
        <v>154235.82199999999</v>
      </c>
      <c r="H987" s="40">
        <f t="shared" si="73"/>
        <v>154235.82199999999</v>
      </c>
      <c r="I987" s="40">
        <f t="shared" si="73"/>
        <v>0</v>
      </c>
      <c r="J987" s="92"/>
      <c r="K987" s="93"/>
      <c r="L987" s="38"/>
    </row>
    <row r="988" spans="1:12" ht="18.75" x14ac:dyDescent="0.25">
      <c r="A988" s="1">
        <v>26</v>
      </c>
      <c r="B988" s="46"/>
      <c r="C988" s="24" t="s">
        <v>21</v>
      </c>
      <c r="D988" s="47"/>
      <c r="E988" s="48">
        <v>0</v>
      </c>
      <c r="F988" s="49">
        <v>0</v>
      </c>
      <c r="G988" s="49">
        <v>0</v>
      </c>
      <c r="H988" s="49"/>
      <c r="I988" s="49"/>
      <c r="J988" s="95"/>
      <c r="K988" s="25"/>
      <c r="L988" s="47"/>
    </row>
    <row r="989" spans="1:12" ht="16.5" x14ac:dyDescent="0.25">
      <c r="A989" s="1">
        <v>26</v>
      </c>
      <c r="B989" s="46"/>
      <c r="C989" s="54" t="s">
        <v>22</v>
      </c>
      <c r="D989" s="47"/>
      <c r="E989" s="48">
        <f>SUM(E990)</f>
        <v>154556.36000000002</v>
      </c>
      <c r="F989" s="49">
        <f t="shared" ref="F989:I989" si="74">SUM(F990)</f>
        <v>154556.36000000002</v>
      </c>
      <c r="G989" s="49">
        <f t="shared" si="74"/>
        <v>154235.82199999999</v>
      </c>
      <c r="H989" s="49">
        <f t="shared" si="74"/>
        <v>154235.82199999999</v>
      </c>
      <c r="I989" s="49">
        <f t="shared" si="74"/>
        <v>0</v>
      </c>
      <c r="J989" s="95"/>
      <c r="K989" s="25"/>
      <c r="L989" s="47"/>
    </row>
    <row r="990" spans="1:12" ht="52.5" thickBot="1" x14ac:dyDescent="0.3">
      <c r="A990" s="1">
        <v>26</v>
      </c>
      <c r="B990" s="82">
        <v>1</v>
      </c>
      <c r="C990" s="83" t="s">
        <v>1239</v>
      </c>
      <c r="D990" s="84" t="s">
        <v>1240</v>
      </c>
      <c r="E990" s="85">
        <f>159841.79-5285.43</f>
        <v>154556.36000000002</v>
      </c>
      <c r="F990" s="86">
        <v>154556.36000000002</v>
      </c>
      <c r="G990" s="86">
        <v>154235.82199999999</v>
      </c>
      <c r="H990" s="86">
        <v>154235.82199999999</v>
      </c>
      <c r="I990" s="86">
        <v>0</v>
      </c>
      <c r="J990" s="89" t="s">
        <v>483</v>
      </c>
      <c r="K990" s="90"/>
      <c r="L990" s="123"/>
    </row>
  </sheetData>
  <mergeCells count="43">
    <mergeCell ref="B902:L902"/>
    <mergeCell ref="B921:L921"/>
    <mergeCell ref="B938:L938"/>
    <mergeCell ref="B986:L986"/>
    <mergeCell ref="B704:L704"/>
    <mergeCell ref="B748:L748"/>
    <mergeCell ref="B766:L766"/>
    <mergeCell ref="B813:L813"/>
    <mergeCell ref="B842:L842"/>
    <mergeCell ref="B864:L864"/>
    <mergeCell ref="B676:L676"/>
    <mergeCell ref="B144:L144"/>
    <mergeCell ref="B260:L260"/>
    <mergeCell ref="B333:L333"/>
    <mergeCell ref="B405:L405"/>
    <mergeCell ref="B422:L422"/>
    <mergeCell ref="B461:L461"/>
    <mergeCell ref="B491:L491"/>
    <mergeCell ref="B523:L523"/>
    <mergeCell ref="B567:L567"/>
    <mergeCell ref="B623:L623"/>
    <mergeCell ref="B667:L667"/>
    <mergeCell ref="B98:L98"/>
    <mergeCell ref="B7:B10"/>
    <mergeCell ref="C7:C10"/>
    <mergeCell ref="D7:D10"/>
    <mergeCell ref="E7:J7"/>
    <mergeCell ref="K7:L8"/>
    <mergeCell ref="K9:K10"/>
    <mergeCell ref="L9:L10"/>
    <mergeCell ref="B15:L15"/>
    <mergeCell ref="B69:L69"/>
    <mergeCell ref="E8:I8"/>
    <mergeCell ref="J8:J10"/>
    <mergeCell ref="E9:E10"/>
    <mergeCell ref="F9:F10"/>
    <mergeCell ref="G9:G10"/>
    <mergeCell ref="H9:I9"/>
    <mergeCell ref="B1:L1"/>
    <mergeCell ref="B2:L2"/>
    <mergeCell ref="B3:L3"/>
    <mergeCell ref="B4:L4"/>
    <mergeCell ref="B5:L5"/>
  </mergeCells>
  <printOptions horizontalCentered="1"/>
  <pageMargins left="0" right="0" top="0.19685039370078741" bottom="0.39370078740157483" header="0" footer="0.19685039370078741"/>
  <pageSetup paperSize="9" scale="45" fitToWidth="2" fitToHeight="60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</vt:i4>
      </vt:variant>
    </vt:vector>
  </HeadingPairs>
  <TitlesOfParts>
    <vt:vector size="3" baseType="lpstr">
      <vt:lpstr>на 01_01_2016 Річна</vt:lpstr>
      <vt:lpstr>'на 01_01_2016 Річна'!Заголовки_для_друку</vt:lpstr>
      <vt:lpstr>'на 01_01_2016 Річна'!Область_друку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Діденко Леся Петрівна</dc:creator>
  <cp:lastModifiedBy>Діденко Леся Петрівна</cp:lastModifiedBy>
  <dcterms:created xsi:type="dcterms:W3CDTF">2022-09-29T08:52:48Z</dcterms:created>
  <dcterms:modified xsi:type="dcterms:W3CDTF">2022-09-30T14:21:30Z</dcterms:modified>
</cp:coreProperties>
</file>