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serhii/Desktop/KSE Institute/ua-de-center/data-private/raw/"/>
    </mc:Choice>
  </mc:AlternateContent>
  <xr:revisionPtr revIDLastSave="0" documentId="13_ncr:1_{91B5A0CD-2806-8E4D-8FEE-A9CE7505352B}" xr6:coauthVersionLast="47" xr6:coauthVersionMax="47" xr10:uidLastSave="{00000000-0000-0000-0000-000000000000}"/>
  <bookViews>
    <workbookView xWindow="-26080" yWindow="4400" windowWidth="28800" windowHeight="15840" xr2:uid="{00000000-000D-0000-FFFF-FFFF00000000}"/>
  </bookViews>
  <sheets>
    <sheet name="2019" sheetId="1" r:id="rId1"/>
  </sheets>
  <definedNames>
    <definedName name="_xlnm._FilterDatabase" localSheetId="0" hidden="1">'2019'!$A$6:$T$6</definedName>
    <definedName name="_xlnm.Print_Area" localSheetId="0">'2019'!$B$1:$M$786</definedName>
    <definedName name="_xlnm.Print_Titles" localSheetId="0">'2019'!$6:$6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84" i="1" l="1"/>
  <c r="H783" i="1"/>
  <c r="H782" i="1"/>
  <c r="H781" i="1"/>
  <c r="H780" i="1"/>
  <c r="G780" i="1"/>
  <c r="G775" i="1" s="1"/>
  <c r="F780" i="1"/>
  <c r="F775" i="1" s="1"/>
  <c r="E780" i="1"/>
  <c r="E775" i="1" s="1"/>
  <c r="H779" i="1"/>
  <c r="H778" i="1"/>
  <c r="H777" i="1"/>
  <c r="H776" i="1"/>
  <c r="L775" i="1"/>
  <c r="K775" i="1"/>
  <c r="J775" i="1"/>
  <c r="I775" i="1"/>
  <c r="H774" i="1"/>
  <c r="H773" i="1"/>
  <c r="H772" i="1"/>
  <c r="H771" i="1"/>
  <c r="H770" i="1"/>
  <c r="H769" i="1"/>
  <c r="H768" i="1"/>
  <c r="H767" i="1"/>
  <c r="G767" i="1"/>
  <c r="F767" i="1"/>
  <c r="E767" i="1"/>
  <c r="H766" i="1"/>
  <c r="H765" i="1"/>
  <c r="H764" i="1"/>
  <c r="H763" i="1"/>
  <c r="H762" i="1"/>
  <c r="H761" i="1"/>
  <c r="G761" i="1"/>
  <c r="F761" i="1"/>
  <c r="E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G747" i="1"/>
  <c r="F747" i="1"/>
  <c r="E747" i="1"/>
  <c r="H746" i="1"/>
  <c r="H745" i="1"/>
  <c r="H744" i="1"/>
  <c r="H743" i="1"/>
  <c r="L742" i="1"/>
  <c r="K742" i="1"/>
  <c r="J742" i="1"/>
  <c r="I742" i="1"/>
  <c r="K741" i="1"/>
  <c r="H741" i="1"/>
  <c r="G741" i="1"/>
  <c r="F741" i="1"/>
  <c r="E741" i="1"/>
  <c r="K740" i="1"/>
  <c r="H740" i="1"/>
  <c r="G740" i="1"/>
  <c r="F740" i="1"/>
  <c r="E740" i="1"/>
  <c r="H739" i="1"/>
  <c r="H738" i="1"/>
  <c r="H737" i="1"/>
  <c r="H736" i="1"/>
  <c r="H735" i="1"/>
  <c r="H734" i="1"/>
  <c r="H733" i="1"/>
  <c r="G733" i="1"/>
  <c r="F733" i="1"/>
  <c r="E733" i="1"/>
  <c r="H732" i="1"/>
  <c r="H731" i="1"/>
  <c r="H730" i="1"/>
  <c r="H729" i="1"/>
  <c r="H728" i="1"/>
  <c r="H727" i="1"/>
  <c r="H726" i="1"/>
  <c r="H725" i="1"/>
  <c r="H724" i="1"/>
  <c r="H723" i="1"/>
  <c r="H722" i="1"/>
  <c r="G722" i="1"/>
  <c r="F722" i="1"/>
  <c r="E722" i="1"/>
  <c r="H721" i="1"/>
  <c r="H720" i="1"/>
  <c r="H719" i="1"/>
  <c r="H718" i="1"/>
  <c r="H717" i="1"/>
  <c r="H716" i="1"/>
  <c r="H715" i="1"/>
  <c r="L714" i="1"/>
  <c r="J714" i="1"/>
  <c r="I714" i="1"/>
  <c r="H713" i="1"/>
  <c r="H712" i="1"/>
  <c r="H711" i="1"/>
  <c r="G711" i="1"/>
  <c r="E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G685" i="1"/>
  <c r="F685" i="1"/>
  <c r="E685" i="1"/>
  <c r="H684" i="1"/>
  <c r="H683" i="1"/>
  <c r="L682" i="1"/>
  <c r="K682" i="1"/>
  <c r="J682" i="1"/>
  <c r="I682" i="1"/>
  <c r="F682" i="1"/>
  <c r="H681" i="1"/>
  <c r="G681" i="1"/>
  <c r="F681" i="1"/>
  <c r="E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F666" i="1"/>
  <c r="E666" i="1"/>
  <c r="H665" i="1"/>
  <c r="H664" i="1"/>
  <c r="K663" i="1"/>
  <c r="K632" i="1" s="1"/>
  <c r="H663" i="1"/>
  <c r="G663" i="1"/>
  <c r="F663" i="1"/>
  <c r="E663" i="1"/>
  <c r="H662" i="1"/>
  <c r="H661" i="1"/>
  <c r="H660" i="1"/>
  <c r="G660" i="1"/>
  <c r="F660" i="1"/>
  <c r="E660" i="1"/>
  <c r="H659" i="1"/>
  <c r="G659" i="1"/>
  <c r="F659" i="1"/>
  <c r="E659" i="1"/>
  <c r="H658" i="1"/>
  <c r="H657" i="1"/>
  <c r="H656" i="1"/>
  <c r="H655" i="1"/>
  <c r="H654" i="1"/>
  <c r="H653" i="1"/>
  <c r="H652" i="1"/>
  <c r="H651" i="1"/>
  <c r="H650" i="1"/>
  <c r="H649" i="1"/>
  <c r="G649" i="1"/>
  <c r="F649" i="1"/>
  <c r="E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L632" i="1"/>
  <c r="J632" i="1"/>
  <c r="I632" i="1"/>
  <c r="H631" i="1"/>
  <c r="H630" i="1"/>
  <c r="H629" i="1"/>
  <c r="G629" i="1"/>
  <c r="F629" i="1"/>
  <c r="E629" i="1"/>
  <c r="H628" i="1"/>
  <c r="H627" i="1"/>
  <c r="H626" i="1"/>
  <c r="F626" i="1"/>
  <c r="E626" i="1"/>
  <c r="H625" i="1"/>
  <c r="H624" i="1"/>
  <c r="H623" i="1"/>
  <c r="F623" i="1"/>
  <c r="E623" i="1"/>
  <c r="H622" i="1"/>
  <c r="H621" i="1"/>
  <c r="H620" i="1"/>
  <c r="G620" i="1"/>
  <c r="G598" i="1" s="1"/>
  <c r="F620" i="1"/>
  <c r="E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L598" i="1"/>
  <c r="K598" i="1"/>
  <c r="J598" i="1"/>
  <c r="I598" i="1"/>
  <c r="H597" i="1"/>
  <c r="H596" i="1"/>
  <c r="H595" i="1"/>
  <c r="F595" i="1"/>
  <c r="E595" i="1"/>
  <c r="H594" i="1"/>
  <c r="G594" i="1"/>
  <c r="F594" i="1"/>
  <c r="E594" i="1"/>
  <c r="H593" i="1"/>
  <c r="H592" i="1"/>
  <c r="H591" i="1"/>
  <c r="H590" i="1"/>
  <c r="H589" i="1"/>
  <c r="H588" i="1"/>
  <c r="H587" i="1"/>
  <c r="G587" i="1"/>
  <c r="F587" i="1"/>
  <c r="E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L573" i="1"/>
  <c r="K573" i="1"/>
  <c r="J573" i="1"/>
  <c r="I573" i="1"/>
  <c r="H572" i="1"/>
  <c r="H571" i="1"/>
  <c r="L570" i="1"/>
  <c r="K570" i="1"/>
  <c r="H570" i="1"/>
  <c r="G570" i="1"/>
  <c r="F570" i="1"/>
  <c r="E570" i="1"/>
  <c r="H569" i="1"/>
  <c r="H568" i="1"/>
  <c r="H567" i="1"/>
  <c r="H566" i="1"/>
  <c r="H565" i="1"/>
  <c r="H564" i="1"/>
  <c r="H563" i="1"/>
  <c r="H562" i="1"/>
  <c r="H561" i="1"/>
  <c r="L560" i="1"/>
  <c r="K560" i="1"/>
  <c r="H560" i="1"/>
  <c r="G560" i="1"/>
  <c r="F560" i="1"/>
  <c r="E560" i="1"/>
  <c r="H559" i="1"/>
  <c r="H558" i="1"/>
  <c r="H557" i="1"/>
  <c r="G557" i="1"/>
  <c r="F557" i="1"/>
  <c r="E557" i="1"/>
  <c r="H556" i="1"/>
  <c r="G556" i="1"/>
  <c r="F556" i="1"/>
  <c r="E556" i="1"/>
  <c r="H555" i="1"/>
  <c r="H554" i="1"/>
  <c r="G554" i="1"/>
  <c r="F554" i="1"/>
  <c r="E554" i="1"/>
  <c r="H553" i="1"/>
  <c r="H552" i="1"/>
  <c r="G552" i="1"/>
  <c r="F552" i="1"/>
  <c r="E552" i="1"/>
  <c r="H551" i="1"/>
  <c r="H550" i="1"/>
  <c r="H549" i="1"/>
  <c r="H548" i="1"/>
  <c r="H547" i="1"/>
  <c r="G547" i="1"/>
  <c r="F547" i="1"/>
  <c r="E547" i="1"/>
  <c r="H546" i="1"/>
  <c r="H545" i="1"/>
  <c r="H544" i="1"/>
  <c r="H543" i="1"/>
  <c r="H542" i="1"/>
  <c r="G542" i="1"/>
  <c r="F542" i="1"/>
  <c r="E542" i="1"/>
  <c r="H541" i="1"/>
  <c r="H540" i="1"/>
  <c r="H539" i="1"/>
  <c r="H538" i="1"/>
  <c r="H537" i="1"/>
  <c r="H536" i="1"/>
  <c r="H535" i="1"/>
  <c r="G535" i="1"/>
  <c r="F535" i="1"/>
  <c r="E535" i="1"/>
  <c r="H534" i="1"/>
  <c r="H533" i="1"/>
  <c r="H532" i="1"/>
  <c r="H531" i="1"/>
  <c r="H530" i="1"/>
  <c r="H529" i="1"/>
  <c r="J528" i="1"/>
  <c r="I528" i="1"/>
  <c r="H527" i="1"/>
  <c r="H526" i="1"/>
  <c r="H525" i="1"/>
  <c r="H524" i="1"/>
  <c r="H523" i="1"/>
  <c r="K522" i="1"/>
  <c r="H522" i="1"/>
  <c r="G522" i="1"/>
  <c r="F522" i="1"/>
  <c r="E522" i="1"/>
  <c r="H521" i="1"/>
  <c r="H520" i="1"/>
  <c r="H519" i="1"/>
  <c r="G519" i="1"/>
  <c r="F519" i="1"/>
  <c r="E519" i="1"/>
  <c r="H518" i="1"/>
  <c r="H517" i="1"/>
  <c r="G517" i="1"/>
  <c r="F517" i="1"/>
  <c r="E517" i="1"/>
  <c r="H516" i="1"/>
  <c r="H515" i="1"/>
  <c r="H514" i="1"/>
  <c r="H513" i="1"/>
  <c r="H512" i="1"/>
  <c r="H511" i="1"/>
  <c r="G511" i="1"/>
  <c r="F511" i="1"/>
  <c r="E511" i="1"/>
  <c r="H510" i="1"/>
  <c r="H509" i="1"/>
  <c r="H508" i="1"/>
  <c r="K507" i="1"/>
  <c r="H507" i="1"/>
  <c r="G507" i="1"/>
  <c r="F507" i="1"/>
  <c r="E507" i="1"/>
  <c r="K506" i="1"/>
  <c r="H506" i="1"/>
  <c r="G506" i="1"/>
  <c r="F506" i="1"/>
  <c r="E506" i="1"/>
  <c r="H505" i="1"/>
  <c r="H504" i="1"/>
  <c r="H503" i="1"/>
  <c r="H502" i="1"/>
  <c r="H501" i="1"/>
  <c r="K500" i="1"/>
  <c r="H500" i="1"/>
  <c r="G500" i="1"/>
  <c r="F500" i="1"/>
  <c r="E500" i="1"/>
  <c r="H499" i="1"/>
  <c r="H498" i="1"/>
  <c r="H497" i="1"/>
  <c r="H496" i="1"/>
  <c r="H495" i="1"/>
  <c r="H494" i="1"/>
  <c r="H493" i="1"/>
  <c r="H492" i="1"/>
  <c r="H491" i="1"/>
  <c r="L490" i="1"/>
  <c r="J490" i="1"/>
  <c r="I490" i="1"/>
  <c r="H489" i="1"/>
  <c r="G489" i="1"/>
  <c r="F489" i="1"/>
  <c r="E489" i="1"/>
  <c r="H488" i="1"/>
  <c r="G488" i="1"/>
  <c r="F488" i="1"/>
  <c r="E488" i="1"/>
  <c r="H487" i="1"/>
  <c r="G487" i="1"/>
  <c r="F487" i="1"/>
  <c r="E487" i="1"/>
  <c r="H486" i="1"/>
  <c r="H485" i="1"/>
  <c r="G485" i="1"/>
  <c r="F485" i="1"/>
  <c r="E485" i="1"/>
  <c r="H484" i="1"/>
  <c r="H483" i="1"/>
  <c r="H482" i="1"/>
  <c r="H481" i="1"/>
  <c r="H480" i="1"/>
  <c r="H479" i="1"/>
  <c r="G479" i="1"/>
  <c r="F479" i="1"/>
  <c r="E479" i="1"/>
  <c r="H478" i="1"/>
  <c r="H477" i="1"/>
  <c r="H476" i="1"/>
  <c r="G476" i="1"/>
  <c r="F476" i="1"/>
  <c r="E476" i="1"/>
  <c r="H475" i="1"/>
  <c r="G475" i="1"/>
  <c r="F475" i="1"/>
  <c r="E475" i="1"/>
  <c r="H474" i="1"/>
  <c r="G474" i="1"/>
  <c r="F474" i="1"/>
  <c r="E474" i="1"/>
  <c r="H473" i="1"/>
  <c r="H472" i="1"/>
  <c r="H471" i="1"/>
  <c r="H470" i="1"/>
  <c r="G470" i="1"/>
  <c r="F470" i="1"/>
  <c r="E470" i="1"/>
  <c r="H469" i="1"/>
  <c r="H468" i="1"/>
  <c r="G468" i="1"/>
  <c r="F468" i="1"/>
  <c r="E468" i="1"/>
  <c r="L467" i="1"/>
  <c r="K467" i="1"/>
  <c r="J467" i="1"/>
  <c r="I467" i="1"/>
  <c r="H466" i="1"/>
  <c r="H465" i="1"/>
  <c r="H464" i="1"/>
  <c r="H463" i="1"/>
  <c r="H462" i="1"/>
  <c r="H461" i="1"/>
  <c r="L460" i="1"/>
  <c r="K460" i="1"/>
  <c r="J460" i="1"/>
  <c r="I460" i="1"/>
  <c r="G460" i="1"/>
  <c r="F460" i="1"/>
  <c r="E460" i="1"/>
  <c r="K459" i="1"/>
  <c r="H459" i="1"/>
  <c r="G459" i="1"/>
  <c r="F459" i="1"/>
  <c r="E459" i="1"/>
  <c r="H458" i="1"/>
  <c r="H457" i="1"/>
  <c r="G457" i="1"/>
  <c r="F457" i="1"/>
  <c r="E457" i="1"/>
  <c r="H456" i="1"/>
  <c r="G456" i="1"/>
  <c r="F456" i="1"/>
  <c r="E456" i="1"/>
  <c r="H455" i="1"/>
  <c r="G455" i="1"/>
  <c r="F455" i="1"/>
  <c r="E455" i="1"/>
  <c r="H454" i="1"/>
  <c r="L453" i="1"/>
  <c r="L444" i="1" s="1"/>
  <c r="K453" i="1"/>
  <c r="K444" i="1" s="1"/>
  <c r="H453" i="1"/>
  <c r="G453" i="1"/>
  <c r="F453" i="1"/>
  <c r="E453" i="1"/>
  <c r="H452" i="1"/>
  <c r="G452" i="1"/>
  <c r="F452" i="1"/>
  <c r="E452" i="1"/>
  <c r="H451" i="1"/>
  <c r="H450" i="1"/>
  <c r="H449" i="1"/>
  <c r="H448" i="1"/>
  <c r="G448" i="1"/>
  <c r="F448" i="1"/>
  <c r="E448" i="1"/>
  <c r="H447" i="1"/>
  <c r="H446" i="1"/>
  <c r="G446" i="1"/>
  <c r="F446" i="1"/>
  <c r="E446" i="1"/>
  <c r="H445" i="1"/>
  <c r="G445" i="1"/>
  <c r="F445" i="1"/>
  <c r="E445" i="1"/>
  <c r="J444" i="1"/>
  <c r="I444" i="1"/>
  <c r="H443" i="1"/>
  <c r="H442" i="1"/>
  <c r="H441" i="1"/>
  <c r="H440" i="1"/>
  <c r="G440" i="1"/>
  <c r="G438" i="1" s="1"/>
  <c r="F440" i="1"/>
  <c r="F438" i="1" s="1"/>
  <c r="E440" i="1"/>
  <c r="E438" i="1" s="1"/>
  <c r="H439" i="1"/>
  <c r="L438" i="1"/>
  <c r="K438" i="1"/>
  <c r="J438" i="1"/>
  <c r="I438" i="1"/>
  <c r="H437" i="1"/>
  <c r="H436" i="1"/>
  <c r="G436" i="1"/>
  <c r="F436" i="1"/>
  <c r="E436" i="1"/>
  <c r="H435" i="1"/>
  <c r="H434" i="1"/>
  <c r="H433" i="1"/>
  <c r="H432" i="1"/>
  <c r="H431" i="1"/>
  <c r="H430" i="1"/>
  <c r="H429" i="1"/>
  <c r="H428" i="1"/>
  <c r="H427" i="1"/>
  <c r="F427" i="1"/>
  <c r="E427" i="1"/>
  <c r="H426" i="1"/>
  <c r="L425" i="1"/>
  <c r="K425" i="1"/>
  <c r="H425" i="1"/>
  <c r="G425" i="1"/>
  <c r="F425" i="1"/>
  <c r="E425" i="1"/>
  <c r="H424" i="1"/>
  <c r="H423" i="1"/>
  <c r="H422" i="1"/>
  <c r="H421" i="1"/>
  <c r="H420" i="1"/>
  <c r="H419" i="1"/>
  <c r="H418" i="1"/>
  <c r="H417" i="1"/>
  <c r="H416" i="1"/>
  <c r="G416" i="1"/>
  <c r="F416" i="1"/>
  <c r="E416" i="1"/>
  <c r="H415" i="1"/>
  <c r="H414" i="1"/>
  <c r="G414" i="1"/>
  <c r="F414" i="1"/>
  <c r="E414" i="1"/>
  <c r="H413" i="1"/>
  <c r="G413" i="1"/>
  <c r="F413" i="1"/>
  <c r="E413" i="1"/>
  <c r="H412" i="1"/>
  <c r="H411" i="1"/>
  <c r="H410" i="1"/>
  <c r="G410" i="1"/>
  <c r="F410" i="1"/>
  <c r="E410" i="1"/>
  <c r="H409" i="1"/>
  <c r="H408" i="1"/>
  <c r="G408" i="1"/>
  <c r="F408" i="1"/>
  <c r="E408" i="1"/>
  <c r="L407" i="1"/>
  <c r="K407" i="1"/>
  <c r="H407" i="1"/>
  <c r="G407" i="1"/>
  <c r="F407" i="1"/>
  <c r="E407" i="1"/>
  <c r="H406" i="1"/>
  <c r="H405" i="1"/>
  <c r="H404" i="1"/>
  <c r="F404" i="1"/>
  <c r="E404" i="1"/>
  <c r="H403" i="1"/>
  <c r="G403" i="1"/>
  <c r="F403" i="1"/>
  <c r="E403" i="1"/>
  <c r="H402" i="1"/>
  <c r="G402" i="1"/>
  <c r="F402" i="1"/>
  <c r="E402" i="1"/>
  <c r="H401" i="1"/>
  <c r="H400" i="1"/>
  <c r="H399" i="1"/>
  <c r="G399" i="1"/>
  <c r="F399" i="1"/>
  <c r="E399" i="1"/>
  <c r="H398" i="1"/>
  <c r="G398" i="1"/>
  <c r="F398" i="1"/>
  <c r="E398" i="1"/>
  <c r="H397" i="1"/>
  <c r="G397" i="1"/>
  <c r="F397" i="1"/>
  <c r="E397" i="1"/>
  <c r="H396" i="1"/>
  <c r="G396" i="1"/>
  <c r="F396" i="1"/>
  <c r="E396" i="1"/>
  <c r="H395" i="1"/>
  <c r="G395" i="1"/>
  <c r="F395" i="1"/>
  <c r="E395" i="1"/>
  <c r="H394" i="1"/>
  <c r="H393" i="1"/>
  <c r="G393" i="1"/>
  <c r="F393" i="1"/>
  <c r="E393" i="1"/>
  <c r="H392" i="1"/>
  <c r="G392" i="1"/>
  <c r="F392" i="1"/>
  <c r="E392" i="1"/>
  <c r="H391" i="1"/>
  <c r="H390" i="1"/>
  <c r="H389" i="1"/>
  <c r="H388" i="1"/>
  <c r="H387" i="1"/>
  <c r="G387" i="1"/>
  <c r="F387" i="1"/>
  <c r="E387" i="1"/>
  <c r="H386" i="1"/>
  <c r="J385" i="1"/>
  <c r="I385" i="1"/>
  <c r="H384" i="1"/>
  <c r="H383" i="1"/>
  <c r="H382" i="1"/>
  <c r="H381" i="1"/>
  <c r="H380" i="1"/>
  <c r="H379" i="1"/>
  <c r="G379" i="1"/>
  <c r="F379" i="1"/>
  <c r="E379" i="1"/>
  <c r="H378" i="1"/>
  <c r="L377" i="1"/>
  <c r="K377" i="1"/>
  <c r="H377" i="1"/>
  <c r="G377" i="1"/>
  <c r="F377" i="1"/>
  <c r="E377" i="1"/>
  <c r="H376" i="1"/>
  <c r="H375" i="1"/>
  <c r="H374" i="1"/>
  <c r="H373" i="1"/>
  <c r="H372" i="1"/>
  <c r="H371" i="1"/>
  <c r="L370" i="1"/>
  <c r="K370" i="1"/>
  <c r="H370" i="1"/>
  <c r="G370" i="1"/>
  <c r="F370" i="1"/>
  <c r="E370" i="1"/>
  <c r="L369" i="1"/>
  <c r="K369" i="1"/>
  <c r="H369" i="1"/>
  <c r="G369" i="1"/>
  <c r="F369" i="1"/>
  <c r="E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L346" i="1"/>
  <c r="K346" i="1"/>
  <c r="H346" i="1"/>
  <c r="G346" i="1"/>
  <c r="F346" i="1"/>
  <c r="E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J320" i="1"/>
  <c r="I320" i="1"/>
  <c r="H319" i="1"/>
  <c r="H318" i="1"/>
  <c r="G318" i="1"/>
  <c r="F318" i="1"/>
  <c r="E318" i="1"/>
  <c r="H317" i="1"/>
  <c r="H316" i="1"/>
  <c r="H315" i="1"/>
  <c r="G315" i="1"/>
  <c r="F315" i="1"/>
  <c r="E315" i="1"/>
  <c r="H314" i="1"/>
  <c r="G314" i="1"/>
  <c r="F314" i="1"/>
  <c r="E314" i="1"/>
  <c r="H313" i="1"/>
  <c r="F313" i="1"/>
  <c r="E313" i="1"/>
  <c r="H312" i="1"/>
  <c r="H311" i="1"/>
  <c r="H310" i="1"/>
  <c r="L309" i="1"/>
  <c r="K309" i="1"/>
  <c r="J309" i="1"/>
  <c r="I309" i="1"/>
  <c r="H308" i="1"/>
  <c r="H307" i="1"/>
  <c r="H306" i="1"/>
  <c r="H305" i="1"/>
  <c r="H304" i="1"/>
  <c r="H303" i="1"/>
  <c r="H302" i="1"/>
  <c r="H301" i="1"/>
  <c r="H300" i="1"/>
  <c r="L299" i="1"/>
  <c r="L298" i="1" s="1"/>
  <c r="K299" i="1"/>
  <c r="K298" i="1" s="1"/>
  <c r="H299" i="1"/>
  <c r="G299" i="1"/>
  <c r="G298" i="1" s="1"/>
  <c r="F299" i="1"/>
  <c r="F298" i="1" s="1"/>
  <c r="E299" i="1"/>
  <c r="E298" i="1" s="1"/>
  <c r="J298" i="1"/>
  <c r="I298" i="1"/>
  <c r="H297" i="1"/>
  <c r="H296" i="1"/>
  <c r="H295" i="1"/>
  <c r="H294" i="1"/>
  <c r="H293" i="1"/>
  <c r="H292" i="1"/>
  <c r="H291" i="1"/>
  <c r="H290" i="1"/>
  <c r="H289" i="1"/>
  <c r="H288" i="1"/>
  <c r="L287" i="1"/>
  <c r="K287" i="1"/>
  <c r="H287" i="1"/>
  <c r="G287" i="1"/>
  <c r="F287" i="1"/>
  <c r="E287" i="1"/>
  <c r="H286" i="1"/>
  <c r="H285" i="1"/>
  <c r="G285" i="1"/>
  <c r="F285" i="1"/>
  <c r="E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F272" i="1"/>
  <c r="E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L245" i="1"/>
  <c r="K245" i="1"/>
  <c r="J245" i="1"/>
  <c r="I245" i="1"/>
  <c r="G245" i="1"/>
  <c r="K244" i="1"/>
  <c r="H244" i="1"/>
  <c r="G244" i="1"/>
  <c r="F244" i="1"/>
  <c r="E244" i="1"/>
  <c r="H243" i="1"/>
  <c r="G243" i="1"/>
  <c r="F243" i="1"/>
  <c r="E243" i="1"/>
  <c r="H242" i="1"/>
  <c r="G242" i="1"/>
  <c r="F242" i="1"/>
  <c r="E242" i="1"/>
  <c r="H241" i="1"/>
  <c r="H240" i="1"/>
  <c r="H239" i="1"/>
  <c r="H238" i="1"/>
  <c r="G238" i="1"/>
  <c r="F238" i="1"/>
  <c r="E238" i="1"/>
  <c r="H237" i="1"/>
  <c r="F237" i="1"/>
  <c r="E237" i="1"/>
  <c r="H236" i="1"/>
  <c r="F236" i="1"/>
  <c r="E236" i="1"/>
  <c r="H235" i="1"/>
  <c r="H234" i="1"/>
  <c r="L233" i="1"/>
  <c r="L220" i="1" s="1"/>
  <c r="K233" i="1"/>
  <c r="H233" i="1"/>
  <c r="G233" i="1"/>
  <c r="F233" i="1"/>
  <c r="E233" i="1"/>
  <c r="H232" i="1"/>
  <c r="H231" i="1"/>
  <c r="F231" i="1"/>
  <c r="E231" i="1"/>
  <c r="H230" i="1"/>
  <c r="H229" i="1"/>
  <c r="H228" i="1"/>
  <c r="H227" i="1"/>
  <c r="H226" i="1"/>
  <c r="G226" i="1"/>
  <c r="F226" i="1"/>
  <c r="E226" i="1"/>
  <c r="H225" i="1"/>
  <c r="G225" i="1"/>
  <c r="F225" i="1"/>
  <c r="E225" i="1"/>
  <c r="H224" i="1"/>
  <c r="G224" i="1"/>
  <c r="F224" i="1"/>
  <c r="E224" i="1"/>
  <c r="H223" i="1"/>
  <c r="F223" i="1"/>
  <c r="E223" i="1"/>
  <c r="H222" i="1"/>
  <c r="G222" i="1"/>
  <c r="F222" i="1"/>
  <c r="E222" i="1"/>
  <c r="H221" i="1"/>
  <c r="J220" i="1"/>
  <c r="I220" i="1"/>
  <c r="H219" i="1"/>
  <c r="L218" i="1"/>
  <c r="K218" i="1"/>
  <c r="H218" i="1"/>
  <c r="G218" i="1"/>
  <c r="F218" i="1"/>
  <c r="E218" i="1"/>
  <c r="H217" i="1"/>
  <c r="H216" i="1"/>
  <c r="H215" i="1"/>
  <c r="G215" i="1"/>
  <c r="F215" i="1"/>
  <c r="E215" i="1"/>
  <c r="H214" i="1"/>
  <c r="H213" i="1"/>
  <c r="G213" i="1"/>
  <c r="F213" i="1"/>
  <c r="E213" i="1"/>
  <c r="H212" i="1"/>
  <c r="G212" i="1"/>
  <c r="E212" i="1"/>
  <c r="H211" i="1"/>
  <c r="H210" i="1"/>
  <c r="H209" i="1"/>
  <c r="H208" i="1"/>
  <c r="H207" i="1"/>
  <c r="H206" i="1"/>
  <c r="H205" i="1"/>
  <c r="H204" i="1"/>
  <c r="H203" i="1"/>
  <c r="H202" i="1"/>
  <c r="L201" i="1"/>
  <c r="K201" i="1"/>
  <c r="H201" i="1"/>
  <c r="G201" i="1"/>
  <c r="F201" i="1"/>
  <c r="E201" i="1"/>
  <c r="H200" i="1"/>
  <c r="H199" i="1"/>
  <c r="H198" i="1"/>
  <c r="G198" i="1"/>
  <c r="F198" i="1"/>
  <c r="E198" i="1"/>
  <c r="H197" i="1"/>
  <c r="H196" i="1"/>
  <c r="H195" i="1"/>
  <c r="H194" i="1"/>
  <c r="G194" i="1"/>
  <c r="F194" i="1"/>
  <c r="E194" i="1"/>
  <c r="H193" i="1"/>
  <c r="G193" i="1"/>
  <c r="F193" i="1"/>
  <c r="E193" i="1"/>
  <c r="H192" i="1"/>
  <c r="H191" i="1"/>
  <c r="H190" i="1"/>
  <c r="H189" i="1"/>
  <c r="H188" i="1"/>
  <c r="H187" i="1"/>
  <c r="G187" i="1"/>
  <c r="F187" i="1"/>
  <c r="E187" i="1"/>
  <c r="H186" i="1"/>
  <c r="G186" i="1"/>
  <c r="F186" i="1"/>
  <c r="E186" i="1"/>
  <c r="H185" i="1"/>
  <c r="H184" i="1"/>
  <c r="H183" i="1"/>
  <c r="G183" i="1"/>
  <c r="F183" i="1"/>
  <c r="E183" i="1"/>
  <c r="H182" i="1"/>
  <c r="H181" i="1"/>
  <c r="H180" i="1"/>
  <c r="G180" i="1"/>
  <c r="F180" i="1"/>
  <c r="E180" i="1"/>
  <c r="H179" i="1"/>
  <c r="G179" i="1"/>
  <c r="F179" i="1"/>
  <c r="E179" i="1"/>
  <c r="H178" i="1"/>
  <c r="H177" i="1"/>
  <c r="H176" i="1"/>
  <c r="H175" i="1"/>
  <c r="H174" i="1"/>
  <c r="H173" i="1"/>
  <c r="F173" i="1"/>
  <c r="E173" i="1"/>
  <c r="H172" i="1"/>
  <c r="H171" i="1"/>
  <c r="H170" i="1"/>
  <c r="J169" i="1"/>
  <c r="I169" i="1"/>
  <c r="H168" i="1"/>
  <c r="H167" i="1"/>
  <c r="H166" i="1"/>
  <c r="H165" i="1"/>
  <c r="H164" i="1"/>
  <c r="H163" i="1"/>
  <c r="L162" i="1"/>
  <c r="L125" i="1" s="1"/>
  <c r="K162" i="1"/>
  <c r="K125" i="1" s="1"/>
  <c r="H162" i="1"/>
  <c r="G162" i="1"/>
  <c r="F162" i="1"/>
  <c r="E162" i="1"/>
  <c r="H161" i="1"/>
  <c r="H160" i="1"/>
  <c r="H159" i="1"/>
  <c r="H158" i="1"/>
  <c r="H157" i="1"/>
  <c r="H156" i="1"/>
  <c r="H155" i="1"/>
  <c r="G155" i="1"/>
  <c r="F155" i="1"/>
  <c r="E155" i="1"/>
  <c r="H154" i="1"/>
  <c r="H153" i="1"/>
  <c r="H152" i="1"/>
  <c r="H151" i="1"/>
  <c r="H150" i="1"/>
  <c r="H149" i="1"/>
  <c r="F149" i="1"/>
  <c r="E149" i="1"/>
  <c r="H148" i="1"/>
  <c r="G148" i="1"/>
  <c r="F148" i="1"/>
  <c r="E148" i="1"/>
  <c r="H147" i="1"/>
  <c r="H146" i="1"/>
  <c r="H145" i="1"/>
  <c r="H144" i="1"/>
  <c r="H143" i="1"/>
  <c r="H142" i="1"/>
  <c r="H141" i="1"/>
  <c r="H140" i="1"/>
  <c r="H139" i="1"/>
  <c r="G139" i="1"/>
  <c r="F139" i="1"/>
  <c r="E139" i="1"/>
  <c r="H138" i="1"/>
  <c r="H137" i="1"/>
  <c r="F137" i="1"/>
  <c r="E137" i="1"/>
  <c r="H136" i="1"/>
  <c r="G136" i="1"/>
  <c r="F136" i="1"/>
  <c r="E136" i="1"/>
  <c r="H135" i="1"/>
  <c r="H134" i="1"/>
  <c r="H133" i="1"/>
  <c r="H132" i="1"/>
  <c r="H131" i="1"/>
  <c r="H130" i="1"/>
  <c r="H129" i="1"/>
  <c r="H128" i="1"/>
  <c r="H127" i="1"/>
  <c r="H126" i="1"/>
  <c r="J125" i="1"/>
  <c r="I125" i="1"/>
  <c r="E125" i="1"/>
  <c r="H124" i="1"/>
  <c r="H123" i="1"/>
  <c r="H122" i="1"/>
  <c r="H121" i="1"/>
  <c r="G121" i="1"/>
  <c r="F121" i="1"/>
  <c r="E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G107" i="1"/>
  <c r="F107" i="1"/>
  <c r="E107" i="1"/>
  <c r="H106" i="1"/>
  <c r="L105" i="1"/>
  <c r="K105" i="1"/>
  <c r="H105" i="1"/>
  <c r="G105" i="1"/>
  <c r="F105" i="1"/>
  <c r="E105" i="1"/>
  <c r="H104" i="1"/>
  <c r="L103" i="1"/>
  <c r="K103" i="1"/>
  <c r="H103" i="1"/>
  <c r="G103" i="1"/>
  <c r="F103" i="1"/>
  <c r="E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L72" i="1"/>
  <c r="J72" i="1"/>
  <c r="I72" i="1"/>
  <c r="H71" i="1"/>
  <c r="H70" i="1"/>
  <c r="G70" i="1"/>
  <c r="F70" i="1"/>
  <c r="E70" i="1"/>
  <c r="H69" i="1"/>
  <c r="K68" i="1"/>
  <c r="H68" i="1"/>
  <c r="G68" i="1"/>
  <c r="F68" i="1"/>
  <c r="E68" i="1"/>
  <c r="H67" i="1"/>
  <c r="G67" i="1"/>
  <c r="F67" i="1"/>
  <c r="E67" i="1"/>
  <c r="H66" i="1"/>
  <c r="G66" i="1"/>
  <c r="F66" i="1"/>
  <c r="E66" i="1"/>
  <c r="H65" i="1"/>
  <c r="H64" i="1"/>
  <c r="H63" i="1"/>
  <c r="H62" i="1"/>
  <c r="G62" i="1"/>
  <c r="F62" i="1"/>
  <c r="E62" i="1"/>
  <c r="H61" i="1"/>
  <c r="H60" i="1"/>
  <c r="H59" i="1"/>
  <c r="H58" i="1"/>
  <c r="H57" i="1"/>
  <c r="L56" i="1"/>
  <c r="K56" i="1"/>
  <c r="J56" i="1"/>
  <c r="I56" i="1"/>
  <c r="H55" i="1"/>
  <c r="H54" i="1"/>
  <c r="G54" i="1"/>
  <c r="F54" i="1"/>
  <c r="E54" i="1"/>
  <c r="H53" i="1"/>
  <c r="L52" i="1"/>
  <c r="L31" i="1" s="1"/>
  <c r="K52" i="1"/>
  <c r="H52" i="1"/>
  <c r="G52" i="1"/>
  <c r="F52" i="1"/>
  <c r="E52" i="1"/>
  <c r="H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H45" i="1"/>
  <c r="H44" i="1"/>
  <c r="H43" i="1"/>
  <c r="H42" i="1"/>
  <c r="H41" i="1"/>
  <c r="G41" i="1"/>
  <c r="F41" i="1"/>
  <c r="E41" i="1"/>
  <c r="H40" i="1"/>
  <c r="H39" i="1"/>
  <c r="G39" i="1"/>
  <c r="F39" i="1"/>
  <c r="E39" i="1"/>
  <c r="H38" i="1"/>
  <c r="H37" i="1"/>
  <c r="G37" i="1"/>
  <c r="F37" i="1"/>
  <c r="E37" i="1"/>
  <c r="H36" i="1"/>
  <c r="H35" i="1"/>
  <c r="G35" i="1"/>
  <c r="F35" i="1"/>
  <c r="E35" i="1"/>
  <c r="H34" i="1"/>
  <c r="G34" i="1"/>
  <c r="F34" i="1"/>
  <c r="E34" i="1"/>
  <c r="H33" i="1"/>
  <c r="H32" i="1"/>
  <c r="K31" i="1"/>
  <c r="J31" i="1"/>
  <c r="I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L17" i="1"/>
  <c r="L8" i="1" s="1"/>
  <c r="K17" i="1"/>
  <c r="H17" i="1"/>
  <c r="G17" i="1"/>
  <c r="F17" i="1"/>
  <c r="E17" i="1"/>
  <c r="H16" i="1"/>
  <c r="H15" i="1"/>
  <c r="H14" i="1"/>
  <c r="H13" i="1"/>
  <c r="G13" i="1"/>
  <c r="F13" i="1"/>
  <c r="E13" i="1"/>
  <c r="H12" i="1"/>
  <c r="H11" i="1"/>
  <c r="H10" i="1"/>
  <c r="H9" i="1"/>
  <c r="K8" i="1"/>
  <c r="J8" i="1"/>
  <c r="I8" i="1"/>
  <c r="K169" i="1" l="1"/>
  <c r="L320" i="1"/>
  <c r="L169" i="1"/>
  <c r="K714" i="1"/>
  <c r="H169" i="1"/>
  <c r="G169" i="1"/>
  <c r="H320" i="1"/>
  <c r="F385" i="1"/>
  <c r="F598" i="1"/>
  <c r="G742" i="1"/>
  <c r="I7" i="1"/>
  <c r="H490" i="1"/>
  <c r="H682" i="1"/>
  <c r="H714" i="1"/>
  <c r="H742" i="1"/>
  <c r="H31" i="1"/>
  <c r="F56" i="1"/>
  <c r="G56" i="1"/>
  <c r="F245" i="1"/>
  <c r="F444" i="1"/>
  <c r="E467" i="1"/>
  <c r="E528" i="1"/>
  <c r="K528" i="1"/>
  <c r="L528" i="1"/>
  <c r="E573" i="1"/>
  <c r="G573" i="1"/>
  <c r="E8" i="1"/>
  <c r="E31" i="1"/>
  <c r="G31" i="1"/>
  <c r="F31" i="1"/>
  <c r="H72" i="1"/>
  <c r="K72" i="1"/>
  <c r="G320" i="1"/>
  <c r="H56" i="1"/>
  <c r="H298" i="1"/>
  <c r="H385" i="1"/>
  <c r="H632" i="1"/>
  <c r="E632" i="1"/>
  <c r="E742" i="1"/>
  <c r="F8" i="1"/>
  <c r="E169" i="1"/>
  <c r="H444" i="1"/>
  <c r="H598" i="1"/>
  <c r="F125" i="1"/>
  <c r="H220" i="1"/>
  <c r="H309" i="1"/>
  <c r="F309" i="1"/>
  <c r="G309" i="1"/>
  <c r="K385" i="1"/>
  <c r="H460" i="1"/>
  <c r="H528" i="1"/>
  <c r="E714" i="1"/>
  <c r="G220" i="1"/>
  <c r="H245" i="1"/>
  <c r="E385" i="1"/>
  <c r="L385" i="1"/>
  <c r="L7" i="1" s="1"/>
  <c r="G490" i="1"/>
  <c r="E490" i="1"/>
  <c r="K490" i="1"/>
  <c r="H573" i="1"/>
  <c r="E598" i="1"/>
  <c r="H775" i="1"/>
  <c r="G72" i="1"/>
  <c r="G125" i="1"/>
  <c r="K220" i="1"/>
  <c r="H438" i="1"/>
  <c r="E444" i="1"/>
  <c r="G444" i="1"/>
  <c r="G467" i="1"/>
  <c r="F467" i="1"/>
  <c r="E682" i="1"/>
  <c r="G8" i="1"/>
  <c r="E72" i="1"/>
  <c r="F72" i="1"/>
  <c r="E220" i="1"/>
  <c r="F220" i="1"/>
  <c r="E320" i="1"/>
  <c r="K320" i="1"/>
  <c r="J7" i="1"/>
  <c r="H7" i="1" s="1"/>
  <c r="G528" i="1"/>
  <c r="F528" i="1"/>
  <c r="F573" i="1"/>
  <c r="G682" i="1"/>
  <c r="F714" i="1"/>
  <c r="F742" i="1"/>
  <c r="H8" i="1"/>
  <c r="E56" i="1"/>
  <c r="H125" i="1"/>
  <c r="F169" i="1"/>
  <c r="E245" i="1"/>
  <c r="E7" i="1" s="1"/>
  <c r="E309" i="1"/>
  <c r="F320" i="1"/>
  <c r="G385" i="1"/>
  <c r="H467" i="1"/>
  <c r="F490" i="1"/>
  <c r="G632" i="1"/>
  <c r="F632" i="1"/>
  <c r="G714" i="1"/>
  <c r="K7" i="1" l="1"/>
  <c r="F7" i="1"/>
  <c r="G7" i="1"/>
</calcChain>
</file>

<file path=xl/sharedStrings.xml><?xml version="1.0" encoding="utf-8"?>
<sst xmlns="http://schemas.openxmlformats.org/spreadsheetml/2006/main" count="1598" uniqueCount="860">
  <si>
    <t>ПЕРЕЛІК</t>
  </si>
  <si>
    <t>інвестиційних програм і проектів регіонального розвитку, що можуть реалізовуватися у 2019 році за рахунок коштів державного фонду регіонального розвитку, в тому числі тих, що фінансуються з метою погашення кредиторської заборгованості, зареєстрованої органами Державної казначейської служби станом на 1 січня 2019 р.</t>
  </si>
  <si>
    <t>№</t>
  </si>
  <si>
    <t>Обсяг фінансування, найменування інвестиційної програми (проекту регіонального розвитку)</t>
  </si>
  <si>
    <t>ДЕРЖАВНИЙ БЮДЖЕТ</t>
  </si>
  <si>
    <t>Кіль-кість</t>
  </si>
  <si>
    <t>Завер-шено</t>
  </si>
  <si>
    <t>Обсяг фінансування, передбачений розпорядженням КМУ, 
тис. гривень</t>
  </si>
  <si>
    <t>з них</t>
  </si>
  <si>
    <t>Касові видатки, 
тис. гривень</t>
  </si>
  <si>
    <t>Код об-лас-ті</t>
  </si>
  <si>
    <t>Загальний</t>
  </si>
  <si>
    <t>Спеціальний</t>
  </si>
  <si>
    <t>Усього — 6 896 284,779 тис. гривень (5 994 553,015 тис. — загальний фонд, тис. — 901 731,764 спеціальний фонд), у тому числі:</t>
  </si>
  <si>
    <t>ВІННИЦЬКА ОБЛАСТЬ
усього - 212502,517 тис. гривень (184791,24 тис. - загальний фонд, 27711,277 тис. - спеціальний фонд), у тому числі:</t>
  </si>
  <si>
    <t>20000 тис. (загальний фонд) - будівля комунальної організації "Спорткомплекс "Здоров'я" по вул. Якова Шепеля, 23, у м. Вінниці - реконструкція</t>
  </si>
  <si>
    <t>2018-2020</t>
  </si>
  <si>
    <t>8000 тис. (загальний фонд) - стадіон на території Вінницького гуманітарно-педагогічного коледжу по вул. Нагірній, 13, у м. Вінниці - будівництво</t>
  </si>
  <si>
    <t>16000 тис. (загальний фонд) - будівлі навчально-виховного закладу "Загальноосвітня школа I - III ступеня - ліцей смт Стрижавка" по вул. 40-річчя Перемоги, 3, у смт Стрижавка Вінницького району - реконструкція</t>
  </si>
  <si>
    <t>2018-2019</t>
  </si>
  <si>
    <t>1500 тис. (загальний фонд) - приміщення школи у с. Сокіл Чернівецького району - реконструкція (впровадження енергоефективних заходів)</t>
  </si>
  <si>
    <t>2017-2019</t>
  </si>
  <si>
    <t>26000 тис. (загальний фонд) - загальноосвітня школа I - III ступеня в житловому кварталі N 8 району "Поділля" в м. Вінниці - будівництво</t>
  </si>
  <si>
    <t>збільшено</t>
  </si>
  <si>
    <t>45000 тис. (загальний фонд) - вул. Замостянська (від вул. Стрілецької до просп. Коцюбинського), м. Вінниця - реконструкція</t>
  </si>
  <si>
    <t>20000 тис. (загальний фонд) - добудова головного корпусу клінічної лікарні швидкої медичної допомоги по вул. Київській, 68, у м. Вінниці - будівництво</t>
  </si>
  <si>
    <t>2000 тис. (загальний фонд) - пам'ятка архітектури та містобудування місцевого значення 1912 року, охоронний номер 213-М, по вул. Грушевського, 2, у м. Вінниці - реставрація (в рамках реалізації проекту пристосування будівлі для потреб навчального закладу - Донецького національного університету імені В. Стуса)</t>
  </si>
  <si>
    <t>будинок культури у с. Летківка Тростянецького району - реконструкція</t>
  </si>
  <si>
    <t>виключено</t>
  </si>
  <si>
    <t>2500 тис. (загальний фонд) - центр безпеки та центр надання адміністративних послуг по вул. Незалежності, 1а, у с. Бабчинці Чернівецького району - будівництво</t>
  </si>
  <si>
    <t>1000 тис. (загальний фонд) - спортивно-оздоровчий комплекс "Авангард" по вул. Козацькій, 3, у смт Браїлів Жмеринського району - реконструкція</t>
  </si>
  <si>
    <t>1000 тис. (спеціальний фонд) - спортивний корпус по вул. Шкільній у м. Гнівані - будівництво</t>
  </si>
  <si>
    <t>2019-2021</t>
  </si>
  <si>
    <t>3700 тис. (2000 тис. - загальний фонд, 1700 тис. - спеціальний фонд) - Іллінецький навчально-виховний комплекс "Загальноосвітня школа I - III ступеня - гімназія N 2" Іллінецької міської ради - капітальний ремонт (заміна покриття покрівлі, утеплення фасаду, водовідведення та благоустрій території)</t>
  </si>
  <si>
    <t>2019-2020</t>
  </si>
  <si>
    <t>3500 тис. (2000 тис. - загальний фонд, 1500 тис. - спеціальний фонд) - загальноосвітня школа I - III ступеня (початкова школа) по вул. Парковій, 18, у смт Оратів - капітальний ремонт із впровадженням енергозберігаючих технологій</t>
  </si>
  <si>
    <t>2970 тис. (1500 тис. - загальний фонд, 1470 тис. - спеціальний фонд) - комунальний заклад "Чернівецька загальноосвітня школа I - III ступеня N 2 Чернівецької районної ради" по вул. Мічуріна, 39, у смт Чернівці - реконструкція</t>
  </si>
  <si>
    <t>4500 тис. (2500 тис. - загальний фонд, 2000 тис. - спеціальний фонд) - будівля опорного навчального закладу "Заклад загальної середньої освіти I - III ступеня N 2 імені Івана Богуна" по вул. Свободи, 154/2, у м. Ямполі - капітальний ремонт з будівництвом спортивного майданчика</t>
  </si>
  <si>
    <t>5857,2 тис. (4000 тис. - загальний фонд, 1857,2 тис. - спеціальний фонд) - спальний корпус Хмільницької обласної фізіотерапевтичної лікарні по вул. Шолом Алейхема, 8, у м. Хмільнику - реконструкція</t>
  </si>
  <si>
    <t>19975,317 тис. (18791,24 тис. - загальний фонд, 1184,077 тис. - спеціальний фонд) - обласна лікарня імені М. І. Пирогова по вул. Пирогова, 46, у м. Вінниці - реконструкція корпусу N 7 для розміщення нейрохірургічного відділення з рентгенопераційним блоком та відділенням гострих інсультів</t>
  </si>
  <si>
    <t>9000 тис. (1000 тис. - загальний фонд, 8000 тис. - спеціальний фонд) - нежитлові приміщення універсальної концертної зали існуючої будівлі по вул. Театральній, 15, у м. Вінниці - реконструкція</t>
  </si>
  <si>
    <t>10000 тис. (6000 тис. - загальний фонд, 4000 тис. - спеціальний фонд) - окружна лікарня по вул. Полтавській, 89/2, у м. Могилеві-Подільському - реконструкція головного корпусу для розміщення рентгенопераційного блоку з ангіографом</t>
  </si>
  <si>
    <t>8000 тис. (4000 тис. - загальний фонд, 4000 тис. - спеціальний фонд) - пам'ятка містобудування та архітектури державного значення "Палац", 1757 рік (охоронний номер 59), по вул. Незалежності, 19, у м. Тульчині - реконструкція елементів благоустрою частини території</t>
  </si>
  <si>
    <t>2000 тис. (1000 тис. - загальний фонд, 1000 тис. - спеціальний фонд) - будівля комунального закладу "Тростянецький районний Будинок культури" по вул. Соборній, 56, в смт Тростянець - реконструкція</t>
  </si>
  <si>
    <t>ВОЛИНСЬКА ОБЛАСТЬ
усього - 220224,758 тис. гривень (191506,467 тис. - загальний фонд, 28718,291 тис. - спеціальний фонд), у тому числі:</t>
  </si>
  <si>
    <t>4638,77 тис. (загальний фонд) - Гірківська загальноосвітня школа I - III ступеня по вул. Садовій, 8, у с. Гірки Любешівського району - реконструкція з добудовою класних кімнат, їдальні і спортзалу</t>
  </si>
  <si>
    <t>14560 тис. (загальний фонд) - навчально-виховний комплекс "Загальноосвітня школа I - III ступеня - дошкільний навчальний заклад" по вул. Ватутіна, 108, у с. Вербка Ковельського району - реконструкція з добудовою спортивного залу, їдальні та новим будівництвом котельні (перша черга)</t>
  </si>
  <si>
    <t>3651,047 тис. (загальний фонд) - реконструкція школи та дитячого садка в с. Старосілля Іваничівського району</t>
  </si>
  <si>
    <t>зменшено</t>
  </si>
  <si>
    <t>7557,15 тис. (4560,691 тис. – загальний фонд, 2996,459 тис. – спеціальний фонд) - навчально-виховний комплекс "Маневицька загальноосвітня школа I - III ступеня N 2 - гімназія імені А. П. Бринського Маневицького району" - реконструкція (термомодернізація)</t>
  </si>
  <si>
    <t>3091,5 тис. (загальний фонд) - підвищення якості медичного обслуговування населення Ратнівського району шляхом придбання томографа для Ратнівської центральної районної лікарні</t>
  </si>
  <si>
    <t>14013,243 тис. (загальний фонд) - Турійська загальноосвітня школа I - III ступеня по вул. Володимирській, 1, в смт Турійськ Турійського району - капітальний ремонт та улаштування спортивного майданчика із штучним покриттям</t>
  </si>
  <si>
    <t>7538,362 тис. (загальний фонд) - реконструкція Горохівської загальноосвітньої школи I - III ступеня імені І. Франка з добудовою їдальні та залу для занять хореографією по вул. Лисенка в м. Горохові</t>
  </si>
  <si>
    <t>3245,5 тис. (загальний фонд) - капітальний ремонт даху та проведення енергоефективних заходів навчально-виховного комплексу "Локачинська загальноосвітня школа I - III ступеня - гімназія" по вул. Миру, 30, в смт Локачі Локачинського району</t>
  </si>
  <si>
    <t>3423,519 тис. (загальний фонд) - стаціонарно-лікувальне відділення для постійного проживання одиноких непрацездатних громадян та осіб з інвалідністю району по вул. Прикордонників, 68, в с. Гуща Любомльського району - капітальний ремонт</t>
  </si>
  <si>
    <t>8506,173 тис. (1950 тис. - загальний фонд, 6556,173 тис. - спеціальний фонд) - школа на 600 місць в смт Головне Любомльського району - будівництво</t>
  </si>
  <si>
    <t>26083,834 тис. (20000 тис. - загальний фонд, 6083,834 тис. - спеціальний фонд) - дитячий садок на 105 місць в с. Крупа Луцького району - будівництво</t>
  </si>
  <si>
    <t>2114,544 тис. (загальний фонд) - реконструкція частини приміщень загальноосвітньої школи I - II ступеня під навчально-виховний комплекс у с. П'ятидні Устилузької об'єднаної міської територіальної громади</t>
  </si>
  <si>
    <t>21190,195 тис. (загальний фонд) - школа I - III ступеня у с. Осівці Камінь-Каширського району - будівництво</t>
  </si>
  <si>
    <t>9193,5 тис. (3193,5 тис. - загальний фонд, 6000 тис. - спеціальний фонд) - дошкільний навчальний заклад по вул. Молодіжній у с. Дачне Ківерцівського району - будівництво</t>
  </si>
  <si>
    <t>20000 тис. (16000 тис. - загальний фонд, 4000 тис. - спеціальний фонд) - загальноосвітня школа I - III ступеня у с. Башлики Ківерцівського району - будівництво</t>
  </si>
  <si>
    <t>2018-2021</t>
  </si>
  <si>
    <t>24650,005 тис. (загальний фонд) - загальноосвітня школа I - III ступеня на 198 учнів в с. Любохини Старовижівського району - будівництво</t>
  </si>
  <si>
    <t>17381,728 тис. (загальний фонд) - комунальний опорний заклад "Луківська загальноосвітня школа I - III ступеня - ліцей" по вул. Лящука, 4, в смт Луків Турійського району - будівництво учбових приміщень</t>
  </si>
  <si>
    <t>8100 тис. (7100 тис. - загальний фонд, 1000 тис. - спеціальний фонд) - комунальне підприємство "Волинський обласний медичний центр онкології" по вул. Тімірязєва, 1, у м. Луцьку - капітальний ремонт корпусів з термореновацією будівель</t>
  </si>
  <si>
    <t>5550 тис. (4550 тис. - загальний фонд, 1000 тис. - спеціальний фонд) - опорний навчальний заклад "Люблинецька загальноосвітня школа I - III ступеня Люблинецької селищної ради Волинської області" по вул. Незалежності, 36, у смт Люблинець Ковельського району - капітальний ремонт фасаду будівлі</t>
  </si>
  <si>
    <t>3000 тис. (2000 тис. - загальний фонд, 1000 тис. - спеціальний фонд) - загальноосвітня школа I - III ступеня по вул. Центральній, 84, у с. Піща Шацького району - реконструкція</t>
  </si>
  <si>
    <t>дошкільний навчальний заклад у с. Смолярі Старовижівського району - реконструкція</t>
  </si>
  <si>
    <t>4513,788 тис. (4435,504 тис. - загальний фонд, 78,284 тис. - спеціальний фонд) - загальноосвітнья школа I - III ступеня у с. Стобихівка Камінь-Каширського району - будівництво</t>
  </si>
  <si>
    <t>2019-2022</t>
  </si>
  <si>
    <t>5221,9 тис. (4221,9 тис. - загальний фонд, 1000 тис. - спеціальний фонд) - нежитлове приміщення по вул. Незалежності, 27б, у с. Павлівка Іваничівського району - реконструкція під центр надання адміністративних послуг та адміністративний центр</t>
  </si>
  <si>
    <t>3000 тис. (2000 тис. - загальний фонд, 1000 тис. - спеціальний фонд) - навчально-виховний комплекс "Загальноосвітня школа I - III ступеня - дитячий садок" по вул. Центральній, 100, у с. Жиричі Ратнівського району - реконструкція</t>
  </si>
  <si>
    <t>ДНІПРОПЕТРОВСЬКА ОБЛАСТЬ
усього - 436575,857 тис. гривень (379644,417 тис. - загальний фонд, 56931,44 тис. - спеціальний фонд), у тому числі:</t>
  </si>
  <si>
    <t>15000 тис. (загальний фонд) - комунальний заклад освіти "Середня загальноосвітня школа N 105" Дніпропетровської міської ради по вул. Жовтневій, 26, у м. Дніпрі - реконструкція будівлі під навчально-виховний комплекс</t>
  </si>
  <si>
    <t>11000 тис. (3000 тис. - загальний фонд, 8000 тис. - спеціальний фонд) - комунальний заклад освіти "Середня загальноосвітня школа N 124" Дніпропетровської міської ради в по вул. Кірова, 2 (Таромське), у м. Дніпропетровську - реконструкція будівлі</t>
  </si>
  <si>
    <t>28533 тис. (загальний фонд) - комунальний заклад освіти "Дошкільний навчальний заклад N 200" по бульв. Слави, 11, у м. Дніпропетровську - реконструкція</t>
  </si>
  <si>
    <t>28266 тис. (загальний фонд) - комунальний заклад освіти "Середня загальноосвітня школа N 15" Дніпровської міської ради по вул. Дмитра Кедріна, 53, у м. Дніпрі - капітальний ремонт будівлі та благоустрій території</t>
  </si>
  <si>
    <t>20000 тис. (15 000 тис. - загальний фонд, 5000 тис. - спеціальний фонд) - комунальний позашкільний навчальний заклад "Палац дитячої та юнацької творчості Центрально-Міського району" Криворізької міської ради в м. Кривому Розі - реконструкція будівлі</t>
  </si>
  <si>
    <t>31769,546 тис. (загальний фонд) - комунальний заклад "Дніпропетровський обласний перинатальний центр із стаціонаром" Дніпропетровської обласної ради по вул. Космічній, 17, у м. Дніпропетровську - реконструкція відділення постінтенсивного догляду та виходжування новонароджених</t>
  </si>
  <si>
    <t>30931,44 тис. (12000 тис. - загальний фонд, 18931,44 тис. - спеціальний фонд) - стадіон пляжних видів спорту на базі комунального підприємства "Молодіжне творче об'єднання" Дніпровської міської ради по вул. Набережній Заводській, 53, у м. Дніпрі - будівництво</t>
  </si>
  <si>
    <t>21777 тис. (загальний фонд) - комунальний спеціалізований навчальний заклад спортивного профілю "Дніпропетровське вище училище фізичної культури" Дніпропетровської обласної ради по вул. Героїв Сталінграда, 29а, у м. Дніпропетровську - реконструкція залу для боксу спортивного комплексу (безкаркасного ангара) під спортивно-адміністративний комплекс</t>
  </si>
  <si>
    <t>2017-2020</t>
  </si>
  <si>
    <t>44444 тис. (загальний фонд) - комунальний позашкільний навчальний заклад "Дитячо-юнацька спортивна школа N 3" Криворізької міської ради по вул. Зарічній, 3, у м. Кривому Розі - реконструкція стадіону</t>
  </si>
  <si>
    <t>26160 тис. грн. (21160 тис. грн - загальний фонд, 5000 тис. грн – спеціальний фонд) - парк імені Федора Мершовцева в м. Кривому Розі - реконструкція (друга черга)</t>
  </si>
  <si>
    <t>83239,492 тис. грн. (73239,492 тис. грн. – загальний фонд, 10000 тис. грн. – спеціальний фонд) - комунальний заклад освіти "Опорна загальноосвітня школа N 1" Перещепинської міської ради по вул. Калиновій, 5, у м. Перещепине Новомосковського району - капітальний ремонт</t>
  </si>
  <si>
    <t>комунальний заклад "Дніпровська обласна клінічна офтальмологічна лікарня" по вул. Жовтневій, 14, у м. Дніпропетровську - реконструкція будівлі в комплексі забудови</t>
  </si>
  <si>
    <t>34300 тис. (загальний фонд) - спортивний комплекс та будівлі по вул. Універсальній, 18а, у м. Дніпрі - реконструкція</t>
  </si>
  <si>
    <t>55000 тис. (51155,379 тис. - загальний фонд, 3844,621 тис. - спеціальний фонд) стадіон "Металург" по вул. Паланочній, 6, у м. Новомосковську - реконструкція</t>
  </si>
  <si>
    <t>6155,379 тис. (спеціальний фонд) - ділянки водогону Губиниха - Гвардійське та Видвиженець - Перещепине Новомосковського району - реконструкція</t>
  </si>
  <si>
    <t>ДОНЕЦЬКА ОБЛАСТЬ 
усього - 853629,044 тис. гривень (746478,165 тис. - загальний фонд, 107150,879 тис. - спеціальний фонд), у тому числі:</t>
  </si>
  <si>
    <t>265,763 тис. (загальний фонд) - дитячо-юнацька спортивна школа і котельня у м. Селидовому - технічне переоснащення (погашення кредиторської заборгованості)</t>
  </si>
  <si>
    <t>1639,548 тис. (загальний фонд) - Удачненський центр культури та дозвілля комунального закладу культури "Покровський районний культурно-дозвіллєвий центр" - капітальний ремонт частини будівлі</t>
  </si>
  <si>
    <t>14590,084 тис. (загальний фонд) - загальноосвітня школа I - III ступеня N 17 Добропільської міської ради по вул. Комсомольській, 5, у смт Новодонецькому м. Добропілля - капітальний ремонт</t>
  </si>
  <si>
    <t>6908,892 тис. (загальний фонд) - навчально-виховний комплекс "Загальноосвітня школа I - III ступеня N 7 - дошкільний навчальний заклад" Добропільської міської ради по вул. Саратовській, 29, у м. Добропіллі - капітальний ремонт</t>
  </si>
  <si>
    <t>2185,758 тис. (загальний фонд) - Дружківська гімназія "Інтелект" Дружківської міської ради по вул. Космонавтів, 16, у м. Дружківці - капітальний ремонт будівлі з використанням заходів термомодернізації</t>
  </si>
  <si>
    <t>20778,194 тис. (загальний фонд) - пологовий будинок по вул. Університетській (Леніна), 15, у м. Слов'янську - реконструкція (удосконалення перинатальної допомоги мешканцям м. Слов'янська шляхом впровадження новітніх технологій)</t>
  </si>
  <si>
    <t>7591,297 тис. (загальний фонд) - нежитлова будівля, м. Соледар - реконструкція під центр надання адміністративних та соціальних послуг Соледарської міської об'єднаної територіальної громади</t>
  </si>
  <si>
    <t>ОТГ</t>
  </si>
  <si>
    <t>479,022 тис. (загальний фонд) - водопостачання, села Курицине та Спасько-Михайлівка Олександрівського району</t>
  </si>
  <si>
    <t>перехідні за 2016 рік</t>
  </si>
  <si>
    <t>905,4 тис. (загальний фонд) - створення рекреаційно-оздоровчої зони "Біля солоних озер" (озеро Вейсове), м. Слов'янськ - нове будівництво</t>
  </si>
  <si>
    <t>4105,313 тис. (загальний фонд) - футбольне поле 105 на 68 метрів стадіону "Авангард" Донецького вищого училища олімпійського резерву імені Сергія Бубки по вул. Благовіщенській в м. Бахмуті - реконструкція дренажної системи та штучного покриття</t>
  </si>
  <si>
    <t>7767,898 тис. (загальний фонд) - палац спорту по вул. Миру, 32, у м. Білицькому (Білицька міська рада) м. Добропілля - капітальний ремонт</t>
  </si>
  <si>
    <t>6010,19 тис. (загальний фонд) - футбольне поле із штучним покриттям на стадіоні "Шахтар" дитячо-юнацької спортивної школи в м. Селидовому (105 на 68 метрів) - реконструкція</t>
  </si>
  <si>
    <t>8,363 тис. (загальний фонд) - футбольне поле із штучним покриттям на стадіоні "Шахтар" дитячо-юнацької спортивної школи в м. Селидовому (105 на 68 метрів) - реконструкція (погашення кредиторської заборгованості)</t>
  </si>
  <si>
    <t>2057,817 тис. (загальний фонд) - стадіон комунального позашкільного навчального закладу "Міська комплексна дитячо-юнацька спортивна школа" по вул. Григорія Данилевського, 114б, у м. Слов'янську (перша черга) - реконструкція</t>
  </si>
  <si>
    <t>5852,7 тис. (загальний фонд) - палац спорту по вул. Шахтарської Слави, 19, у м. Білозерському - капітальний ремонт</t>
  </si>
  <si>
    <t>17456,701 тис. (загальний фонд) - спортивно-оздоровчий комплекс: футбольне поле, майданчик для пляжного волейболу, легкоатлетична доріжка по вул. Парковій у м. Краматорську (коригування) - будівництво</t>
  </si>
  <si>
    <t>758,082 тис. (загальний фонд) - будівля аптеки по вул. Гасієва (Чапаєва), 36а, у м. Лимані - реконструкція під діагностичний центр</t>
  </si>
  <si>
    <t>1665,977 тис. (загальний фонд) - міст і автомобільна дорога по вул. Козацькій в м. Селидовому - капітальний ремонт</t>
  </si>
  <si>
    <t>2423,279 тис. (загальний фонд) - центр культури і дозвілля с. Олександро-Калинове Костянтинівського району - капітальний ремонт</t>
  </si>
  <si>
    <t>1142,135 тис. (загальний фонд) - оптимізація системи теплопостачання м. Мирнограда із закриттям котелень N 2 і 3 (третя черга) - будівництво модульної котельні мікрорайону "Світлий"</t>
  </si>
  <si>
    <t>2081,026 тис. (загальний фонд) - оптимізація системи теплопостачання м. Мирнограда із закриттям котелень N 2 і 3 (четверта черга) - реконструкція теплового пункту мікрорайону "Східний" під котельню</t>
  </si>
  <si>
    <t>28000 тис. (загальний фонд) - комунальний заклад "Кінотеатр "Союз" по вул. Українського козацтва, 51, у Лівобережному районі м. Маріуполя - реконструкція під "Соціальний офіс "Мультицентр"</t>
  </si>
  <si>
    <t>16187,11 тис. (загальний фонд) - будівля Краматорського дошкільного дитячого будинку N 3 "Гайок" по вул. Бульварній, 17а, у м. Слов'янську - реконструкція</t>
  </si>
  <si>
    <t>11542,373 тис. (загальний фонд) - головний корпус Слов'янського психоневрологічного інтернату - капітальний ремонт приміщень та інженерних систем</t>
  </si>
  <si>
    <t>105217,255 тис. (загальний фонд) - головний корпус комунальної лікувально-профілактичної установи "Обласна психіатрична лікарня м. Слов'янська" по вул. Нарвській, 16, у м. Слов'янську - реконструкція</t>
  </si>
  <si>
    <t>11187,117 тис. (загальний фонд) - головний корпус комунального закладу "Маріупольська міська лікарня швидкої медичної допомоги" по вул. Бахмутській, 20а, у м. Маріуполі - капітальний ремонт</t>
  </si>
  <si>
    <t>60767,962 тис. (загальний фонд) - водогін від Селидівського водогону Д-600 мм N 2 до сіл Срібне, Ясенове, Новоандріївка, Запоріжжя, Богданівка, Троїцьке, Петровського Срібненької сільської ради та с. Новоєлизаветівка Новоєлизаветівської сільської ради Покровського (Красноармійського) району - будівництво</t>
  </si>
  <si>
    <t>17416,01 тис. (загальний фонд) - комунальна міська установа "Міська лікарня N 1" по вул. О. Тихого, 17, у м. Краматорську - капітальний ремонт фасаду і приміщень хірургічних відділень</t>
  </si>
  <si>
    <t>4043,458 тис. (загальний фонд) - комунальний заклад "Лиманський центр первинної медико-санітарної допомоги імені М. І. Лядукіна" по вул. Незалежності, 64а, у м. Лимані - капітальний ремонт другого поверху та підвальних приміщень</t>
  </si>
  <si>
    <t>26677,972 тис. (загальний фонд) - будівля пологового будинку комунальної установи "Центральна районна лікарня" по просп. Ломоносова, 161, у м. Костянтинівці - реконструкція</t>
  </si>
  <si>
    <t>магістральний Другий Донецький водопровід Д-1400 мм (ліва нитка), ПК 0 - ПК 29 + 22, Слов'янський район - капітальний ремонт</t>
  </si>
  <si>
    <t>6477,668 тис. (загальний фонд) - магістральний водовід Д-500 мм довжиною 1390 метрів (інвентарний номер 1105) по просп. Будівельників від вул. Лавицького до пров. Чорноморського, Приморський район, у м. Маріуполі - капітальний ремонт</t>
  </si>
  <si>
    <t>система водопостачання по вул. Дундича, 2, в Кальміуському районі м. Маріуполя - реконструкція з встановленням підвищувальної насосної станції для нормалізації водопостачання</t>
  </si>
  <si>
    <t>6729,444 тис. (загальний фонд) - водовід Д-500 мм від готелю "Азовсталь" до вул. Якова Гугеля (по просп. Перемоги) в Лівобережному районі м. Маріуполя - капітальний ремонт</t>
  </si>
  <si>
    <t>водовід Д-500 мм довжиною 700 метрів (інвентарний номер 6780) по вул. Ангарській від вул. Флотської до вул. Новоросійської (Залізнична лікарня) в Центральному районі м. Маріуполя — капітальний ремонт</t>
  </si>
  <si>
    <t>абзац тридцять шостий виключено</t>
  </si>
  <si>
    <t>19962,055 тис. (загальний фонд) - модульна газова котельня по вул. Заводській, 51, у смт Донське Волноваського району - будівництво</t>
  </si>
  <si>
    <t>5157,071 тис. (загальний фонд) - будівлі структурних підрозділів комунального закладу "Мангушський центр первинної медико-санітарної допомоги" - капітальний ремонт із проведенням заходів термомодернізації</t>
  </si>
  <si>
    <t>8859,048 тис. (загальний фонд) - комунальний заклад культури "Бахмутський краєзнавчий музей" і прилегла територія по вул. Незалежності, 26, у м. Бахмуті - реконструкція</t>
  </si>
  <si>
    <t>4720,223 тис. (загальний фонд) - будівля дитячого навчального закладу N 25 по вул. Короленка, 7, у м. Слов'янську - капітальний ремонт</t>
  </si>
  <si>
    <t>4759,29 тис. (загальний фонд) - підземний перехід по вул. О. Тихого (перехрестя вул. К. Гампера та вул. Центральної) у м. Краматорську - капітальний ремонт</t>
  </si>
  <si>
    <t>43736,593 тис. (загальний фонд) - комунальний заклад охорони здоров'я "Бахмутська центральна районна лікарня" по вул. Миру, 10, у м. Бахмуті - реконструкція корпусу N 1</t>
  </si>
  <si>
    <t>27494,767 тис. (загальний фонд) - комплекс будівель по вул. О. Сибірцева, 3, у м. Бахмуті - реконструкція для розміщення обласного лікарсько-фізкультурного диспансеру, водолікарні з басейном, гуртожитку</t>
  </si>
  <si>
    <t>15494,174 тис. (загальний фонд) - будівля дитячого садка N 1 по вулиці без назви, 20а, у м. Світлодарську Бахмутського району - реконструкція під центр надання адміністративних послуг</t>
  </si>
  <si>
    <t>38308,341 тис. (20000 тис. - загальний фонд, 18308,341 тис. - спеціальний фонд) - будівля центру надання адміністративних послуг по вул. Парковій поблизу будинку N 16 у м. Краматорську - будівництво</t>
  </si>
  <si>
    <t>33370,535 тис. (загальний фонд) - адміністративна будівля комунальної лікувально-профілактичної установи "Обласна психіатрична лікарня м. Слов'янська" по вул. Нарвській, 16, у м. Слов'янську - реконструкція</t>
  </si>
  <si>
    <t>8719,623 тис. (загальний фонд) - мережі опалення, теплопостачання та водопостачання комунальної лікувально-профілактичної установи "Обласна психіатрична лікарня м. Слов'янська" по вул. Нарвській, 16, у м. Слов'янську - реконструкція</t>
  </si>
  <si>
    <t>7986,017 тис. (загальний фонд) - дитячий навчальний заклад "Журавка" у смт Олександрівка Олександрівського району - капітальний ремонт</t>
  </si>
  <si>
    <t>11251,951 тис. (загальний фонд) - будівля дошкільного навчального закладу (ясел-садка) с-ща Керменчик Великоновосілківського району - капітальний ремонт</t>
  </si>
  <si>
    <t>10000 тис. (5000 тис. - загальний фонд, 5000 тис. - спеціальний фонд) - будівля закладу освіти "Дробишевська загальноосвітня школа I - III ступеня Лиманської міської ради Донецької області" - капітальний ремонт із заходами термомодернізації</t>
  </si>
  <si>
    <t>зменшено, ОТГ</t>
  </si>
  <si>
    <t>37800,272 тис. (19000 тис. - загальний фонд, 18800,272 тис. - спеціальний фонд) - будівля опорного закладу "Торецька загальноосвітня школа I - III ступенів N 6" по вул. Маяковського, 15, у м. Торецьку - капітальний ремонт</t>
  </si>
  <si>
    <t>45320,906 тис. (19000 тис. - загальний фонд, 26320,906 тис. - спеціальний фонд) - будівля Олександрівської загальноосвітньої школи I - III ступеня Олександрівської районної ради - капітальний ремонт з благоустроєм прилеглої території</t>
  </si>
  <si>
    <t>30734,62 тис. (19224,839 тис. - загальний фонд, 11509,781 тис. - спеціальний фонд) - учбовий корпус на 400 учнів та студентів навчального закладу спортивного профілю Донецького вищого училища олімпійського резерву імені С. Бубки по вул. Благовіщенській у м. Бахмуті - будівництво</t>
  </si>
  <si>
    <t>ЖИТОМИРСЬКА ОБЛАСТЬ
усього - 259817,15 тис. гривень (225935,834 тис. - загальний фонд, 33881,316 тис. - спеціальний фонд), у тому числі:</t>
  </si>
  <si>
    <t>13120,605 тис. (загальний фонд) - центральний стадіон по вул. Фещенка-Чопівського, 18, у м. Житомирі - реконструкція футбольного поля та благоустрій території</t>
  </si>
  <si>
    <t>2016-2020</t>
  </si>
  <si>
    <t>15666,129 тис. (загальний фонд) - обласна клінічна лікарня імені О. Ф. Гербачевського по вул. Червоного Хреста, 3, у м. Житомирі - реконструкція приміщень під відділення анестезіології та інтенсивної терапії для післяопераційних хворих, відділення неврології з нейрореанімацією</t>
  </si>
  <si>
    <t>11245,959 тис. (спеціальний фонд) - будівля Житомирської міської гімназії N 3 по вул. м. Грушевського, 8, у м. Житомирі - реконструкція</t>
  </si>
  <si>
    <t>2016-2019</t>
  </si>
  <si>
    <t>804,375 тис. (загальний фонд) - частина будівлі гнійної хірургії та денного стаціонару терапії по вул. Житомирській, 44/2, у м. Бердичеві - реконструкція під центр первинної медико-санітарної допомоги</t>
  </si>
  <si>
    <t>2015-2019</t>
  </si>
  <si>
    <t>1383,531 тис. (загальний фонд) - загальноосвітня школа N 13 по вул. Селезньова, 101, у м. Коростені - реконструкція</t>
  </si>
  <si>
    <t>6772,959 тис. (загальний фонд) - мережі водопостачання, м. Малин - реконструкція</t>
  </si>
  <si>
    <t>686,473 тис. (загальний фонд) - будівля гімназії по вул. Шкільній, 6, у с. Грозине Коростенського району - капітальний ремонт (енергоефективна термосанація)</t>
  </si>
  <si>
    <t>3111,581 тис. (загальний фонд) - Черняхівська гімназія по вул. Червоноармійській, 14, у смт Черняхові - реконструкція покрівлі з утепленням фасадів</t>
  </si>
  <si>
    <t>333 тис. (загальний фонд) - загальноосвітня школа N 1 по вул. Шевченка, 4, у смт Ємільчине - реконструкція</t>
  </si>
  <si>
    <t>298,767 тис. (загальний фонд) - будівля по вул. Київській, 53, у м. Коростишеві - реконструкція під приміщення для позашкільного навчального закладу</t>
  </si>
  <si>
    <t>6759,723 тис. (загальний фонд) - Миропільська гімназія Романівського району по вул. Центральній, 46, у смт Миропіль - реконструкція (ефективна термосанація)</t>
  </si>
  <si>
    <t>2869,735 тис. (загальний фонд) - вуличне освітлення в населених пунктах: селах Ушомир, Березневе, Заріччя, Ковбащина, Пугачівка, Рудня-Ушомирська, Садибне, Сантарка, Струмок, Гулянка, Іванопіль, Охотівка, Першотравневе, Ушиця, Калинівка, Вишневе, Красногірка, Купище, Жабче, Ришавка, селищах Броди, Нова Ушиця Ушомирської сільської ради Коростенського району - капітальний ремонт</t>
  </si>
  <si>
    <t>1219,6 тис. (загальний фонд) - приміщення котельні по вул. Миру, 35г, д (Леніна, 35г), у с. Бондарівка Коростенського району - реконструкція з переплануванням під приміщення місцевої пожежної охорони</t>
  </si>
  <si>
    <t>11095,56 тис. (загальний фонд) - Червоненська загальноосвітня школа I - III ступеня, смт Червоне Андрушівського району - реконструкція із застосуванням енергозберігаючих технологій</t>
  </si>
  <si>
    <t>847,058 тис. (спеціальний фонд) - приміщення жіночої консультації по вул. Центральній, 6, у с. Білка Коростенського району - реконструкція під дошкільний дитячий заклад</t>
  </si>
  <si>
    <t>733,588 тис. (спеціальний фонд) - незавершене будівництво спального корпусу в с. Гульськ Новоград-Волинського району - реконструкція під дитячий дошкільний заклад (перерахунок у цінах 2016 року)</t>
  </si>
  <si>
    <t>10078,716 тис. (спеціальний фонд) - стадіон "Спартак" дитячо-юнацької спортивної школи з футболу "Полісся" в м. Житомирі - реконструкція</t>
  </si>
  <si>
    <t>5654,51 тис. (загальний фонд) - Андрушківська загальноосвітня школа I - III ступеня по вул. Шкільній, 1, у с. Андрушки Попільнянського району - реконструкція (термомодернізація)</t>
  </si>
  <si>
    <t>1416,487 тис. (загальний фонд) - Високівська гімназія Високівської сільської ради за адресою: вул. Центральна, 15, с. Високе Черняхівського району - капітальний ремонт внутрішніх приміщень із створенням нового освітнього простору за стандартами нової української школи</t>
  </si>
  <si>
    <t>2347,889 тис. (загальний фонд) - Новоборівський загальноосвітній навчальний заклад I - III ступеня - ліцей по вул. Освіти, 7, у смт Нова Борова Хорошівського району - реконструкція</t>
  </si>
  <si>
    <t>940,198 тис. (загальний фонд) - будівля котельні під фізкультурно-оздоровчий комплекс по вул. Гетьмана Виговського, 15б, у м. Овручі - реконструкція</t>
  </si>
  <si>
    <t>5040,748 тис. (загальний фонд) - Пулинська загальноосвітня школа I - III ступеня за адресою: вул. Шевченка, 158, смт Пулини - капітальний ремонт (комплексна термосанація)</t>
  </si>
  <si>
    <t>3032,438 тис. (загальний фонд) - Хажинська загальноосвітня школа I - III ступеня Семенівської сільської ради за адресою: вул. Двірська, 42, с. Хажин Бердичівського району - капітальний ремонт будівлі (термомодернізація)</t>
  </si>
  <si>
    <t>10000 тис. (загальний фонд) - Червоненський дитячий навчальний заклад "Калинка" по вул. Терещенка, 3а, у смт Червоне Андрушівського району - реконструкція (ефективна термосанація)</t>
  </si>
  <si>
    <t>2249,152 тис. (загальний фонд) - молодіжно-спортивний комплекс "Юність" в смт Ємільчине - облаштування плавального басейну (перерахунок кошторисів)</t>
  </si>
  <si>
    <t>4142,682 тис. (загальний фонд) - загальноосвітня школа I - III ступеня в с. Словечно Овруцького району - реконструкція</t>
  </si>
  <si>
    <t>10000 тис. (загальний фонд) - хірургічний корпус Новоград-Волинського міськрайонного територіального медичного об'єднання по вул. Медведєва, 13, у м. Новограді-Волинському - будівництво</t>
  </si>
  <si>
    <t>4000,096 тис. (загальний фонд) - комунальна установа Романівської районної ради "Опорний навчальний заклад "Романівська гімназія" по вул. С. Лялевича, 5, у смт Романів Романівського району - капітальний ремонт</t>
  </si>
  <si>
    <t>170,527 тис. (загальний фонд) - водогінна мережа у с. Соколів Червоноармійського району - будівництво (розширення)</t>
  </si>
  <si>
    <t>6533,502 тис. (4178,116 тис. – загальний фонд, 2355,386 тис. – спеціальний фонд) - будівля Житомирського обласного онкологічного диспансеру по вул. Фещенка-Чопівського, 24/4, у м. Житомирі - реконструкція (термосанація) з прибудовою (коригування)</t>
  </si>
  <si>
    <t>2909,846 тис. (загальний фонд) - спорткомплекс "Динамо" по пров. Шкільному, 8, у м. Радомишлі - реконструкція за рахунок розбудови</t>
  </si>
  <si>
    <t>25911,411 тис. (загальний фонд) - районний будинок культури по вул. Грушевського, 16, у м. Малині - капітальний ремонт</t>
  </si>
  <si>
    <t>5000 тис. (загальний фонд) - Олевська гімназія по вул. Інтернаціональній, 34, у м. Олевську - будівництво (коригування робочого проекту)</t>
  </si>
  <si>
    <t>1302,9 тис. (загальний фонд) - обласний медичний центр вертебрології і реабілітації по Чуднівському шосе, 1, у м. Житомирі - реконструкція із застосуванням енергозберігаючих технологій</t>
  </si>
  <si>
    <t>4743,762 тис. (загальний фонд) - незавершене будівництво під дитячий садочок по вул. Соборній, 30, у смт Чоповичі Малинського району Житомирської області - реконструкція</t>
  </si>
  <si>
    <t>7875,741 тис. (5797,089 тис. - загальний фонд, 2078,652 тис. - спеціальний фонд) - приміщення дошкільного навчального закладу N 32 по вул. Якубовського, 10, у м. Житомирі - реконструкція (коригування)</t>
  </si>
  <si>
    <t>Райгородоцька загальноосвітня школа I - III ступеня по вул. Жовтневій, 18, у с. Райгородок Бердичівського району - капітальний ремонт будівлі (термомодернізація)</t>
  </si>
  <si>
    <t>1442,799 тис. (загальний фонд) - Квітнева загальноосвітня школа I - III ступеня по вул. Першотравневій, 5, у с. Квітневе Попільнянського району - реконструкція (термомодернізація)</t>
  </si>
  <si>
    <t>24724,914 тис. (17307,441 тис. - загальний фонд, 7417,473 тис. - спеціальний фонд) - приміщення адміністративної будівлі Корольовської районної ради на пл. Польовій, 8, у м. Житомирі - реконструкція (коригування), пов'язана із створенням і забезпеченням функціонування центрів надання адміністративних послуг, у тому числі послуг соціального характеру в форматі "Прозорий офіс"</t>
  </si>
  <si>
    <t>10741,42 тис. (загальний фонд) - будинок фізкультури Житомирської дитячо-юнацької школи "Авангард" по вул. Фещенка-Чопівського, 10, у м. Житомирі - капітальний ремонт</t>
  </si>
  <si>
    <t>7399,346 тис. (5919,476 тис. - загальний фонд, 1479,87 тис. - спеціальний фонд) - набережна р. Тетерів у м. Житомирі - капітальний ремонт з розміщенням об'єктів фізичної культури і спорту та благоустрій території (перша черга)</t>
  </si>
  <si>
    <t>7430,765 тис. (загальний фонд) - будівля Магістрату комунального закладу "Житомирський обласний краєзнавчий музей" по вул. Кафедральній, 3, у м. Житомирі - ремонтно-реставраційні роботи</t>
  </si>
  <si>
    <t>17778,658 (загальний фонд) - Гришковецька гімназія по вул. Червоний Промінь, 3, у смт Гришківці Бердичівського району - капітальний ремонт будівлі (термомодернізація) (коригування)</t>
  </si>
  <si>
    <t>ЗАКАРПАТСЬКА ОБЛАСТЬ 
усього - 267167,884 тис. гривень (232328 тис. - загальний фонд, 34839,884 тис. - спеціальний фонд), у тому числі:</t>
  </si>
  <si>
    <t>4880,43 тис. (загальний фонд) - річки Латориця та Вича в с. Неліпино - берегоукріплення лівого берега</t>
  </si>
  <si>
    <t>5000 тис. (загальний фонд) - автомобільна дорога Великі Ком'яти - Вилок (ділянка Великі Ком'яти - Шаланки) - капітальний ремонт</t>
  </si>
  <si>
    <t>3000 тис. (загальний фонд) - комплекс будівель під спортивно-реабілітаційний центр інвалідів з ураженням опорно-рухового апарату та інвалідів - учасників антитерористичної операції по вул. Ф. Тихого, 13б, у м. Ужгороді - реконструкція</t>
  </si>
  <si>
    <t>2016-2018</t>
  </si>
  <si>
    <t>1214,829 тис. (загальний фонд) - р. Лисичанка у с. Лисичево Іршавського району - берегоукріплення (четвертий етап)</t>
  </si>
  <si>
    <t>4000 тис. (загальний фонд) - автомобільна дорога місцевого значення О070502 Довге - Іршава - поточний середній ремонт на ділянці км 0 + 000 - км 21 + 700</t>
  </si>
  <si>
    <t>3680,9 тис. (загальний фонд) - створення сучасної та прозорої системи надання адміністративних послуг через "Будівництво сучасного центру надання адміністративних послуг в с. Тур'ї Ремети Перечинського району"</t>
  </si>
  <si>
    <t>1998,748 тис. (загальний фонд) - р. Шопурка в районі ТОВ "ВГСМ", "ТЕХНОПОЛІС", смт Великий Бичків Рахівського району - реконструкція водозахисних споруд та регулювання русла</t>
  </si>
  <si>
    <t>1511 тис. (загальний фонд) - Свалявська центральна районна лікарня по вул. Шевченка, 22, у м. Свалява - капітальний ремонт поліклінічного відділення</t>
  </si>
  <si>
    <t>5058,885 тис. (загальний фонд) - р. Тересва на ділянці N 1 в с. Красна Тячівського району - берегоукріплення правого берега</t>
  </si>
  <si>
    <t>5070,711 тис. (загальний фонд) - р. Тересва на ділянці N 2 в с. Красна Тячівського району - берегоукріплення правого берега</t>
  </si>
  <si>
    <t>3150 тис. (загальний фонд) - система водопостачання с. Часлівці Ужгородського району - реконструкція</t>
  </si>
  <si>
    <t>669,495 тис. (загальний фонд) - Великоберезнянська районна лікарня - реконструкція дитячого відділення (коригування)</t>
  </si>
  <si>
    <t>1249,604 тис. (загальний фонд) - дитячий навчальний заклад у с. Горінчево Хустського району - реконструкція, друга черга</t>
  </si>
  <si>
    <t>1979,442 тис. (загальний фонд) - площа біля сільського будинку культури та торговельного центру по вул. Рокосівській у с. Рокосово Хустського району - реконструкція</t>
  </si>
  <si>
    <t>3966 тис. (загальний фонд) - стадіон "Авангард" у м. Ужгороді - реконструкція легкоатлетичного ядра</t>
  </si>
  <si>
    <t>1619,461 тис. (загальний фонд) - Діловецька загальноосвітня школа I - III ступеня по вул. Трибушанській, 14, у с. Ділове Рахівського району - реконструкція спортивного залу (коригування)</t>
  </si>
  <si>
    <t>1952,8 тис. (загальний фонд) - Кірешська загальноосвітня школа I ступеня - реконструкція під навчально-виховний комплекс</t>
  </si>
  <si>
    <t>3682,738 тис. (2682,738 тис. - загальний фонд, 1000 тис. - спеціальний фонд) - дитячий садок по вул. Тисівська, 90, у с. Дротинці Виноградівського району - реконструкція</t>
  </si>
  <si>
    <t>5454,342 тис. (загальний фонд) - Руськополівська загальноосвітня школа I - III ступеня по вул. Шкільній, 1, у с. Руське Поле Тячівського району - капітальний ремонт (термомодернізація)</t>
  </si>
  <si>
    <t>3050 тис. (загальний фонд) - будівля дитячого садка по вул. Жовтневій, 143, у с. Тарасівка Тячівського району - реконструкція для розміщення дошкільного навчального закладу</t>
  </si>
  <si>
    <t>2000 тис. (загальний фонд) - стадіон "Карпати" по вул. Борканюка, 15, у м. Хусті - реконструкція спортивних полів та майданчиків (друга черга)</t>
  </si>
  <si>
    <t>5385,91 тис. (загальний фонд) - спортивний комплекс по вул. Центральній у с. Невицьке Ужгородського району - будівництво</t>
  </si>
  <si>
    <t>5000 тис. (загальний фонд) - нежитлова будівля школи-садка I - II ступеня по вул. Шевченка, 4, у смт Батьово Берегівського району - реконструкція</t>
  </si>
  <si>
    <t>3500 тис. (загальний фонд) - дитячий садок на 100 місць в с. Нижня Апша Тячівського району - будівництво</t>
  </si>
  <si>
    <t>22000 тис. (18000 тис. - загальний фонд, 4000 тис. - спеціальний фонд) - вул. Львівська у м. Хусті - капітальний ремонт</t>
  </si>
  <si>
    <t>2999,316 тис. (загальний фонд) - автомобільна дорога О-07-03-05 Великі Ком'яти - Вилок на ділянці Шаланки - Перехрестя, Виноградівський район - капітальний ремонт</t>
  </si>
  <si>
    <t>6000 тис. (4000 тис. - загальний фонд, 2000 тис. - спеціальний фонд) - автомобільна дорога загального користування місцевого значення О-07-09-04 Рахів - Богдан - Луги на ділянці км 1 + 500 - км 21 + 600 - поточний середній ремонт</t>
  </si>
  <si>
    <t>8529,3 тис. (5354,622 тис. - загальний фонд, 3174,678 тис. - спеціальний фонд) - міст через р. Свалявка по вул. Достоєвського у м. Сваляві - реконструкція (відновлювальні роботи після проходження паводка)</t>
  </si>
  <si>
    <t>2807,048 тис. (загальний фонд) - ділянки мережі водопостачання у м. Чопі - будівництво</t>
  </si>
  <si>
    <t>5000 тис. (загальний фонд) - водозабір на підземних свердловинах по вул. Миру в м. Чопі - будівництво</t>
  </si>
  <si>
    <t>4950 тис. (2950 тис. - загальний фонд, 2000 тис. - спеціальний фонд) - лікарська амбулаторія по вул. Садовій, 63, у с. Терново Тячівського району - добудова з перепрофілюванням під навчальний заклад Тернівської загальноосвітньої школи I - III ступеня</t>
  </si>
  <si>
    <t>об'єкт незавершеного будівництва загальноосвітньої школи I - III ступеня на 300-360 учнів по вул. Шкільній, 30, у с. Червоне - добудова з перепрофілюванням під центр соціальних установ с. Червоне (із розміщенням дошкільного навчального закладу)</t>
  </si>
  <si>
    <t>9621,885 тис. (8000 тис. - загальний фонд, 1621,885 тис. - спеціальний фонд) - лікувальний корпус Свалявської центральної районної лікарні по вул. Визволення, 23, у м. Сваляві - капітальний ремонт із впровадженням заходів з енергозбереження</t>
  </si>
  <si>
    <t>9034,8 тис. (8269,594 тис. - загальний фонд, 765,206 тис. - спеціальний фонд) - Тячівська загальноосвітня школа N 2 по вул. Партизанській, 26, у м. Тячеві - реконструкція (перша черга)</t>
  </si>
  <si>
    <t>4400 тис. (1621,885 тис. - загальний фонд, 2778,115 тис. - спеціальний фонд) - дільнична лікарня у с. Драгово Хустського району - будівництво першого пускового комплексу (коригування робочого проекту)</t>
  </si>
  <si>
    <t>8026,55 тис. (загальний фонд) - басейн класичної гімназії по вул. 8-го Березня в м. Ужгороді - капітальний ремонт</t>
  </si>
  <si>
    <t>2065,367 тис. (загальний фонд) - адміністративний будинок стадіону "Карпати" в м. Хусті - капітальний ремонт (коригування)</t>
  </si>
  <si>
    <t>2050 тис. (загальний фонд) - будинок культури по вул. Миру, 123, у с. Холмовець Виноградівського району - реконструкція під спортивний та актовий зали</t>
  </si>
  <si>
    <t>4337,607 тис. (загальний фонд) - будівля колишнього кінотеатру "Верховина" та гаражі по вул. Карпатській, 33а, у смт Воловець - реконструкція під спортивний комплекс "Верховина"</t>
  </si>
  <si>
    <t>3000 тис. (2000 тис. - загальний фонд, 1000 тис. - спеціальний фонд) - загальноосвітня школа I - III ступеня на 500 учнів, с. Кваси Рахівського району - будівництво</t>
  </si>
  <si>
    <t>4500 тис. (2500 тис. - загальний фонд, 2000 тис. - спеціальний фонд) - будівля в с. Яблунівка Хустського району - реконструкція під дитячий садок та фельдшерсько-акушерський пункт (коригування)</t>
  </si>
  <si>
    <t>20000 тис. (17500 тис. - загальний фонд, 2500 тис. - спеціальний фонд) - вул. Гагаріна в м. Ужгороді - капітальний ремонт</t>
  </si>
  <si>
    <t>6100 тис. (3500 тис. - загальний фонд, 2600 тис. - спеціальний фонд) - міст через р. Латориця на автодорозі загального користування місцевого значення С070404 (Київ - Чоп) - Тишів, с. Котельниця Воловецького району на км 2 + 500 - будівництво</t>
  </si>
  <si>
    <t>20678,498 тис. (17856,474 – загальний фонд, 2822,024 – спеціальний фонд) - автомобільна дорога державного значення Т-07-18 Нижні Ворота - Воловець - Міжгір'я км 0 + 000 - км 44 + 600 - поточний середній ремонт</t>
  </si>
  <si>
    <t>7049,703 тис. (1549,703 тис. - загальний фонд, 5500 тис. - спеціальний фонд) - автомобільна дорога місцевого значення загального користування С070718 Чинадійово - Обава - Дубино, км 0 + 000 - 7 + 400 - капітальний ремонт</t>
  </si>
  <si>
    <t>17500 тис. (загальний фонд) - автомобільна дорога місцевого значення О-07-06-02 Колочава - Усть-Чорна - Калини - Бедевля на ділянці км 15 + 000 - км 47 + 000 Тячівського району - поточний середній ремонт ділянки</t>
  </si>
  <si>
    <t>6000 тис. (загальний фонд) - автомобільна дорога загального користування місцевого значення О-07-07-1 Кольчино - Пузняківці на ділянці км 1 + 700 - км 18 + 000 - поточний середній ремонт ділянки</t>
  </si>
  <si>
    <t>9442,515 тис. (5942,515 тис. - загальний фонд, 3500 тис. - спеціальний фонд) - мережі водопостачання та каналізування від будинку N 42 до будинку N 130 по вул. Шевченка у м. Рахові - реконструкція</t>
  </si>
  <si>
    <t>централізована мережа водовідведення в с. Сторожниця Ужгородського району - будівництво</t>
  </si>
  <si>
    <t>3000 тис. (загальний фонд) - система водопостачання та водовідведення у с. Барвінок Ужгородського району - будівництво</t>
  </si>
  <si>
    <t>ЗАПОРІЗЬКА ОБЛАСТЬ 
усього - 232303,71 тис. гривень (202010,269 тис. - загальний фонд, 30293,441 тис. - спеціальний фонд), у тому числі:</t>
  </si>
  <si>
    <t>26547,705 тис. (загальний фонд) - комунальний заклад "Запорізька обласна школа вищої спортивної майстерності" Запорізької обласної ради по вул. Перемоги, 68, у м. Запоріжжі - реконструкція плавального басейну</t>
  </si>
  <si>
    <t>5569,877 тис. (загальний фонд) - комунальний вищий навчальний заклад "Хортицька національна навчально-реабілітаційна академія" Запорізької обласної ради по вул. Наукове містечко, 59, у м. Запоріжжі - будівництво басейну</t>
  </si>
  <si>
    <t>8524,114 тис. (загальний фонд) - будівля комунального закладу "Веселівська районна різнопрофільна гімназія" Веселівської селищної ради, смт Веселе - капітальний ремонт (модернізація)</t>
  </si>
  <si>
    <t>13387,906 тис. (5714,914 тис. - загальний фонд, 7672,992 тис. - спеціальний фонд) - комунальна установа "Обласний медичний центр серцево-судинних захворювань" Запорізької обласної ради по вул. Перемоги, 78, у м. Запоріжжі - капітальний ремонт будівель поліклініки (літер А-4) та стаціонару (літер А1-б)</t>
  </si>
  <si>
    <t>21166,787 тис. (11935,671 тис. - загальний фонд, 9231,116 тис. - спеціальний фонд) - комунальна установа "Запорізька обласна клінічна дитяча лікарня" Запорізької обласної ради по просп. Соборному / вул. Дніпровській / вул. Олександрівській, 70/21/47, у м. Запоріжжі - капітальний ремонт та термомодернізація з утепленням лікувального та поліклінічного корпусів</t>
  </si>
  <si>
    <t>1486,748 тис. (загальний фонд) - спортивний майданчик із штучним покриттям на території опорного навчально-виховного закладу Чернігівська загальноосвітня школа I - III ступеня імені Героя Радянського Союзу А. М. Темника, смт Чернігівка - будівництво</t>
  </si>
  <si>
    <t>9325,195 тис. (загальний фонд) - обласний протитуберкульозний диспансер по вул. Перспективній, 4, у м. Запоріжжі - реконструкція (перша черга)</t>
  </si>
  <si>
    <t>5337,153 тис. (загальний фонд) - обласний художній музей, м. Запоріжжя - реконструкція</t>
  </si>
  <si>
    <t>1162,188 тис. (загальний фонд) - шкільний стадіон Азовської загальноосвітньої школи I - III ступеня по вул. Молодіжній, 92, у с. Азовське Бердянського району - будівництво</t>
  </si>
  <si>
    <t>11140,342 тис. (загальний фонд) - комунальний заклад "Запорізька загальноосвітня санаторна школа-інтернат N 7 I - II ступеня" Запорізької обласної ради по вул. Ленській, 1а, у м. Запоріжжі - капітальний ремонт будівель, комплексне утеплення</t>
  </si>
  <si>
    <t>12118,223 тис. (загальний фонд) - хірургічний корпус обласної клінічної дитячої лікарні м. Запоріжжя - будівництво</t>
  </si>
  <si>
    <t>14937,277 тис. (загальний фонд) - Балабинський навчально-виховний комплекс школа I - III ступеня - гімназія "Престиж" по вул. Престижній (Кірова), 2а, у смт Балабине Запорізького району - реконструкція будівлі (термомодернізація)</t>
  </si>
  <si>
    <t>термомодернізація будівлі головного корпусу комунальної установи "Запорізька обласна клінічна лікарня" Запорізької обласної ради по Оріхівському шосе, 10, у м. Запоріжжі - реконструкція</t>
  </si>
  <si>
    <t>6216,631 тис. (5216,631 тис. - загальний фонд, 1000 тис. - спеціальний фонд) - термомодернізація будівлі операційного блоку комунальної установи "Запорізька обласна клінічна лікарня" Запорізької обласної ради по Оріхівському шосе, 10, у м. Запоріжжі - реконструкція</t>
  </si>
  <si>
    <t>4690,033 тис. (3690,033 тис. - загальний фонд, 1000 тис. - спеціальний фонд) - термомодернізація будівлі аудиторного корпусу комунальної установи "Запорізька обласна клінічна лікарня" Запорізької обласної ради по Оріхівському шосе, 10, у м. Запоріжжі - реконструкція</t>
  </si>
  <si>
    <t>4498,887 тис. (загальний фонд) - кардіологічний корпус міської лікарні, м. Бердянськ - реконструкція</t>
  </si>
  <si>
    <t>10799,647 тис. (загальний фонд) - будівля дошкільного навчального закладу N 27 по вул. Яковлєва, 8, у м. Бердянську - капітальний ремонт</t>
  </si>
  <si>
    <t>24267,371 тис. (20047,989 тис. — загальний фонд, 4219,382 тис. — спеціальний фонд) - водно-спортивний комплекс (плавального басейну) по вул. Ярослава Мудрого, 13, у м. Мелітополі - будівництво</t>
  </si>
  <si>
    <t>6238,033 тис. (загальний фонд) - капітальний ремонт будівлі комунального закладу "Дніпрорудненська гімназія "Софія" - загальноосвітня школа I - III ступеня N 1" Василівської районної ради по вул. Героїв праці, 7, у м. Дніпрорудному Василівського району - термомодернізація головного корпусу навчального закладу</t>
  </si>
  <si>
    <t>2019</t>
  </si>
  <si>
    <t>7049,86 тис. (загальний фонд) - водопровідна система с. Новоуспенівка Веселівського району - капітальний ремонт</t>
  </si>
  <si>
    <t>4466,274 тис. (загальний фонд) - будівля опорного навчального закладу Новомиколаївська спеціалізована загальноосвітня школа I - III ступеня N 1 Новомиколаївської районної ради - реконструкція з утепленням фасаду та встановленням відмостки</t>
  </si>
  <si>
    <t>9093,663 тис. (8227,221 тис. - загальний фонд, 866,442 тис. - спеціальний фонд) - будівля комунального закладу "Навчально-виховний комплекс "Основа" Преображенської сільської ради Оріхівського району - реконструкція</t>
  </si>
  <si>
    <t>20779,796 тис. (14476,287 тис. – загальний фонд, 6303,509 тис.  – спеціальний фонд) - водогін питної води від с. Давидівка до с. Атманай Якимівського району</t>
  </si>
  <si>
    <t>3500 тис. (загальний фонд) – будівля по вул. Калініна, 28, в смт Малокатеринівка Запорізького району - реконструкція під дитячий садок</t>
  </si>
  <si>
    <t>включено</t>
  </si>
  <si>
    <t>ІВАНО-ФРАНКІВСЬКА ОБЛАСТЬ 
усього - 292019,491 тис. гривень (253938,846 тис. - загальний фонд, 38080,645 тис. - спеціальний фонд), у тому числі:</t>
  </si>
  <si>
    <t>6570,486 тис. (загальний фонд) - загальноосвітня школа I - II ступеня в с. Раковець Богородчанського району - нове будівництво</t>
  </si>
  <si>
    <t>5000 тис. (загальний фонд) - загальноосвітня школа I- III ступеня у с. Боднарів Калуського району - будівництво</t>
  </si>
  <si>
    <t>перехідний на 2020</t>
  </si>
  <si>
    <t>5000 тис. (загальний фонд) - Яремчанська загальноосвітня школа I - III ступеня N 1 - реконструкція з добудовою</t>
  </si>
  <si>
    <t>2425,19 тис. (загальний фонд) - загальноосвітня школа I - III ступеня в с. Крилос Галицького району - будівництво (перша черга)</t>
  </si>
  <si>
    <t>2000 тис. (1000 тис. - загальний фонд, 1000 тис. - спеціальний фонд) - типова будівля басейну "H2O - CLASSIC", м. Коломия - будівництво</t>
  </si>
  <si>
    <t>9000 тис. (загальний фонд) - спорткомплекс імені А. П. Гемби по вул. Карпатській, 15, у м. Івано-Франківську - капітальний ремонт</t>
  </si>
  <si>
    <t>34000 тис. (загальний фонд) - створення умов для покращення діагностики злоякісних пухлин серед населення області на базі комунального закладу "Прикарпатський онкологічний центр" шляхом придбання сучасного магнітно-резонансного томографа</t>
  </si>
  <si>
    <t>8000 тис. (загальний фонд) - спорткомплекс імені А. П. Гемби по вул. Карпатській, 15, у м. Івано-Франківську - реконструкція трибуни</t>
  </si>
  <si>
    <t>28536,759 тис. (загальний фонд) - спортивний комплекс по вул. 22 Січня в с-щі Брошнів-Осада Рожнятівського району - нове будівництво</t>
  </si>
  <si>
    <t>Заявник Брошнів-Осадська ОТГ. Проектно кошторисну документацію передано в Брошнів-Осадську територіальну громаду. Потребує перерахунку кошторисна документація.</t>
  </si>
  <si>
    <t>6000 тис. (загальний фонд) - добудова універсального спортивного залу до існуючої будівлі школи в с. Заріччя Надвірнянського району (коригування)</t>
  </si>
  <si>
    <t>Делятинська ОТГ - заявник. Перехідний на 2020</t>
  </si>
  <si>
    <t>1900 тис. (загальний фонд) - плавальний басейн в Рожнівському навчально-виховному комплексі "Гуцульщина" імені Ф. Погребенника Національного університету "Києво-Могилянська академія" Косівської районної ради - реконструкція</t>
  </si>
  <si>
    <t>Рожнівська ОТГ - заявник. Роботи по проекту завершено. Не введено в експлуатацію через необхідність виконання додаткових робіт, на які відсутнє фінансування</t>
  </si>
  <si>
    <t>7500 тис. (загальний фонд) - реконструкція будинку культури під дитячий садок в с. Пороги Богородчанського району</t>
  </si>
  <si>
    <t>2000 тис. (загальний фонд) - Галицький районний будинок культури по вул. Я. Осмомисла, 1, в м. Галичі - капітальний ремонт у рамках впровадження заходів з енергозбереження</t>
  </si>
  <si>
    <t>3000 тис. (загальний фонд) - дитячий садок "Сонечко" на вул. Тиха, 6а, в смт Богородчани Богородчанського району - реконструкція в рамках здійснення заходів з енергозбереження</t>
  </si>
  <si>
    <t>3000 тис. (2000 тис. - загальний фонд, 1000 тис. - спеціальний фонд) - Нижньовербізький ліцей по вул. Українській, 113а, в с. Нижній Вербіж Нижньовербізької сільської ради об'єднаної територіальної громади - капітальний ремонт у рамках здійснення заходів з енергозбереження</t>
  </si>
  <si>
    <t>Нижньовербізька ОТГ - заявник</t>
  </si>
  <si>
    <t>1500 тис. (загальний фонд) - Замулинецький навчально-виховний комплекс "Загальноосвітня школа I - III ступеня - дошкільний навчальний заклад" в с. Замулинці Матеївецької сільської ради об'єднаної територіальної громади Коломийського району - капітальний ремонт (у рамках здійснення заходів з енергозбереження)</t>
  </si>
  <si>
    <t>Матеївецька ОТГ - заявник.  Перехідний на 2020</t>
  </si>
  <si>
    <t>1800 тис. (загальний фонд) - пульмонологічний корпус обласного фтизіопульмонологічного центру - пам'ятки містобудування і архітектури місцевого значення (колишня приватна клініка 1927 року) охоронний номер 319-іф по вул. Франка, 17, у м. Івано-Франківську - ремонтно-реставраційні роботи</t>
  </si>
  <si>
    <t>7243,477 тис. (загальний фонд) - мостовий перехід через р. Сівка по вул. Залізничній у с. Креховичі Рожнятівського району - капітальний ремонт (коригування)</t>
  </si>
  <si>
    <t>Брошнів-Осадська ОТГ - заявник</t>
  </si>
  <si>
    <t>8600,59 тис. (загальний фонд) - адміністративна будівля з центром надання адміністративних послуг по вул. Центральній у с. Устеріки Верховинського району - нове будівництво</t>
  </si>
  <si>
    <t>Білоберізька ОТГ - заявник</t>
  </si>
  <si>
    <t>2000 тис. (загальний фонд) - очисні споруди глибокого біологічного очищення стічних вод продуктивністю 500 куб. метрів на добу в м. Галичі (урочище Дробилка) - будівництво (перша черга)</t>
  </si>
  <si>
    <t>2335 тис. (загальний фонд) - водойми по вул. Незалежності у с. Тишківці Городенківського району - реконструкція (коригування проекту)</t>
  </si>
  <si>
    <t>2781 тис. (загальний фонд) - центральний корпус Снятинської центральної районної лікарні по вул. Стефаника у м. Снятині - реконструкція</t>
  </si>
  <si>
    <t>8000 тис. (загальний фонд) - навчально-виховний комплекс з використанням незавершеної будівництвом середньої школи на 11 класів у с. Чукалівка Тисменицького району - нове будівництво (перша черга)</t>
  </si>
  <si>
    <t>6250 тис. (загальний фонд) - водопровід по вул. Д. Галицького у м. Болехові - капітальний ремонт</t>
  </si>
  <si>
    <t>роботи по відновленню асфальто-бетонного покриття виконуються в рамках іншого проекту (водопровід проходить під дорогою загально-державного призначення)</t>
  </si>
  <si>
    <t>6000 тис. (загальний фонд) - загальноосвітня школа I - III ступеня в с. Космач Косівського району - будівництво другої черги (коригування)</t>
  </si>
  <si>
    <t>Космацька ОТГ - заявник. Невведено в експлуатацію (очисні споруди будуються в рамках іншого проекту, роботи планується завершити у 2021 році)</t>
  </si>
  <si>
    <t>3700 тис. (загальний фонд) - навчальний корпус та спортивний зал Делятинської загальноосвітньої школи I - III ступеня N 1 по вул. 16 Липня у смт Делятин Надвірнянського району - нове будівництво</t>
  </si>
  <si>
    <t xml:space="preserve"> Заявник Делятинська ОТГ (перехідний на 2020)</t>
  </si>
  <si>
    <t>2000 тис. (загальний фонд) - дошкільний навчальний заклад "Веселка" по вул. Січових Стрільців, 46, у смт Перегінське Рожнятівського району - реконструкція з добудовою</t>
  </si>
  <si>
    <t>4194,635 тис. (2000 тис. - загальний фонд, 2194,635 тис. - спеціальний фонд) - прибудова спорткомплексу до школи в с. Новиця Калуського району (коригування кошторисної документації)</t>
  </si>
  <si>
    <t>3200 тис. (загальний фонд) - нежитлова будівля (приміщення старої школи) по вул. Грушевського, 61а, у с. Лісний Хлібичин Коломийського району - реконструкція під дитячий садок</t>
  </si>
  <si>
    <t>перехідний на 2020 за кошти місцевого бюджету</t>
  </si>
  <si>
    <t>6200 тис. (загальний фонд) - добудова незавершеного будівництва спортивного корпусу школи в с. Старий Косів Косівського району - нове будівництво</t>
  </si>
  <si>
    <t>3672,139 тис. (загальний фонд) - приміщення комунального некомерційного підприємства "Косівська центральна районна лікарня" - капітальний ремонт</t>
  </si>
  <si>
    <t>4346,27 тис. (загальний фонд) - дитячий дошкільний заклад на 60 місць по вул. Центральній у с. Стопчатів Косівського району - нове будівництво</t>
  </si>
  <si>
    <t>Яблунівська ОТГ - заявник, Перехідний на 2020</t>
  </si>
  <si>
    <t>2000 тис. (1000 тис. - загальний фонд, 1000 тис. - спеціальний фонд) - автомобільна дорога місцевого значення О 090303 Галич - Цвітова, на дільниці км 3 + 000 - км 9 + 500 Галицького району - поточний середній ремонт</t>
  </si>
  <si>
    <t>4000 тис. (1919,355 тис. - загальний фонд, 2080,645 тис. - спеціальний фонд) - автомобільна дорога Т-09-03 Галич - Підгайці - Сатанів на ділянці м. Галич (вул. Вітовського, 2) та с. Медуха (вул. Галицька, 1) Галицького району - поточний середній ремонт</t>
  </si>
  <si>
    <t>1500 тис. (спеціальний фонд) - дорожнє полотно автомобільної дороги загального користування обласного значення О 091401 Тлумач - Лісна Тарновиця на ділянці в межах с. Терновиця Тисменицького району (окремими ділянками) - поточний ремонт</t>
  </si>
  <si>
    <t>3500 тис. (спеціальний фонд) - дорожнє полотно автомобільної дороги загального користування місцевого значення С 091307 Старі Кривотули - Нові Кривотули Тисменицького району (окремими ділянками) - поточний ремонт</t>
  </si>
  <si>
    <t>1000 тис. (спеціальний фонд) - дорожнє покриття на вул. Шевченка від будинку N 44 до будинку N 150 у с. Павлівка Ямницької сільської ради об'єднаної територіальної громади Тисменицького району - капітальний ремонт</t>
  </si>
  <si>
    <t>Ямницька ОТГ - заявник</t>
  </si>
  <si>
    <t>2000 тис. (спеціальний фонд) - дорожнє покриття автомобільної дороги місцевого значення Лука - Коломия на ділянці в межах с. Гарасимів Тлумацького району - капітальний ремонт</t>
  </si>
  <si>
    <t>2000 тис. (спеціальний фонд) - дорожнє покриття автомобільної дороги місцевого значення Городенка - Черемхів на ділянці с. Обертин - с. Жуків Тлумацького району - капітальний ремонт</t>
  </si>
  <si>
    <t>23300 тис. (6652,682 тис. – загальний фонд, 16647,318 тис. – спеціальний фонд) - автомобільна дорога загального користування державного значення Р-20 Снятин - Тязів на ділянці км 0 + 000 - км 108 + 063 (окремими ділянками) - поточний середній ремонт</t>
  </si>
  <si>
    <t>4805,365 тис. (спеціальний фонд) - дорожнє покриття вулиць: Незалежності, Чорновола, Старомлинської в м. Рогатині - капітальний ремонт</t>
  </si>
  <si>
    <t>модульний спортивний зал комунальної установи "Молодіжний центр" Коломийської районної ради с. Королівка Коломийського району - будівництво</t>
  </si>
  <si>
    <t>11000 тис. (загальний фонд) - Брошнів-Осадський ліцей Брошнів-Осадської селищної ради об'єднаної територіальної громади - впровадження енергозберігаючих заходів (капітальний ремонт)</t>
  </si>
  <si>
    <t>Заявник Брошнів-Осадська ОТГ.Перехідний на 2020 рік</t>
  </si>
  <si>
    <t>4000 тис. (2000 тис. - загальний фонд, 2000 тис. - спеціальний фонд) - школа в с. Гринівці Тлумацького району - реконструкція незавершеного будівництва універсального блоку під дитячий садок (у рамках здійснення заходів з комплексного енергозбереження)</t>
  </si>
  <si>
    <t>Тлумацька ОТГ - заявник</t>
  </si>
  <si>
    <t>3699,58 тис. (загальний фонд) - загальноосвітня школа I - III ступеня в с. Красноїлля Верховинського району - реконструкція будівлі з добудовою навчального корпусу та спортивного залу</t>
  </si>
  <si>
    <t>перехідний на 2020 рік</t>
  </si>
  <si>
    <t>4502,291 тис. (загальний фонд) - загальноосвітня школа I - III ступеня у с. Вишків Долинського району - нове будівництво</t>
  </si>
  <si>
    <t>3956,709 тис. (загальний фонд) - середня школа на 33 класи по вул. Івана Франка в смт Верховина - будівництво</t>
  </si>
  <si>
    <t>9000 тис. (загальний фонд) - Чернятинська загальноосвітня школа I - III ступеня по вул. Грушевського, 27, у с. Чернятин Городенківського району - добудова шкільної їдальні, виробничих майстерень та класних кімнат</t>
  </si>
  <si>
    <t>2016, 2018-2019</t>
  </si>
  <si>
    <t>4500 тис. (загальний фонд) - Народний дім на 80 місць по вул. Б. Хмельницького в с. Пшеничники Тисменицького району - нове будівництво</t>
  </si>
  <si>
    <t>4500 тис. (загальний фонд) - будівництво дитячого садка в с. Чорнолізці Тисменицького району</t>
  </si>
  <si>
    <t>2000 тис. (загальний фонд) - школа в с. Олеша Тлумацького району - прибудова спортивного залу</t>
  </si>
  <si>
    <t>2016-2017, 2019</t>
  </si>
  <si>
    <t>3000 тис. (загальний фонд) - гімназія по вул. Грушевського, 23, у м. Тлумачі - добудова приміщення (перша черга)</t>
  </si>
  <si>
    <t>КИЇВСЬКА ОБЛАСТЬ
усього - 240019,859 тис. гривень (208720,198 тис. - загальний фонд, 31299,661 тис. - спеціальний фонд), у тому числі:</t>
  </si>
  <si>
    <t>лікувальний корпус N 1 центральної районної лікарні Тетіївської районної ради по вул. Цвітковій, 26, у м. Тетієві - капітальний ремонт (утеплення фасаду та заміна віконних, дверних блоків) у рамках реалізації проекту "Комплексна термомодернізація центральної районної лікарні у м. Тетіїв"</t>
  </si>
  <si>
    <t>21619,174 тис. (18800,466 тис. - загальний фонд, 2818,708 тис. - спеціальний фонд) - фізкультурно-оздоровчий комплекс по вул. Ватутіна, 36, у м. Миронівці - будівництво (коригування)</t>
  </si>
  <si>
    <t>17918,681 тис. (15582,443 тис. - загальний фонд, 2336,238 тис. - спеціальний фонд) - Димерська районна лікарня по вул. Революції, 320, Вишгородський район - реконструкція головного корпусу</t>
  </si>
  <si>
    <t>8671,306 тис. (7540,741 тис. - загальний фонд, 1130,565 тис. - спеціальний фонд) - спортивні майданчики (стадіон) на території спортивної школи "Сузір'я" у м. Вишгороді - капітальний ремонт</t>
  </si>
  <si>
    <t>7879,542 тис. (6852,207 тис. - загальний фонд, 1027,335 тис. - спеціальний фонд) - комунальний заклад Київської обласної ради "Київська обласна дитяча лікарня" по вул. Хрещатик, 83, у м. Боярці - капітальний ремонт головного лікувального корпусу (утеплення фасадів з заміною вікон та вхідних дверей на металопластикові, часткове відновлення покрівлі та вимощення)</t>
  </si>
  <si>
    <t>64041,518 тис. (55685,914 тис. - загальний фонд, 8355,604 тис. - спеціальний фонд) - загальноосвітня школа у с. Микуличі Бородянського району - будівництво</t>
  </si>
  <si>
    <t>8921,409 тис. (7758,236 тис. - загальний фонд, 1163,173 тис. - спеціальний фонд) - центральна дитячо-юнацька навчально-спортивна база "Трудові резерви" (філія) Комітету фізичного виховання та спорту Міністерства освіти і науки України у м. Білій Церкві - капітальний ремонт</t>
  </si>
  <si>
    <t>59057,035 тис. (51357,179 тис. - загальний фонд, 7699,856 тис. - спеціальний фонд) - гімназія на 14 класів по вул. Вишневій у м. Бучі - будівництво</t>
  </si>
  <si>
    <t>36132,083 тис. (31421,182 тис. - загальний фонд, 4710,901 тис. - спеціальний фонд) - дошкільний навчальний заклад "Яблунька" по вул. Червоноармійській, 11, у м. Вишневому Києво-Святошинського району - реконструкція</t>
  </si>
  <si>
    <t>11312,27 тис. (9837,376 тис. - загальний фонд, 1474,894 тис. - спеціальний фонд) - добудова до загальноосвітньої школи N 1 по вул. Юності, 7, у м. Українці Обухівського району</t>
  </si>
  <si>
    <t>КІРОВОГРАДСЬКА ОБЛАСТЬ 
усього - 128829,754 тис. гривень (112029,779 тис. - загальний фонд, 16799,975 тис. - спеціальний фонд), у тому числі:</t>
  </si>
  <si>
    <t>12159,37 тис. (загальний фонд) - комунальний заклад "Обласна спеціалізована дитячо-юнацька школа олімпійського резерву-2" по вул. Академіка Тамма, 2, у м. Кропивницькому - реконструкція</t>
  </si>
  <si>
    <t>10400,53 тис. (загальний фонд) - загальноосвітня школа I - III ступеня Побузької селищної ради по вул. Шкільній, 8, у с-щі Побузьке Голованівського району - реконструкція</t>
  </si>
  <si>
    <t>16996,92 тис. (загальний фонд) - будівництво Долинського групового водопроводу водопостачання м. Долинської. Коригування</t>
  </si>
  <si>
    <t>8252,1 тис. (загальний фонд) - Новопразька загальноосвітня школа I - III ступеня N 2 по вул. Леніна, 101, у с-щі Нова Прага Олександрійського району - реконструкція</t>
  </si>
  <si>
    <t>33921,574 тис. (31625,25 тис. – загальний фонд, 2296,324 тис. – спеціальний фонд) - Олександрійський міський будинок культури по вул. 6-го грудня, 2, у м. Олександрії - реставрація будівлі</t>
  </si>
  <si>
    <t>12000 тис. (загальний фонд) - дошкільний навчальний заклад на 120 місць по вул. Пушкіна в смт Голованівськ - будівництво</t>
  </si>
  <si>
    <t>13382,404 тис. (загальний фонд) - дорога по пров. Об'їзному, вул. Харківській, вул. Степана Разіна, від вул. Степана Разіна до пров. Степового і Далекосхідного кладовища, м. Кропивницький - капітальний ремонт</t>
  </si>
  <si>
    <t>14642,532 тис. (7213,205 тис. - загальний фонд, 7429,327 тис. - спеціальний фонд) - дорога по вул. Полтавській, від вул. Васнецова до пл. Дружби Народів, м. Кропивницький - поточний ремонт</t>
  </si>
  <si>
    <t>2700 тис. (спеціальний фонд) - Торговицька загальноосвітня школа I - III ступеня імені Є. Ф. Маланюка Торговицького навчально-виховного об'єднання Новоархангельської районної ради по вул. І. Сірка, 17, у с. Торговиця Новоархангельського району - проведення санації будівлі (капітальний ремонт)</t>
  </si>
  <si>
    <t>4374,324 тис. (спеціальний фонд) - мережі водопостачання вулиць західної частини м. Долинської - будівництво</t>
  </si>
  <si>
    <t>ЛУГАНСЬКА ОБЛАСТЬ 
усього - 434526,219 тис. гривень (383157,51 тис. - загальний фонд, 51368,709 тис. - спеціальний фонд), у тому числі:</t>
  </si>
  <si>
    <t>20653,001 тис. (15000 тис. - загальний фонд, 5653,001 тис. - спеціальний фонд) - заплавний міст N 1 у м. Сєвєродонецьку - реконструкція</t>
  </si>
  <si>
    <t>18519,585 тис. (загальний фонд) - комунальний заклад "Луганський обласний ліцей-інтернат з посиленою військово-фізичною підготовкою "Кадетський корпус імені героїв Молодої гвардії" - капітальний ремонт будівель та зовнішніх мереж</t>
  </si>
  <si>
    <t>23978,299 тис. (22097,424 тис. - загальний фонд, 1880,875 тис. - спеціальний фонд) - покращення медичного обслуговування шляхом відновлення та розбудови інфраструктури з надання якісних і доступних медичних послуг, у тому числі:</t>
  </si>
  <si>
    <t>- 2860,37 тис. (загальний фонд) - поліклініка комунальної установи "Кремінське районне територіальне медичне об'єднання" по вул. Побєди, 1а, у м. Кремінній - капітальний ремонт будівель з утепленням стін, заміною вікон та вхідних дверей, ремонтом приміщень та її технічне переоснащення</t>
  </si>
  <si>
    <t>*</t>
  </si>
  <si>
    <t>- 8664,169 тис. (загальний фонд) - будівля хірургічного корпусу комунальної установи "Кремінське районне територіальне медичне об'єднання" по вул. Побєди, 1а, у м. Кремінній - капітальний ремонт</t>
  </si>
  <si>
    <t>- 645,56 тис. (загальний фонд) - будівля комунальної установи "Кремінське районне територіальне медичне об'єднання" по вул. Побєди, 1а, у м. Кремінній - капітальний ремонт із заміною покрівлі, вікон та вхідних дверей, утепленням будівлі, ремонтом приміщень та технічне переоснащення стерилізаційного відділення</t>
  </si>
  <si>
    <t>- 9572,42 тис. (загальний фонд) - будівля головного корпусу комунальної установи "Кремінське районне територіальне медичне об'єднання" по вул. Побєди, 1а, у м. Кремінній - капітальний ремонт</t>
  </si>
  <si>
    <t>- 2235,78 тис. (354,905 тис. - загальний фонд, 1880,875 - спеціальний фонд) - придбання медичного обладнання</t>
  </si>
  <si>
    <t>41909,955 тис. (загальний фонд) - два Білогорівські магістральні водоводи Д-600 мм та Д-500 мм протяжністю 10,8 кілометра кожна ділянка - реконструкція (коригування)</t>
  </si>
  <si>
    <t>11634,072 тис. (11000 тис. - загальний фонд, 634,072 тис. - спеціальний фонд) - створення єдиного освітнього простору Чмирівської об'єднаної територіальної громади як шлях до забезпечення якісних та доступних освітніх послуг в громаді, у тому числі:</t>
  </si>
  <si>
    <t>- 6108,295 тис. (загальний фонд) - Чмирівський навчально-виховний комплекс "Школа I ступеня - гімназія" по вул. Запорізькій, 15а, у с. Чмирівка Старобільського району - капітальний ремонт</t>
  </si>
  <si>
    <t>- 1376,815 тис. (загальний фонд) - Бутівська загальноосвітня школа I - III ступеня по вул. Шкільній, 1, у с. Бутове Старобільського району - капітальний ремонт</t>
  </si>
  <si>
    <t>1305,642 тис. (загальний фонд) - Вишневська загальноосвітня школа I - III ступеня по вул. Новобудівельній, 11, у с. Вишневе Старобільського району - капітальний ремонт</t>
  </si>
  <si>
    <t>- 1093,32 тис. (459,248 тис. - загальний фонд, 634,072 тис. - спеціальний фонд) - будівля Вишневської загальноосвітньої школи I - III ступеня по вул. Новобудівельній, 11, у с. Вишневе Старобільського району - реконструкція (заміна системи опалення та утеплення фасаду)</t>
  </si>
  <si>
    <t>- 1750 тис. (загальний фонд) - придбання шкільного автобуса</t>
  </si>
  <si>
    <t>6862,035 тис. (6000 тис. - загальний фонд, 862,035 тис. - спеціальний фонд) - покращення умов надання первинної медичної допомоги, у тому числі:</t>
  </si>
  <si>
    <t>- 1303,792 тис. (загальний фонд) - Кремінська міська лікарська амбулаторія загальної практики - сімейної медицини по вул. Побєди, 1а, у м. Кремінній - реконструкція (коригування)</t>
  </si>
  <si>
    <t>- 5558,243 тис. (4696,208 тис. - загальний фонд, 862,035 тис. - спеціальний фонд) - будівля Красноріченської селищної лікарської амбулаторії загальної практики - сімейної медицини по вул. Калиновій, 1, у с-щі Красноріченське Кремінського району - реконструкція</t>
  </si>
  <si>
    <t>1078,169 тис. (загальний фонд) - спортивні майданчики Сватівської загальноосвітньої школи I - III ступеня N 6, Містківської загальноосвітньої школи I - III ступеня та Нижньодуванської загальноосвітньої школи I - III ступеня - здійснення заходів з покращення спортивної інфраструктури для занять фізичною культурою і спортом шляхом будівництва</t>
  </si>
  <si>
    <t>1666,785 тис. (загальний фонд) - спортивний майданчик під створення спортивних полів із штучним покриттям по вул. Центральній, 93, у смт Біловодськ - реконструкція під створення спортивних полів із штучним покриттям (коригування)</t>
  </si>
  <si>
    <t>2335,697 тис. (загальний фонд) - покращення доступу до спортивної інфраструктури дітей з особливими потребами та підтримка занять спортом населення Троїцької об'єднаної територіальної громади, у тому числі:</t>
  </si>
  <si>
    <t>- 584,503 тис. (загальний фонд) - спортивний майданчик по вул. Маяковського, 20, у смт Троїцьке - будівництво</t>
  </si>
  <si>
    <t>- 583,8 тис. (загальний фонд) - спортивний майданчик по пров. Річковому, 16, у с. Демино-Олександрівка Троїцького району - будівництво</t>
  </si>
  <si>
    <t>- 583,662 тис. (загальний фонд) - спортивний майданчик по вул. Центральній, 31, у с. Ями Троїцького району - будівництво</t>
  </si>
  <si>
    <t>- 583,732 тис. (загальний фонд) - спортивний майданчик по вул. Шевченка, 6а, у с. Воєводське Троїцького району - будівництво</t>
  </si>
  <si>
    <t>гуртожиток по вул. Маяковського, 24, у м. Сєвєродонецьку - капітальний ремонт будівлі з термомодернізацією</t>
  </si>
  <si>
    <t>1555,232 тис. (загальний фонд) - опорний заклад "Золотівська загальноосвітня школа I - III ступеня N 5 Попаснянської районної ради Луганської області" по вул. Коцюбинського, 28, у м. Золотому Попаснянського району - капітальний ремонт</t>
  </si>
  <si>
    <t>9733,205 тис. (5000 тис. - загальний фонд, 4733,205 тис. - спеціальний фонд) - поліпшення умов водозабезпечення населення Троїцької об'єднаної територіальної громади, у тому числі:</t>
  </si>
  <si>
    <t>- 1176,771 тис. (1000 тис. - загальний фонд, 176,771 тис. - спеціальний фонд) - вуличний водогін у с. Воєводське Троїцького району - будівництво</t>
  </si>
  <si>
    <t>- 1083,994 тис. (1000 тис. - загальний фонд, 83,994 тис. - спеціальний фонд) - водогін по вулицях Молодіжній та Гагаріна в с. Розпасіївка Троїцького району - капітальний ремонт</t>
  </si>
  <si>
    <t>- 2389,783 тис. (1000 тис. - загальний фонд, 1389,783 тис. - спеціальний фонд) - вуличний водогін у с. Солонці Троїцького району - будівництво</t>
  </si>
  <si>
    <t>- 2254,17 тис. (1000 тис. - загальний фонд, 1254,17 тис. - спеціальний фонд) - водогін (підвідний водопровід) с. Розпасіївка Троїцького району - капітальний ремонт</t>
  </si>
  <si>
    <t>- 2828,487 тис. (1000 тис. - загальний фонд, 1828,487 тис. - спеціальний фонд) - вуличний водогін у с. Новознам'янка Троїцького району - будівництво</t>
  </si>
  <si>
    <t>14463 тис. (7000 тис. - загальний фонд, 7463 тис. - спеціальний фонд) - спеціальна техніка для обслуговування комунальної інфраструктури Новопсковської селищної територіальної громади - придбання</t>
  </si>
  <si>
    <t>4963,352 тис. (4500 тис. - загальний фонд, 463,352 тис. - спеціальний фонд) - дошкільний навчальний заклад "Колосок" по вул. Чернишевського, 10а, у с. Бутове Чмирівської об'єднаної територіальної громади - капітальний ремонт</t>
  </si>
  <si>
    <t>19108,033 тис. (загальний фонд) - Сватівська психіатрична лікарня, квартал імені С. П. Петрова, 2/27, у с. Соснове Сватівського району - капітальний ремонт</t>
  </si>
  <si>
    <t>26313,33 тис. (загальний фонд) - медичний заклад, квартал 40 років Перемоги, 12а, у м. Лисичанську - капітальний ремонт відділень</t>
  </si>
  <si>
    <t>12011,234 тис. (загальний фонд) - стадіон комунального закладу "Луганський обласний ліцей-інтернат з посиленою військово-фізичною підготовкою "Кадетський корпус імені героїв Молодої гвардії" - реконструкція</t>
  </si>
  <si>
    <t>31876,335 тис. (загальний фонд) - комунальний заклад "Сєвєродонецька обласна загальноосвітня школа-інтернат I - III ступеня" по вул. Донецькій, 1, у м. Сєвєродонецьку - капітальний ремонт будівель</t>
  </si>
  <si>
    <t>9964,411 тис. (5840,775 тис. - загальний фонд, 4123,636 тис. - спеціальний фонд) - тенісні корти комунальної дитячої юнацької спортивної школи N 1 по вул. Федоренка, 33а, у м. Сєвєродонецьку - капітальний ремонт</t>
  </si>
  <si>
    <t>21329,999 тис. (загальний фонд) - поліпшення умов підготовки провідних та перспективних спортсменів Луганської області, у тому числі:</t>
  </si>
  <si>
    <t>- 8189,915 тис. (загальний фонд) - комунальна установа "Луганський обласний фізкультурний центр "Олімп" по вул. Дражевського, 17а, у м. Кремінній - реконструкція підтрибунних приміщень</t>
  </si>
  <si>
    <t>- 13140,084 тис. (загальний фонд) - комунальна установа "Луганський обласний фізкультурний центр "Олімп" по вул. Дражевського, 17а, у м. Кремінній - реконструкція легкоатлетичного ядра стадіону</t>
  </si>
  <si>
    <t>10968,891 тис. (10519,326 тис. - загальний фонд, 449,565 тис. - спеціальний фонд) - каркасний спортивний зал для Кремінської загальноосвітньої школи I - III ступеня N 2 по вул. Титова, 18, у м. Кремінній - будівництво</t>
  </si>
  <si>
    <t>1856,664 тис. (загальний фонд) - навчально-виховний комплекс "Рудівська загальноосвітня школа I - II ступеня - дошкільний навчальний заклад" по вул. Першотравневій, 18, у с. Рудівка Сватівського району - реконструкція (термомодернізація) (санація) будівлі</t>
  </si>
  <si>
    <t>1198,206 тис. (загальний фонд) - Куземівська загальноосвітня школа I - III ступеня по вул. Молодіжній, 14, у с. Куземівка Сватівського району - реконструкція (термомодернізація) (санація) будівлі</t>
  </si>
  <si>
    <t>631,329 тис. (загальний фонд) - Краснопільська загальноосвітня школа I - III ступеня по вул. Шкільній, 1, у с. Красне Поле Марківського району - реконструкція (термомодернізація) (санація) будівлі</t>
  </si>
  <si>
    <t>1302,156 тис. (загальний фонд) - Кабичівська загальноосвітня школа I - III ступеня по вул. Покровській, 118, у с. Кабичівка Марківського району - реконструкція (термомодернізація) (санація) будівлі</t>
  </si>
  <si>
    <t>Нижньодуванська загальноосвітня школа I - III ступеня по вул. Каштановій, 64, у смт Нижня Дуванка Сватівського району - реконструкція (термомодернізація) (санація) будівлі</t>
  </si>
  <si>
    <t>Кризька загальноосвітня школа I - III ступеня по вул. Миру, 12а, у с. Кризьке Марківського району - реконструкція (термомодернізація) (санація) будівлі</t>
  </si>
  <si>
    <t>6176,237 тис. (загальний фонд) - Бондарівська гімназія по вул. Дружби, 53, в с. Бондарівка Марківського району - реконструкція (термомодернізація) (санація) будівлі</t>
  </si>
  <si>
    <t>2203,773 тис. (загальний фонд) - Ліснополянська загальноосвітня школа I - III ступеня по вул. Власа Погребенка, 1, у с. Лісна Поляна Марківського району - реконструкція (термомодернізація) (санація) будівлі</t>
  </si>
  <si>
    <t>5542,532 тис. (загальний фонд) - середня загальноосвітня школа I - III ступеня N 10 по бульв. Дружби Народів, 47, у м. Сєвєродонецьку - реконструкція (термомодернізація) (санація) будівлі</t>
  </si>
  <si>
    <t>7732,915 тис. (загальний фонд) - середня загальноосвітня школа I - III ступеня N 13 по вул. Маяковського, 19, у м. Сєвєродонецьку - реконструкція (термомодернізація) (санація) будівлі</t>
  </si>
  <si>
    <t>5629,578 тис. (загальний фонд) - середня загальноосвітня школа I - III ступеня N 5 по просп. Хіміків, 18, у м. Сєвєродонецьку - реконструкція (термомодернізація) (санація) будівлі</t>
  </si>
  <si>
    <t>8557,001 тис. (загальний фонд) - Лисичанська загальноосвітня школа I - III ступеня N 14 по вул. Гарибальді, 13, у м. Лисичанську - реконструкція (термомодернізація) (санація) будівлі</t>
  </si>
  <si>
    <t>Рубіжанська спеціалізована школа I - III ступеня N 7 Рубіжанської міської ради по вул. Визволителів, 53, у м. Рубіжному - реконструкція (термомодернізація) (санація) будівлі</t>
  </si>
  <si>
    <t>5394,236 тис. (5000 тис. - загальний фонд, 394,236 тис. - спеціальний фонд) - спортивний зал "Скляр" по вул. Жовтневій, 314, у м. Лисичанську - капітальний ремонт фасаду з утепленням будівлі</t>
  </si>
  <si>
    <t>38616,539 тис. (23319,74 тис. - загальний фонд, 15296,799 тис. - спеціальний фонд) - будівля по вул. Могилевській, 1, у м. Лисичанську - реконструкція під розміщення Лисичанської міжрайонної державної лабораторії ветеринарної медицини Державної служби з питань безпечності харчових продуктів та захисту споживачів</t>
  </si>
  <si>
    <t>10282,465 тис. (9000 тис. - загальний фонд, 1282,465 тис. - спеціальний фонд) - навчальний корпус обласного комунального закладу "Сєвєродонецький коледж культури і мистецтв імені Сергія Прокоф'єва" - капітальний ремонт будівлі</t>
  </si>
  <si>
    <t>29176,317 тис. (20000 тис. - загальний фонд, 9176,317 тис. - спеціальний фонд) - забезпечення якісних медичних послуг населенню м. Рубіжного в рамках реалізації проекту "Реконструкція будівлі терапевтичного корпусу центральної міської лікарні в м. Рубіжне"</t>
  </si>
  <si>
    <t>8499,016 тис. (7340,323 тис. - загальний фонд, 1158,693 тис. - спеціальний фонд) - створення навчально-методичного центру із симуляційним забезпеченням у рамках реалізації проекту "Капітальний ремонт будівлі за адресою: м. Рубіжне, вул. Будівельників, 32а"</t>
  </si>
  <si>
    <t>433,125 тис. (спеціальний фонд) - підтримка розроблення схеми планування території Попаснянського району</t>
  </si>
  <si>
    <t>29594,493 тис. (20000 тис. - загальний фонд, 9594,493 тис. - спеціальний фонд) - вулиці Суворова, А. Черешні, Герцена, Чапаєва, М. Грушевського, Заводська, Ніколенка, Базарна, Кузнечна, Соборна, пров. Лермонтова у м. Попасній - капітальний ремонт пошкодженого асфальтобетонного покриття</t>
  </si>
  <si>
    <t>ЛЬВІВСЬКА ОБЛАСТЬ
усього - 343042,938 тис. гривень (298308,608 тис. - загальний фонд, 44734,33 тис. - спеціальний фонд), у тому числі:</t>
  </si>
  <si>
    <t>5850 тис. (загальний фонд) - дошкільний навчальний заклад (ясла-садок) на 150 місць, у смт Великий Любінь Городоцького району - будівництво</t>
  </si>
  <si>
    <t>400 тис. (загальний фонд) - покращення надання публічних послуг для мешканців Дрогобицького регіону шляхом створення центру "Документ-Сервіс Дрогобич" з реалізацією проекту "Будівництво центру публічних послуг "Документ-Сервіс Дрогобич" - нове будівництво об'єкта</t>
  </si>
  <si>
    <t>7000 тис. (5000 тис. - загальний фонд, 2000 тис. - спеціальний фонд) - Буська дитячо-юнацька спортивна школа по вул. Київській, 15, у м. Буську - реконструкція басейну</t>
  </si>
  <si>
    <t>1173,285 тис. (загальний фонд) - загальноосвітня школа I - II ступеня у с. Братковичі Городоцького району - будівництво</t>
  </si>
  <si>
    <t>9000 тис. (загальний фонд) - школа у с. Оброшине Пустомитівського району - будівництво</t>
  </si>
  <si>
    <t>1000 тис. (загальний фонд) - загальноосвітня школа I - II ступеня у с. Дубаневичі Городоцького району - будівництво</t>
  </si>
  <si>
    <t>4800 тис. (загальний фонд) - комунальне підприємство "Рудківська лікарня планового лікування" Самбірського району - придбання сучасного обладнання для забезпечення доступності медичних послуг</t>
  </si>
  <si>
    <t>3700 тис. (загальний фонд) - навчально-виховний комплекс "Середня загальноосвітня школа-ліцей м. Моршина" - капітальний ремонт приміщення (утеплення фасаду)</t>
  </si>
  <si>
    <t>8826,715 тис. (6826,715 тис. - загальний фонд, 2000 тис. - спеціальний фонд) - Городоцька центральна районна лікарня по вул. Коцюбинського, 18, у м. Городку - добудова терапевтичного корпусу на 50 ліжок, у тому числі коригування проектно-кошторисної документації</t>
  </si>
  <si>
    <t>4737 тис. (загальний фонд) - спортивний комплекс "Шахтар" у м. Червонограді - реконструкція</t>
  </si>
  <si>
    <t>2200 тис. (1100 тис. — загальний фонд, 1100 тис. — спеціальний фонд) - спортивно-туристичний оздоровчий комплекс "Прикарпаття" у с. Сприня Самбірського району - реконструкція</t>
  </si>
  <si>
    <t>5000 тис. (2000 тис. — загальний фонд, 3000 тис. — спеціальний фонд) - школа N 41 по вул. Макаренка, 19, у смт Брюховичі - реконструкція з розширенням</t>
  </si>
  <si>
    <t>15200 тис. (8029,407 - загальний фонд, 7170,593 тис. - спеціальний фонд) - пл. Ринок у м. Дрогобичі - реконструкція</t>
  </si>
  <si>
    <t>17000 тис. (15000 тис. — загальний фонд, 2000 тис. — спеціальний фонд) - загальноосвітня школа I - III ступеня у с. Суховоля Городоцького району - будівництво</t>
  </si>
  <si>
    <t>12150 тис. (загальний фонд) - об'єкт соціально-економічної інфраструктури - загальноосвітня школа I - III ступеня у с. Семенівка Пустомитівського району - добудова</t>
  </si>
  <si>
    <t>3500 тис. (загальний фонд) - середня загальноосвітня школа I - III ступеня у с. Ралівка Самбірського району - реконструкція будівлі із надбудовою навчально-виховного комплексу</t>
  </si>
  <si>
    <t>2854,859 тис. (загальний фонд) - Новокропивницький навчально-виховний комплекс I - III ступеня та спортивна зала у с. Новий Кропивник Дрогобицького району - добудова із застосуванням енергозберігаючих технологій</t>
  </si>
  <si>
    <t>3000 тис. (загальний фонд) - дошкільний навчальний заклад у с. Борщовичі Борщовицької сільської ради Пустомитівського району - будівництво</t>
  </si>
  <si>
    <t>19000 тис. (17000 тис. - загальний фонд, 2000 тис. - спеціальний фонд) - заміна світильників вуличного освітлення з використанням енергозберігаючих технологій у м. Дрогобичі - реконструкція</t>
  </si>
  <si>
    <t>3000 тис. (загальний фонд) - загальноосвітня школа I - II ступеня по вул. Річній, 1, у с. Бортятин Мостиського району - реконструкція з добудовою</t>
  </si>
  <si>
    <t>2016-2017, 2019-2020</t>
  </si>
  <si>
    <t>11000 тис. (загальний фонд) - друга черга загальноосвітньої школи I - III ступеня на 400 учнівських місць по вул. Шевченка у с. Чишки Пустомитівського району - будівництво</t>
  </si>
  <si>
    <t>загальноосвітня школа у с. Ролів Дрогобицького району - реконструкція з добудовою</t>
  </si>
  <si>
    <t>9000 тис. (загальний фонд) - навчально-виховний комплекс "Середня загальноосвітня школа N 2 - гімназія" у м. Трускавці - реконструкція (створення регіонального центру сприяння здоровому способу життя)</t>
  </si>
  <si>
    <t>2000 тис. (загальний фонд) - дитячий садок у с. Чуква Самбірського району - реконструкція приміщення</t>
  </si>
  <si>
    <t>4000 тис. (3900 тис. — загальний фонд, 100 тис. — спеціальний фонд) - приміщення опорного загальноосвітнього навчального закладу "Старосамбірська загальноосвітня школа I - III ступеня N 1 імені Героя України Богдана Сольчаника" по вул. Шевченка, 14, у м. Старий Самбір - реконструкція (із впровадженням енергозберігаючих заходів)</t>
  </si>
  <si>
    <t>17531,973 тис. (12000 тис. - загальний фонд, 5531,973 тис. - спеціальний фонд) - Львівський обласний клінічний перинатальний центр по вул. Дж. Вашингтона, 6, у м. Львові - реконструкція (коригування)</t>
  </si>
  <si>
    <t>1500 тис. (загальний фонд) - Золочівська центральна районна лікарня по вул. Академіка Павлова, 48, у м. Золочеві - реконструкція будівель головного та терапевтично-інфекційного корпусів</t>
  </si>
  <si>
    <t>3112 тис. (1112 тис. - загальний фонд, 2000 тис. - спеціальний фонд) - Львівський державний університет фізичної культури по вул. Черемшини, 17, у м. Львові - реконструкція (улаштування спортивного покриття бігових доріжок і секторів та благоустрій прилеглої території)</t>
  </si>
  <si>
    <t>7550 тис. (5900 тис. - загальний фонд, 1650 тис. - спеціальний фонд) - дошкільний навчальнний заклад у с. Нагуєвичі Дрогобицького району - реконструкція</t>
  </si>
  <si>
    <t>1000 тис. (загальний фонд) - пл. Вічева (М. Шашкевича), вул. М. Шашкевича та прилеглі вулиці у м. Золочеві - реконструкція</t>
  </si>
  <si>
    <t>2015, 2019-2021</t>
  </si>
  <si>
    <t>3425,342 тис. (загальний фонд) - амбулаторія загальної практики сімейної медицини по вул. Київській, 119, у смт Запитів Кам'янка-Бузького району - будівництво</t>
  </si>
  <si>
    <t>3500 тис. (загальний фонд) - дитяча дошкільна установа у с. Рудники Миколаївського району - будівництво</t>
  </si>
  <si>
    <t>24639,811 тис. (16203,188 тис. - загальний фонд, 8436,623 тис. - спеціальний фонд) - автомобільна дорога місцевого значення С141242 (Київ - Чоп) - Гаї - Острів на ділянці км 4 + 800 - км 14 + 800 Пустомитівського району - капітальний ремонт</t>
  </si>
  <si>
    <t>10000 тис. (загальний фонд) - дорога по вул. Сонячній у с. Давидів Пустомитівського району - капітальний ремонт</t>
  </si>
  <si>
    <t>3500 тис. (загальний фонд) - Народний дім по вул. Шевченка у с. Долобів Самбірського району - реконструкція</t>
  </si>
  <si>
    <t>3450 тис. (загальний фонд) - Народний дім у с. Корничі Самбірського району - реконструкція</t>
  </si>
  <si>
    <t>6500 тис. (загальний фонд) - Верхньосиньовидненська загальноосвітня школа I - III ступеня по вул. Грушевського, 13, у смт Верхнє Синьовидне Сколівського району - реконструкція з добудовою</t>
  </si>
  <si>
    <t>4128,904 тис. (загальний фонд) - культурно-медичний центр у с. Розлуч Турківського району - будівництво</t>
  </si>
  <si>
    <t>1000 тис. (загальний фонд) - реконструкція комплексу плавального басейну школи під дошкільний заклад і плавальний басейн у с. Домажир Яворівського району</t>
  </si>
  <si>
    <t>2015, 2017, 2019</t>
  </si>
  <si>
    <t>каналізаційні мережі, каналізаційні насосні станції та каналізаційні очисні споруди у с. Вороців, с. Карачинів (вул. Шевченка - частково вул. Польова) Яворівського району - будівництво</t>
  </si>
  <si>
    <t>23255,463 тис. (загальний фонд) - загальноосвітня школа I - III ступеня на 250 учнів у с. Верхня Білка Пустомитівського району - добудова</t>
  </si>
  <si>
    <t>6000 тис. (загальний фонд) - школа у с. Черниця Миколаївського району - добудова 12 класних приміщень і реконструкція існуючого блоку</t>
  </si>
  <si>
    <t>5000 тис. (загальний фонд) - Андріївський навчально-виховний комплекс "Загальноосвітня школа I - III ступеня" Буської районної ради по вул. Центральній, 102а, у с. Мармузовичі Андріївської сільської ради Буського району - капітальний ремонт приміщень</t>
  </si>
  <si>
    <t>6885,41 тис. (загальний фонд) - Мостиська загальноосвітня школа N 1 I - III ступеня по вул. Міцкевича, 5, у м. Мостиській - реконструкція приміщень</t>
  </si>
  <si>
    <t>3456,313 тис. (загальний фонд) - дитячий садочок у с. Милятичі Пустомитівського району - реконструкція</t>
  </si>
  <si>
    <t>7000 тис. (загальний фонд) - дитячий садок по вул. Сагайдачного у с. Зимна Вода Пустомитівського району - будівництво</t>
  </si>
  <si>
    <t>5600 тис. (загальний фонд) - дитячий садочок по вул. Поливки, 198, в с. Кульчиці Самбірського району - капітальний ремонт</t>
  </si>
  <si>
    <t>7000 тис. (загальний фонд) - Викотівська середня загальноосвітня школа I - III ступеня Самбірського району - добудова школи та реконструкція системи опалення</t>
  </si>
  <si>
    <t>2017, 2019-2020</t>
  </si>
  <si>
    <t>9545,141 тис. (5900 тис. - загальний фонд, 3645,141 тис. - спеціальний фонд) - комунальний заклад Львівської обласної ради "Бродівський педагогічний коледж імені Маркіяна Шашкевича" по вул. Є. Коновальця, 14, у м. Бродах - будівництво приблокованого спортивного комплексу</t>
  </si>
  <si>
    <t>4000 тис. (загальний фонд) - спортивно-розважальний комплекс по вул. Сагайдачного у с. Зубра Пустомитівського району - будівництво</t>
  </si>
  <si>
    <t>12500 тис. (11400 тис. — загальний фонд, 1100 тис. — спеціальний фонд) - середня загальноосвітня школа I - III ступеня на 250 учнів по вул. Січових Стрільців, 35, у смт Дубляни Самбірського району - реконструкція</t>
  </si>
  <si>
    <t>6570,722 тис. (3570,722 тис. - загальний фонд, 3000 тис. - спеціальний фонд) - фізкультурно-оздоровчий комплекс "Старт" по вул. Шевченка, 3, у м. Новояворівську Яворівського району - реконструкція (термомодернізація) будівлі</t>
  </si>
  <si>
    <t>МИКОЛАЇВСЬКА ОБЛАСТЬ
усього - 149259,332 тис. гривень (129177,929 тис. - загальний фонд, 20081,403 тис. - спеціальний фонд), у тому числі:</t>
  </si>
  <si>
    <t>13965,544 тис. (загальний фонд) - насосна станція третього підйому з резервуарами запасу води по вул. Кам'яномостівській в м. Первомайську - будівництво</t>
  </si>
  <si>
    <t>46241,910 тис. (44845,877 тис. - загальний фонд, 1396,033 тис. - спеціальний фонд) - комунальне підприємство "Миколаївський міжнародний аеропорт" по Київському шосе, 9, у с. Баловне - реконструкція та технічне переоснащення радіотехнічних засобів посадки</t>
  </si>
  <si>
    <t>19000 тис. (648,527 тис. - загальний фонд, 18351,473 тис. - спеціальний фонд) - басейн для плавання збірного типу по вул. Героїв Небесної Сотні, 29а, у м. Баштанці Баштанського району - нове будівництво</t>
  </si>
  <si>
    <t>1729,93 тис. (спеціальний фонд) - Воскресенська загальноосвітня школа по вул. Горького, 66, у смт Воскресенське Вітовського району - реконструкція</t>
  </si>
  <si>
    <t>73055,83 тис. (загальний фонд) - Миколаївський обласний онкологічний диспансер Миколаївської обласної ради по вул. Миколаївській, 18, у м. Миколаєві - капітальний ремонт радіологічного корпусу</t>
  </si>
  <si>
    <t>ОДЕСЬКА ОБЛАСТЬ 
усього - 323563,352 тис. гривень (281369,247 тис. - загальний фонд, 42194,105 тис. - спеціальний фонд), у тому числі:</t>
  </si>
  <si>
    <t>48970,4 тис. (загальний фонд) - школа на 250 учнів у с. Ставрове Окнянського району - будівництво</t>
  </si>
  <si>
    <t>збільшено;
зменшено</t>
  </si>
  <si>
    <t>719,265 тис. (загальний фонд) - фельдшерсько-акушерський пункт по вул. Грушевського, 108, у с. Саф'яни Ізмаїльського району - реконструкція під амбулаторію загальної практики сімейної медицини</t>
  </si>
  <si>
    <t>11098 тис. (загальний фонд) - проїзна частина вул. Артільної на ділянці від вул. Кишинівської до вул. Межової у м. Білгороді-Дністровському, на ділянці від вул. Межової до вул. Шевченка у с. Бритівка Білгород-Дністровського району - капітальний ремонт</t>
  </si>
  <si>
    <t>9890,776 тис. (загальний фонд) - автомобільна дорога загального користування державного значення Т-16-25 контрольно-пропускний пункт "Кучурган" - Біляївка - Маяки - Овідіополь на ділянці км 9 + 150 - км 12 + 272 - капітальний ремонт</t>
  </si>
  <si>
    <t>50000 тис. гривень (30000 тис. - загальний фонд, 20000 тис. - спеціальний фонд) - загальноосвітня школа по вул. І. Франка у м. Ізмаїлі - реконструкція незавершеного будівництва під спортивну школу</t>
  </si>
  <si>
    <t>17000 тис. (загальний фонд) - дитячо-юнацька спортивна школа по вул. Уварова, 4, у м. Балті - будівництво спортивного залу</t>
  </si>
  <si>
    <t>15000 тис. (загальний фонд) - Маяківська загальноосвітня школа I - III ступеня по вул. Преображенській, 69а, у с. Маяки Біляївського району - реконструкція існуючої будівлі із будівництвом двоповерхового корпусу</t>
  </si>
  <si>
    <t>6144,696 тис. (загальний фонд) - автомобільна дорога загального користування державного значення Т-16-38 контрольно-пропускний пункт "Станіславка" - Станіславка - Мурована, км 15 + 600 - км 20 + 200 (окремими ділянками) - поточний середній ремонт</t>
  </si>
  <si>
    <t>Хлібодарський навчально-виховний комплекс "Загальноосвітня школа I - III ступеня - дошкільний навчальний заклад" - будівництво</t>
  </si>
  <si>
    <t>23180 тис. (18180 тис. - загальний фонд, 5000 тис. - спеціальний фонд) - загальноосвітня школа II - III ступеня Авангардівського навчально-виховного комплексу "Дошкільний навчальний заклад (дитячий садок) - загальноосвітня школа I ступеня" по вул. Добрянського, 26а, у смт Авангард Овідіопольського району - будівництво</t>
  </si>
  <si>
    <t>45903,649 тис. (38709,544 тис. - загальний фонд, 7194,105 тис. - спеціальний фонд) - загальноосвітня школа на 198 учнів у с. Садове Арцизького району - будівництво</t>
  </si>
  <si>
    <t>30398,241 тис. (27398,241 тис. - загальний фонд, 3000 тис. - спеціальний фонд) - навчально-виховний комплекс "Загальноосвітній навчальний заклад I - III ступеня - дошкільний навчальний заклад" по вул. Центральній, 140, в смт Захарівка Захарівського району - капітальний ремонт</t>
  </si>
  <si>
    <t>9270 тис. (загальний фонд) - комплексне обстеження з розробленням інженерних рішень щодо ренатуралізації гідрологічного стану р. Великий Куяльник з метою врятування Куяльницького лиману з виготовленням проектної документації</t>
  </si>
  <si>
    <t>33988,325 тис. (26988,325 тис. - загальний фонд, 7000 тис. - спеціальний фонд) - навчально-виховний комплекс "Балтська загальноосвітня школа I - III ступеня N 3 - колегіум" по вул. Уварова, 96, у м. Балті - реконструкція будівлі</t>
  </si>
  <si>
    <t>22000 тис. (загальний фонд) – дитячий садок на 120 місць з вбудованими громадськими приміщеннями фізкультурно-оздоровчого призначення в рівні цокольного поверху на території с. Крижанівка, Лиманського району – будівництво</t>
  </si>
  <si>
    <t>ПОЛТАВСЬКА ОБЛАСТЬ
усього - 190687,942 тис. гривень (165821,383 тис. - загальний фонд, 24866,559 тис. - спеціальний фонд), у тому числі:</t>
  </si>
  <si>
    <t>4715,965 тис. (загальний фонд) - ліцей майбутнього по вул. Центральній, 64, в Омельницькій об'єднаній територіальній громаді на Полтавщині - капітальний ремонт, термомодернізація будівлі</t>
  </si>
  <si>
    <t>4251,154 тис. (3251,154 тис. - загальний фонд, 1000 тис. - спеціальний фонд) - Демидівська загальноосвітня школа I - III ступеня Решетилівської районної ради по вул. Перемоги, 118, у с. Демидівка Решетилівського району - реконструкція спортивного залу з добудовою побутових приміщень</t>
  </si>
  <si>
    <t>115563,011 тис. (104604,264 тис. - загальний фонд, 10958,747 тис. - спеціальний фонд) - Полтавський обласний клінічний кардіологічний диспансер по вул. Макаренка, 1а, 1б, м. Полтава (корпус інтервенційної кардіології та реабілітації) - реконструкція</t>
  </si>
  <si>
    <t>35907,812 тис. (24000 тис. - загальний фонд, 11907,812 тис. - спеціальний фонд) - центр надання послуг в м. Полтаві - будівництво</t>
  </si>
  <si>
    <t>5250 тис. (4250 - загальний фонд, 1000 тис. - спеціальний фонд) - Ромоданівська загальноосвітня школа I - III ступеня по вул. Шевченка, 5, у смт Ромодан Миргородського району - будівництво шкільного спортивного залу</t>
  </si>
  <si>
    <t>25000 тис. (загальний фонд) - фізкультурно-оздоровчий басейн по вул. Шкільній, 18, у с. Розсошенці Полтавського району - будівництво</t>
  </si>
  <si>
    <t>РІВНЕНСЬКА ОБЛАСТЬ
усього - 246146,142 тис. гривень (214047,586 тис. - загальний фонд, 32098,556 - спеціальний фонд), у тому числі:</t>
  </si>
  <si>
    <t>65892 тис. гривень (55892 тис. – загальний фонд, 10000 тис. – спеціальний фонд) - спортивний комплекс комунального закладу "Обласна спеціалізована дитячо-юнацька школа олімпійського резерву" Рівненської обласної ради на території Шпанівської сільської ради (в районі вул. Макарова в м. Рівному) - будівництво універсального спортивного залу</t>
  </si>
  <si>
    <t>15000 тис. (загальний фонд) - будівництво спортивно-оздоровчого комплексу по вул. Червоного Хреста, 25, в м. Дубровиці</t>
  </si>
  <si>
    <t>10500 тис. (загальний фонд) - Степангородська загальноосвітня школа I - III ступеня по вул. Шевченка, 59, у с. Степангород Володимирецького району - реконструкція під Степангородський навчально-виховний комплекс "Загальноосвітня школа I - III ступеня - дошкільний навчальний заклад" Володимирецької районної ради</t>
  </si>
  <si>
    <t>15000 тис. (загальний фонд) - Жобринська загальноосвітня школа I - III ступеня по вул. Центральній, 3, в с. Жобрин Рівненського району - реконструкція будівлі</t>
  </si>
  <si>
    <t>13200 тис. (загальний фонд) - будівля комунального закладу "Рівненська обласна універсальна наукова бібліотека" Рівненської обласної ради по вул. Короленка, 6, в м. Рівному - реконструкція</t>
  </si>
  <si>
    <t>2970 тис. (загальний фонд) - впровадження медичної інформаційної системи на базі комунального закладу "Рівненська обласна дитяча лікарня" Рівненської обласної ради</t>
  </si>
  <si>
    <t>20874 тис. (загальний фонд) - дошкільний навчальний заклад на 150 місць по вул. Богдана Хмельницького в м. Березному - будівництво</t>
  </si>
  <si>
    <t>6093 тис. (загальний фонд) - очисні споруди продуктивністю 1500 куб. метрів на добу в м. Березному - реконструкція</t>
  </si>
  <si>
    <t>17899,483 тис. (15800,927 тис. – загальний фонд, 2098,556 тис. – спеціальний фонд) - спортивний комплекс по вул. Я. Мудрого, 1, у м. Сарнах - будівництво</t>
  </si>
  <si>
    <t>10000 тис. (загальний фонд) - реконструкція будівель Дубровицького навчально-виховного комплексу "Ліцей загальноосвітньої школи I - II ступеня" по вул. Макарівській, 11, в м. Дубровиці (влаштування шатрового даху, зовнішнє опорядження фасадів, заміна вікон та зовнішніх дверей, реконструкція системи опалення)</t>
  </si>
  <si>
    <t>1500 тис. (загальний фонд) - школа по вул. Шосейній, 16, у с. Залав'я Млинівського району - реконструкція під комунальний заклад "Залав'єцький дошкільний навчальний заклад ясла-садочок "Казка"</t>
  </si>
  <si>
    <t>11000 тис. (4000 тис. – загальний фонд, 7000 тис. – спеціальний фонд) - реконструкція дошкільного навчального закладу по вул. Шкільній, 4, у с. Переброди Дубровицького району</t>
  </si>
  <si>
    <t>10900 тис. (загальний фонд) - загальноосвітня школа I - III ступеня по вул. Новій, 38, в с. Цепцевичі Сарненського району - будівництво</t>
  </si>
  <si>
    <t>2582 тис. (загальний фонд) - капітальний ремонт спального корпусу N 3 комунального закладу "Рівненський обласний центр комплексної реабілітації інвалідів" Рівненської обласної ради по вул. Санаторній, 3, у с. Олександрія Рівненського району</t>
  </si>
  <si>
    <t>7000 тис. (загальний фонд) - дошкільний навчальний заклад у районі військового містечка по вул. Семидубській, 32б, в м. Дубнах - будівництво</t>
  </si>
  <si>
    <t>15000 тис. (загальний фонд) - навчально-виховний комплекс по вул. Шкільній, 11, в с. Борбин Млинівського району - будівництво</t>
  </si>
  <si>
    <t>3200 тис. (загальний фонд) - реконструкція гінекологічного відділення Острозької центральної районної лікарні під гуртожиток медичних працівників по вул. Бельмаж, 2, в м. Острозі</t>
  </si>
  <si>
    <t>655,659 тис. (загальний фонд) - басейн загальноосвітньої школи I - III ступеня N 7 по пров. Шкільному, 2, в м. Дубнах - реконструкція</t>
  </si>
  <si>
    <t>1380 тис. (загальний фонд) - будівництво дошкільного навчального закладу в с. Новомильськ по вул. Центральній, 3а, на території Копитківської сільської ради Здолбунівського району</t>
  </si>
  <si>
    <t>15500 тис. (2500 тис. - загальний фонд, 13000 тис. - спеціальний фонд) - фізкультурно-оздоровчий басейн на базі Костопільської дитячо-юнацької спортивної школи по пров. Артилерійському, 5а, в м. Костополі - будівництво</t>
  </si>
  <si>
    <t>дошкільний навчальний заклад ясла-садок по вул. Коновальця, 16, у м. Рівному - будівництво</t>
  </si>
  <si>
    <t>2020-2021</t>
  </si>
  <si>
    <t>дошкільний навчальний заклад комбінованого типу (ясла-садок) по вул. Грушевського в м. Сарнах - будівництво</t>
  </si>
  <si>
    <t>СУМСЬКА ОБЛАСТЬ 
усього - 230262,475 тис. гривень (200235,222 тис. - загальний фонд, 30027,253 тис. - спеціальний фонд), у тому числі:</t>
  </si>
  <si>
    <t>1915,351 тис. (загальний фонд) - обласний комунальний навчально-тренувальний заклад обласної ради "Сумська кінна дитячо-юнацька спортивна школа" по вул. Веретинівській, 27, у м. Сумах - капітальний ремонт стайні</t>
  </si>
  <si>
    <t>4670,093 тис. (загальний фонд) - обласний комунальний заклад Сумська обласна дитячо-юнацька спортивна школа по вул. 20 років Перемоги, 9а, у м. Сумах - реконструкція будівлі з улаштуванням надбудови</t>
  </si>
  <si>
    <t>246,968 тис. (загальний фонд) - гральне поле на території комунальної установи Сумський навчально-виховний комплекс N 16 Сумської міської ради по вул. Шишкіна, 12, у м. Сумах - реконструкція</t>
  </si>
  <si>
    <t>13374,355 тис. (загальний фонд) - Роменська загальноосвітня школа I - III ступеня N 7 по вул. Полтавській, 32, у м. Ромнах - капітальний ремонт</t>
  </si>
  <si>
    <t>2017-2018</t>
  </si>
  <si>
    <t>14362,862 тис. (загальний фонд) - вулиці Воронізька, Кожедуба у м. Шостці - капітальний ремонт проїзної частини</t>
  </si>
  <si>
    <t>24000 тис. (загальний фонд) - Краснопільська загальноосвітня школа I - III ступеня Краснопільської районної ради по вул. Перемоги, 1, у смт Краснопілля - реконструкція (інженерні мережі та оздоблення приміщень)</t>
  </si>
  <si>
    <t>11135,986 тис. (загальний фонд) - Недригайлівська спеціалізована загальноосвітня школа I - III ступеня по вул. Незалежності, 25, у смт Недригайлів - реконструкція (інженерні мережі та оздоблення приміщень)</t>
  </si>
  <si>
    <t>2528,693 тис. (загальний фонд) - сільський будинок культури у с. Нова Слобода Путивльського району - капітальний ремонт</t>
  </si>
  <si>
    <t>2808,667 тис. (загальний фонд) - спортивний комплекс по просп. Іоанна Путивльського, 2, у м. Путивлі - капітальний ремонт</t>
  </si>
  <si>
    <t>будівля Путивльської загальноосвітньої школи I - III ступеня N 2 імені Г. Я. Базими Путивльської районної ради у м. Путивлі - реконструкція (утеплення фасадів, покрівлі, заміна вікон)</t>
  </si>
  <si>
    <t>688,555 тис. (загальний фонд) - будинок Путивльської загальноосвітньої школи I - III ступеня N 1 імені Р. Руднєва Путивльської районної ради у м. Путивлі - реконструкція (утеплення фасадів, покрівлі, заміна вікон)</t>
  </si>
  <si>
    <t>1911,131 тис. (загальний фонд) - будівля Середино-Будської загальноосвітньої школи I - III ступеня N 1 по вул. Троїцькій, 1, у м. Середино-Буди - капітальний ремонт (ремонт системи опалення, покрівлі, утеплення фасадів, заміна вікон і вхідних дверей)</t>
  </si>
  <si>
    <t>4982,706 тис. (загальний фонд) - Нижньосироватська загальноосвітня школа I - III ступеня імені Б. Грінченка по вул. Сумській, 127, у с. Нижня Сироватка Сумського району - реконструкція приміщень</t>
  </si>
  <si>
    <t>539,885 тис. (загальний фонд) - сільський стадіон, у с. Ображіївка Шосткинського району - реконструкція</t>
  </si>
  <si>
    <t>1223,481 тис. (загальний фонд) - придбання автогрейдера для комунального підприємства "Комбінат благоустрою" виконавчого комітету Лебединської міської ради у м. Лебедині</t>
  </si>
  <si>
    <t>Миколаївська спеціалізована школа I - III ступеня по вул. Шкільній, 6, у смт Миколаївка Білопільського району - капітальний ремонт</t>
  </si>
  <si>
    <t>будівля Вільшанської загальноосвітньої школи I - III ступеня Недригайлівської районної ради, с. Вільшана Недригайлівського району - реконструкція (утеплення фасадів, горищ, заміна вікон)</t>
  </si>
  <si>
    <t>1003,68 тис. (загальний фонд) - Зноб-Новгородська загальноосвітня школа I - III ступеня у смт Зноб-Новгородське Середино-Будського району - реконструкція частини спортивного майданчика під міні-футбольний майданчик із штучним покриттям</t>
  </si>
  <si>
    <t>2907,306 тис. (загальний фонд) - футбольне поле та бігові доріжки спортивного комплексу по вул. Степанівській, 57, у смт Степанівка Сумського району - реконструкція</t>
  </si>
  <si>
    <t>1098,72 тис. (загальний фонд) - Клишківський навчально-виховний комплекс по вул. Калиновій, 1, у с. Клишки Шосткинського району - капітальний ремонт для підвищення енергоефективності (відновлення покрівлі та утеплення)</t>
  </si>
  <si>
    <t>25731,941 тис. (23644,484 тис.- загальний фонд, 2087,457 тис. – спеціальний фонд - комунальний заклад Сумської обласної ради "Сумська обласна клінічна лікарня" по вул. Ковпака, 18, у м. Сумах - будівництво (друга черга)</t>
  </si>
  <si>
    <t>9407,388 тис. (загальний фонд) - будівля диспансерного відділення (поліклініки) Сумського обласного клінічного онкологічного диспансеру по вул. Троїцькій, 48, у м. Сумах - капітальний ремонт</t>
  </si>
  <si>
    <t>15000 тис. (8000 тис. - загальний фонд, 7000 тис. - спеціальний фонд) - каналізаційний самопливний колектор Д-1000 мм по вул. 1-ша Набережна р. Стрілка, у м. Сумах - реконструкція</t>
  </si>
  <si>
    <t>10914,16 тис. (8185,62 тис. - загальний фонд, 2728,54 тис. - спеціальний фонд) - дорога по вул. Лазаревського від пров. Червоної калини до вул. Пушкіна у м. Конотопі - реконструкція</t>
  </si>
  <si>
    <t>4243,123 тис. (3182,342 тис. - загальний фонд, 1060,781 тис. - спеціальний фонд) - дорога по вул. Клубній у м. Конотопі 2, ділянка - реконструкція</t>
  </si>
  <si>
    <t>5722,717 тис. (4292,037 тис. - загальний фонд, 1430,68 тис. - спеціальний фонд) - дорога по вул. Клубній від вул. Кооперативної до будинку N 44 по вул. Клубній у м. Конотопі - капітальний ремонт</t>
  </si>
  <si>
    <t>6500 тис. (загальний фонд) - Шосткинський навчально-виховний комплекс "Спеціалізована школа I - II ступеня - ліцей" по вул. Свободи, 33, у м. Шостці - реконструкція</t>
  </si>
  <si>
    <t>5164,512 тис. (3563,788 тис. - загальний фонд, 1600,724 тис. - спеціальний фонд) - система водопостачання с. Комиші Охтирського району (8000 м) - реконструкція</t>
  </si>
  <si>
    <t>20159,482 тис. (17858,592 тис. - загальний фонд, 2300,89 тис. - спеціальний фонд) - стадіон імені Куца по вул. Кеніга у м. Тростянці - реконструкція</t>
  </si>
  <si>
    <t>4900 тис. (3675 тис. - загальний фонд, 1225 тис. - спеціальний фонд) - Дружбівський навчально-виховний комплекс "Загальноосвітня школа I - III ступеня - дошкільний навчальний заклад" по вул. Кожедуба, 6, у м. Дружбі Ямпільського району - капітальний ремонт з утепленням стін та заміною віконних та дверних блоків (термомодернізація)</t>
  </si>
  <si>
    <t>5000 тис. (3000 тис. - загальний фонд, 2000 тис. - спеціальний фонд) - будівля (заміна покрівлі, заміна віконних та дверних блоків, утеплення фасаду) Князівського навчально-виховного комплексу "Загальноосвітня школа I - II ступеня - дошкільний навчальний заклад Новослобідської сільської ради Путивльського району" по вул. Жовтневій, 25, у с. Князівка Путивльського району - капітальний ремонт</t>
  </si>
  <si>
    <t>будівля комунального закладу Сумської обласної ради "Обласний наркологічний диспансер" на пл. Троїцька, 16, у м. Сумах - капітальний ремонт</t>
  </si>
  <si>
    <t>4970,916 тис. (3728,187 тис. - загальний фонд, 1242,729 тис. - спеціальний фонд) - заклад дошкільної освіти "Орлятко" по вул. Центральній, 44, у смт Степанівка Сумського району - будівництво</t>
  </si>
  <si>
    <t>7898,162 тис. (5923,162 тис. - загальний фонд, 1975 тис. - спеціальний фонд) - Коровинська загальноосвітня школи I - III ступеня Коровинської сільської ради по вул. Київській, 70, у с. Коровинці Недригайлівського району - реконструкція (системи теплопостачання та покрівлі)</t>
  </si>
  <si>
    <t>2700 тис. (2000 тис. — загальний фонд, 700 тис. — спеціальний фонд) — будівля Воронізької амбулаторії загальної практики сімейної медицини Шосткинського районного центру первинної медичної допомоги Шосткинської районної ради по вул. Новгород-Сіверській, 33, у смт Вороніж — капітальний ремонт</t>
  </si>
  <si>
    <t>5051,635 тис. (3788,726 тис. - загальний фонд, 1262,909 тис. - спеціальний фонд) - Конотопська гімназія Конотопської міської ради по вул. Братів Радченків, 21, у м. Конотопі - реконструкція будівлі (підвищення енергоефективності будівель освітніх закладів у м. Конотопі)</t>
  </si>
  <si>
    <t>7500 тис. (2000 тис. - загальний фонд, 5500 тис. - спеціальний фонд) - Середино-Будська загальноосвітня школа I - III ступеня N 2 по вул. Соборній, 44, у м. Середині-Буді - капітальний ремонт</t>
  </si>
  <si>
    <t>ТЕРНОПІЛЬСЬКА ОБЛАСТЬ
усього - 216975,031 тис. гривень (187963,295 тис. - загальний фонд, 29011,736 тис. - спеціальний фонд), у тому числі:</t>
  </si>
  <si>
    <t>6790 тис. (загальний фонд) - будівля Тернопільського обласного спеціалізованого будинку дитини по вул. Академіка Сахарова, 2, в м. Тернополі - реконструкція з влаштуванням шатрового даху</t>
  </si>
  <si>
    <t>4394,856 тис. (загальний фонд) - Тернопільський обласний центр соціальної реабілітації дітей-інвалідів по вул. Академіка Сахарова, 2, в м. Тернополі - реконструкція приміщень з надбудовою та влаштуванням шатрового даху</t>
  </si>
  <si>
    <t>3969,477 тис. (загальний фонд) - Товстенська районна комунальна лікарня по вул. Робітничій, 1, в смт Товсте Заліщицького району - капітальний ремонт водолікувального відділення</t>
  </si>
  <si>
    <t>6873,033 тис. (загальний фонд) - "Центр культури і дозвілля с. Ласківці" відділу культури Теребовлянської міської ради по вул. Центральній, 127, в с. Ласківці Теребовлянського району - капітальний ремонт будівлі</t>
  </si>
  <si>
    <t>1902,874 тис. (загальний фонд) - Золотниківська загальноосвітня школа I - III ступеня по вул. Містечко, 40, в с. Золотники Теребовлянського району - капітальний ремонт із застосуванням енергозберігаючих технологій (заміна віконних та дверних блоків, утеплення фасаду головного корпусу)</t>
  </si>
  <si>
    <t>10000 тис. (загальний фонд) - середня загальноосвітня школа I - III ступеня на 24 класи (600 учнів) по вул. Микулинецькій в смт Велика Березовиця Тернопільського району - будівництво</t>
  </si>
  <si>
    <t>11500 тис. (загальний фонд) - спортивний комплекс по вул. І. Франка, 8, у м. Бережанах - будівництво</t>
  </si>
  <si>
    <t>2913,488 тис. (загальний фонд) - обласний державний архів на 1,5 млн. одиниць зберігання по вул. Карпенка в м. Тернополі - будівництво</t>
  </si>
  <si>
    <t>1991-2019</t>
  </si>
  <si>
    <t>10000 тис. (загальний фонд) - загальноосвітня школа I - II ступеня на 172 учні по вул. Лісничівка, 19а, в с. Шупарка Борщівського району - будівництво</t>
  </si>
  <si>
    <t>3556,852 тис. (загальний фонд) - дамба Тернопільського ставу по вул. Руській у м. Тернополі - реконструкція</t>
  </si>
  <si>
    <t>1335,319 тис. (загальний фонд) - Тернопільська обласна дитяча клінічна лікарня по вул. Академіка Сахарова, 2, в м. Тернополі - капітальний ремонт приміщення дитячої онкогематології</t>
  </si>
  <si>
    <t>6556,614 тис. (загальний фонд) - спортзал Збаразької районної дитячо-юнацької спортивної школи по вул. Д. Вишневецького, 2, на території Базаринецької сільської ради Збаразького району - будівництво</t>
  </si>
  <si>
    <t>7261,922 тис. (загальний фонд) - спортивне ядро загальноосвітньої школи-інтернату I - III ступеня Кременецької районної ради по вул. Льотчиків-Визволителів, 60, м. Кременець - реконструкція</t>
  </si>
  <si>
    <t>14737,356 тис. (12720,497 тис. - загальний фонд, 2016,859 тис. - спеціальний фонд) - гідротехнічні споруди веслувального каналу центру веслування та водних видів спорту з інфраструктурою "Водна арена Тернопіль" у м. Тернополі та на території Тернопільського району - будівництво</t>
  </si>
  <si>
    <t>1747,713 тис. (загальний фонд) - Тернопільська обласна клінічна психоневрологічна лікарня по вул. Тролейбусній, 14, в м. Тернополі - реконструкція блоку діагностики та невідкладної допомоги приймального відділення</t>
  </si>
  <si>
    <t>5061,535 тис. (загальний фонд) - Збаразька центральна районна комунальна лікарня по вул. Павлова, 2, в м. Збаражі - капітальний ремонт головного корпусу, заміна теплотрас</t>
  </si>
  <si>
    <t>1190 тис. (загальний фонд) - комунальна установа Теребовлянської районної ради "Теребовлянська центральна районна лікарня" по вул. Січових Стрільців, 25, в м. Теребовлі - капітальний ремонт по утепленню фасадів, заміні частини покрівлі, заміні частини вікон на металопластикові в центральному корпусі</t>
  </si>
  <si>
    <t>8063,321 тис. (загальний фонд) - районний будинок культури та районна бібліотека для дорослих по вул. Грушевського, 2а, 2б, у м. Борщеві - реконструкція</t>
  </si>
  <si>
    <t>2016-2021</t>
  </si>
  <si>
    <t>4500 тис. (загальний фонд) - водопровідні споруди смт Мельниця-Подільська - будівництво</t>
  </si>
  <si>
    <t>2015-2020</t>
  </si>
  <si>
    <t>10394,353 тис. (загальний фонд) - приміщення колишньої школи, с. Стінка Бучацького району - реконструкція з добудовою під дошкільний навчальний заклад</t>
  </si>
  <si>
    <t>3256,319 тис. (загальний фонд) - Козівська дитячо-юнацька спортивна школа по вул. Гвардійській, 11, в смт Козова - реконструкція з добудовою</t>
  </si>
  <si>
    <t>1000 тис. (загальний фонд) - каналізаційна мережа м. Монастириська - реконструкція</t>
  </si>
  <si>
    <t>6851,398 тис. (загальний фонд) - навчально-виховний комплекс "Боричівська загальноосвітня школа-сад I - II ступеня - дошкільного навчального закладу" по вул. Новій, 1, в с. Боричівка Теребовлянського району - реконструкція спортивних майданчиків з влаштуванням стадіону</t>
  </si>
  <si>
    <t>10827,58 тис. (загальний фонд) - Козівська загальноосвітня школа I - III ступеня N 1 по вул. Гвардійській, 9, в смт Козова (корпус старших класів) - енергозберігаючі заходи (капітальний ремонт частини перекриття; опорядження приміщень; капітальний ремонт системи опалення, водопостачання і водовідведення; утеплення фасадів)</t>
  </si>
  <si>
    <t>1974,743 тис. (загальний фонд) - навчально-виховний комплекс "Лановецька загальноосвітня школа I - III ступеня N 2 - гімназія" - капітальний ремонт з впровадженням енергозберігаючих технологій (утеплення зовнішніх стін будівлі школи і заміна покрівлі)</t>
  </si>
  <si>
    <t>3262,767 тис. (2014,241 тис. - загальний фонд, 1248,526  тис. - спеціальний фонд) - кардіологічний корпус Микулинецької обласної фізіотерапевтичної лікарні реабілітації по вул. Галицькій, 2, у смт Микулинці Теребовлянського району - реконструкція</t>
  </si>
  <si>
    <t>7788,362 тис. (4808,08 тис. - загальний фонд, 2980,282 тис. - спеціальний фонд) - приміщення музею на території музейного комплексу "Лемківське село" за адресою урочище Лемківська Ватра, 1, у м. Монастириській - будівництво в рамках реалізації проекту "Lemko S.V.I.T."</t>
  </si>
  <si>
    <t>3916,923 тис. (2418,080 тис. - загальний фонд, 1498,843 тис. - спеціальний фонд) - обласна фізіотерапевтична лікарня реабілітації в с. Більче-Золоте Борщівського району - нове будівництво спального корпусу на 50 осіб для учасників антитерористичної операції із їдальнею та теплим переходом з частковою реконструкцією існуючого корпусу</t>
  </si>
  <si>
    <t>7787,386 тис. (4807,477  тис. - загальний фонд, 2979,909 тис. - спеціальний фонд) - Тернопільська обласна дитяча клінічна лікарня по вул. Академіка Сахарова, 2, у м. Тернополі - капітальний ремонт відділення анестезіології та інтенсивної терапії з операційним блоком</t>
  </si>
  <si>
    <t>2279,803 тис. (1407,417 тис. - загальний фонд, 872,386 тис. - спеціальний фонд) - Тернопільський обласний краєзнавчий музей на пл. Героїв Євромайдану, 3, у м. Тернополі - реконструкція існуючої будівлі (проект термомодернізації будівлі)</t>
  </si>
  <si>
    <t>3824,558 тис. (2361,058 тис. - загальний фонд, 1463,5 тис. - спеціальний фонд) - спортивний майданчик Чортківського державного медичного коледжу по вул. Млинарській, 14а, у м. Чорткові - реконструкція</t>
  </si>
  <si>
    <t>Тернопільська обласна лікарня "Хоспіс" по вул. Глибочецькій, 5, у с. Плотича Тернопільського району - капітальний ремонт фасаду з прибудовою ліфта для маломобільних хворих</t>
  </si>
  <si>
    <t>3792,646 тис. (2341,358 тис. - загальний фонд, 1451,288 тис. - спеціальний фонд) - студентський гуртожиток державного навчального закладу "Тернопільський професійний коледж з посиленою військовою та фізичною підготовкою" по вул. Д. Галицького, 46, у м. Збаражі - капітальний ремонт</t>
  </si>
  <si>
    <t>3500 тис. (2160,696 тис. - загальний фонд, 1339,304 тис. - спеціальний фонд) - Борщівська центральна комунальна лікарня по вул. С. Бандери, 108, у м. Борщіві - капітальний ремонт будівель (утеплення фасадів, заміна вікон)</t>
  </si>
  <si>
    <t>4000 тис. (2469,365 тис. - загальний фонд, 1530,635 тис. - спеціальний фонд) - Лановецький зоологічний парк місцевого значення "Лановецький зооботсад" у м. Ланівцях - будівництво (організація території)</t>
  </si>
  <si>
    <t>8000 тис. (4938,733 тис. - загальний фонд, 3061,267 тис. - спеціальний фонд) - дитячий садок на 120 місць по вул. Молодіжній у с. Біла Тернопільського району - будівництво</t>
  </si>
  <si>
    <t>7697,78 тис. (4752,16 тис. - загальний фонд, 2945,62 тис. - спеціальний фонд) - комплекс бізнес-хабу по вул. О. Гончара, 21, у м. Чорткові - будівництво споруд для розвитку малого підприємництва</t>
  </si>
  <si>
    <t>4198,046 тис. (2591,629 тис. - загальний фонд, 1606,417 тис. - спеціальний фонд) - амбулаторія загальної медицини по вул. Здоров'я, 11, у с. Колиндяни Чортківського району - реконструкція</t>
  </si>
  <si>
    <t>3000 тис. (1852,025 тис. - загальний фонд, 1147,975 тис. - спеціальний фонд) - Великодедеркальська районна комунальна лікарня у с. Великі Дедеркали Шумського району - капітальний ремонт поліклінічного та стаціонарного корпусів (покращення енергоефективності будівель із впровадженням енергозберігаючих технологій)</t>
  </si>
  <si>
    <t>4429,624 тис. (2734,592 тис. - загальний фонд, 1695,032 тис. - спеціальний фонд) - комунальний дитячий оздоровчий заклад "Дивосвіт" у с. Кутянка Шумського району - реконструкція будівель із добудовою відпочинково-оздоровчої інфраструктури</t>
  </si>
  <si>
    <t>4138,383 тис. (2554,796 тис. - загальний фонд, 1583,587 тис. - спеціальний фонд) - Тернопільський ліцей N 21 - спеціалізована мистецька школа імені Ігоря Герети по просп. Злуки, 51, у м. Тернополі - реконструкція корпусу майстерні з надбудовою</t>
  </si>
  <si>
    <t>очисні споруди Скала-Подільського комбінату комунальних підприємств продуктивністю 200 куб. метрів по вул. Грушевського у смт Скала-Подільська Борщівського району - будівництво</t>
  </si>
  <si>
    <t>2000 тис. (1234,683 тис. - загальний фонд, 765,317 тис. - спеціальний фонд) - Новосільська загальноосвітня школа I - III ступеня імені Мирона Зарицького Новосільської сільської ради по вул. І. Франка, 24, у с. Нове Село Підволочиського району - реконструкція будівлі та улаштування спортивного майданчика</t>
  </si>
  <si>
    <t>2200 тис. (1358,152 тис. - загальний фонд, 841,848 тис. - спеціальний фонд) - Монастириський дитячий заклад ясла-садок "Казка" по вул. Шухевича, 3, у м. Монастириській - реконструкція будівлі (улаштування шатрового даху із впровадженням енергозберігаючих заходів)</t>
  </si>
  <si>
    <t>ХАРКІВСЬКА ОБЛАСТЬ
усього - 364236,317 тис. гривень (316738,276 тис. - загальний фонд, 47498,041 тис. - спеціальний фонд), у тому числі:</t>
  </si>
  <si>
    <t>8048,189 тис. (загальний фонд) - будівля стаціонарного корпусу відділення Ізюмської центральної міської лікарні, м. Ізюм - капітальний ремонт (коригування)</t>
  </si>
  <si>
    <t>7666,084 тис. (загальний фонд) - Лозівська дитячо-юнацька спортивна школа "Юність", майдан Соборності, 1, м. Лозова - реконструкція (коригування)</t>
  </si>
  <si>
    <t>2012-2019</t>
  </si>
  <si>
    <t>3859,2 тис. (загальний фонд) - "Тільки разом зробимо село привабливим" - придбання обладнання та спеціальної техніки для утримання населених пунктів Великобурлуцького району в належному санітарному стані, своєчасного вивозу твердих та рідких побутових відходів, утримання доріг, вулиць в усі пори року</t>
  </si>
  <si>
    <t>22578,266 тис. (загальний фонд) - Зміївський ліцей N 1 імені двічі Героя Радянського Союзу З. К. Слюсаренка по вул. Широнінців, 25, м. Зміїв - капітальний ремонт будівлі</t>
  </si>
  <si>
    <t>2700,18 тис. (загальний фонд) - "Спільні зусилля - процвітання громад" - придбання спеціалізованої техніки та обладнання для забезпечення належного санітарного стану населених пунктів Оскільської об'єднаної територіальної громади, екологічної безпеки сільських жителів і надання якісних комунальних послуг</t>
  </si>
  <si>
    <t>20181,385 тис. (загальний фонд) - Краснопавлівська загальноосвітня школа I - III ступеня по вул. Шкільній, смт Краснопавлівка Лозівського району - капітальний ремонт</t>
  </si>
  <si>
    <t>7099,846 тис. (загальний фонд) - Олексіївський навчально-виховний комплекс по вул. Шкільній, 15, с. Олексіївка Первомайського району - капітальний ремонт шкільного підрозділу</t>
  </si>
  <si>
    <t>3389,85 тис. (загальний фонд) - комунальний заклад охорони здоров'я "Куп'янська центральна міська лікарня" по вул. Лікарняній, 2, м. Куп'янськ - реконструкція фасаду, заміна вікон і вхідних дверей в будівлі головного корпусу (коригування)</t>
  </si>
  <si>
    <t>2032,613 тис. (загальний фонд) - комунальний заклад охорони здоров'я "Куп'янська центральна міська лікарня" по вул. Лікарняній, 2, м. Куп'янськ - реконструкція фасаду, заміна вікон і вхідних дверей у будівлі інфекційного відділення (коригування)</t>
  </si>
  <si>
    <t>6257,123 тис. (загальний фонд) - комунальна установа охорони здоров'я Богодухівська центральна районна лікарня по вул. Чернієнка, 13, в м. Богодухові - капітальний ремонт із застосуванням енергозберігаючих заходів у поліклінічному відділенні (коригування)</t>
  </si>
  <si>
    <t>18087,383 тис. (загальний фонд) - фізкультурно-оздоровчий комплекс "Донець" по вул. Капітана Орлова, 47, у м. Ізюмі - реконструкція з улаштуванням басейну (коригування)</t>
  </si>
  <si>
    <t>21775,365 тис. (загальний фонд) - фізкультурно-оздоровчий комплекс на території Дергачівського ліцею N 2 Дергачівської районної ради по вул. Садовій, 8, у м. Дергачі - будівництво</t>
  </si>
  <si>
    <t>19801,358 тис. (загальний фонд) - фізкультурно-оздоровчий комплекс по вул. Єдності (поблизу будинку N 6) у смт Краснокутськ Краснокутського району - будівництво</t>
  </si>
  <si>
    <t>5000 тис. (загальний фонд) - фізкультурно-оздоровчий комплекс по вул. В. Вішталя, 9а, у смт Новопокровка Чугуївського району - будівництво (коригування)</t>
  </si>
  <si>
    <t>15618,69 тис. (загальний фонд) - комплекс будівель комунального підприємства "Близнюківська центральна районна лікарня" по вул. Калиновій, 3, у смт Близнюки Близнюківського району - реконструкція</t>
  </si>
  <si>
    <t>67003,883 тис. (56094,217 тис. - загальний фонд, 10909,666 тис. - спеціальний фонд) - початкова школа та дитячий садок у мікрорайоні Надія у смт Пісочин Харківського району - нове будівництво</t>
  </si>
  <si>
    <t>12850 тис. (спеціальний фонд) - нежитлова будівля Лозівського міського палацу культури по просп. Перемоги, 1, у м. Лозовій - капітальний ремонт</t>
  </si>
  <si>
    <t>7324,722 тис. (загальний фонд) - нежитлове приміщення банку "Україна" по вул. Комсомольській, 35, у смт Близнюки - реконструкція для розміщення дошкільного навчального закладу (коригування)</t>
  </si>
  <si>
    <t>14708,328 тис. (загальний фонд) - гуртожиток по вул. Пушкіна, 1, корпуси N 4 і 5, у м. Вовчанську - реконструкція під житло для внутрішньо переміщених осіб та центр надання адміністративних послуг, відділення Державної фіскальної служби, відділень державної районної адміністрації та інших служб району (коригування)</t>
  </si>
  <si>
    <t>8046,61 тис. (спеціальний фонд) - Дворічанський районний будинок культури по вул. 35 Гвардійської дивізії, 12, у смт Дворічна - реконструкція</t>
  </si>
  <si>
    <t>700 тис. (загальний фонд) - будівля лікарні - пам'ятки архітектури місцевого значення (охоронний номер 684) по вул. Шиндлера, 91, у м. Краснограді - реабілітація (реставрація) (коригування)</t>
  </si>
  <si>
    <t>28225,432 тис. (24670,167 тис. - загальний фонд, 3555,265 тис. - спеціальний фонд) - реконструкція існуючої будівлі Наталинського навчально-виховного комплексу (загальноосвітня школа I - III ступеня - дошкільний навчальний заклад) Наталинської сільської ради Красноградського району та прибудови спортивного комплексу з додатковими основними і допоміжними приміщеннями по вул. Промисловій, 34, у с. Наталине Красноградського району</t>
  </si>
  <si>
    <t>24623,627 тис. (загальний фонд) - Південноміський дошкільний навчальний заклад (ясла-садок) по вул. Б. Тасуя, 60, у м. Південному Харківського району - реконструкція</t>
  </si>
  <si>
    <t>12136,5 тис. (спеціальний фонд) - очисні споруди у смт Малинівка Чугуївського району - реконструкція (коригування)</t>
  </si>
  <si>
    <t>ХЕРСОНСЬКА ОБЛАСТЬ
усього - 214197,37 тис. гривень (190770,717 тис. - загальний фонд, 23426,653 тис. - спеціальний фонд), у тому числі:</t>
  </si>
  <si>
    <t>7556,619 тис. (загальний фонд) - комунальний заклад "Обласна лікарня відновного лікування" Херсонської обласної ради - створення Центру високоспеціалізованої медичної реабілітації</t>
  </si>
  <si>
    <t>17572,157 тис. (загальний фонд) - екстрена медична допомога - придбання санітарних автомобілів</t>
  </si>
  <si>
    <t>2017 - 2019</t>
  </si>
  <si>
    <t>10841,378 тис. (загальний фонд) шляхопровід по просп. Адмірала Сенявіна - вул. Залаегерсег у м. Херсоні - будівництво</t>
  </si>
  <si>
    <t>11771,036 тис. (загальний фонд) - центр надання адміністративних послуг по вул. Першотравневій в м. Новій Каховці - будівництво</t>
  </si>
  <si>
    <t>5362,636 тис. (загальний фонд) - каналізаційні очисні споруди в м. Генічеську - реконструкція</t>
  </si>
  <si>
    <t>176,348 тис. (загальний фонд) - каналізаційна система смт Нижні Сірогози - реконструкція</t>
  </si>
  <si>
    <t>4515,315 тис. (загальний фонд) - будівля комунального закладу "Чорнянський геріатричний пансіонат" по вул. Незалежності, 60, в с. Чорнянка Каховського району - реконструкція під комунальний заклад дошкільної освіти "Золотий ключик"</t>
  </si>
  <si>
    <t>2018 - 2019</t>
  </si>
  <si>
    <t>2167,387 тис. (загальний фонд) - Малокопанівська загальноосвітня школа I - III ступеня в с. Малі Копані Голопристанського району - термомодернізація (капітальний ремонт системи опалення)</t>
  </si>
  <si>
    <t>6376,449 тис. (загальний фонд) - дитячий садок "Барвінок" по вул. Ларіонова, 11, в с. Виноградове Олешківського району - реконструкція з прибудовою двох груп та спортивної зали</t>
  </si>
  <si>
    <t>1622,585 тис. (загальний фонд) - Томинобалківський заклад повної загальної середньої освіти в с. Томина Балка Білозерського району - термомодернізація (капітальний ремонт)</t>
  </si>
  <si>
    <t>4533,587 тис. (загальний фонд) - спортивний майданчик із штучним покриттям загальноосвітньої школи I - III ступеня N 47 по вул. Філатова, 30, у м. Херсоні - реконструкція</t>
  </si>
  <si>
    <t>1671,997 тис. (загальний фонд) - плавальний басейн по вул. Покровській, 43а, у с. Чорнобаївка - реконструкція</t>
  </si>
  <si>
    <t>795 тис. (загальний фонд) - спортивний майданчик із штучним покриттям по вул. Соборній, 52, у м. Генічеську - будівництво</t>
  </si>
  <si>
    <t>2780,14 тис. (загальний фонд) - створення спортивної інфраструктури на території Чаплинської селищної ради, у тому числі:</t>
  </si>
  <si>
    <t>- 1388,894 тис. (загальний фонд) - спортивний майданчик для міні-футболу із штучним покриттям на території Першокостянтинівської загальноосвітньої школи I - III ступеня по вул. Тимошенка, 22, у с. Першокостянтинівка Чаплинського району - реконструкція</t>
  </si>
  <si>
    <t>- 1391,246 тис. (загальний фонд) - спортивний майданчик для міні-футболу із штучним покриттям на території опорного закладу навчально-виховний комплекс "Чаплинська школа-гімназія" Чаплинської селищної ради по вул. Декабристів, 14, в смт Чаплинка - реконструкція</t>
  </si>
  <si>
    <t>770 тис. (загальний фонд) - спортивний майданчик для міні-футболу із штучним покриттям Строганівської загальноосвітньої школи I - III ступеня по вул. Шкільній, 19, у с. Строганівка - реконструкція</t>
  </si>
  <si>
    <t>1261,074 тис. (загальний фонд) - спортивна зала по вул. Соборній, 44, у с. Чорнобаївка Білозерського району - реконструкція</t>
  </si>
  <si>
    <t>945,704 тис. (загальний фонд) - комплексний спортивний майданчик із штучним покриттям по вул. 40 років Перемоги, 12, у с. Музиківка Білозерського району - будівництво</t>
  </si>
  <si>
    <t>658,186 тис. (загальний фонд) - приміщення спортзалу Нововоронцовської загальноосвітньої школи I - III ступеня N 1 по вул. Суворова, 6, у смт Нововоронцовка - капітальний ремонт</t>
  </si>
  <si>
    <t>4170,138 тис. (загальний фонд) - Голопристанський навчально-виховний комплекс "Гімназія - спеціалізована школа I ступеня з поглибленим вивченням предметів художнього профілю" Голопристанської міської ради по вул. Ларіонова, 132, у м. Голій Пристані - капітальний ремонт, створення нового освітнього простору</t>
  </si>
  <si>
    <t>10000 тис. (загальний фонд) - Чорнобаївський навчально-виховний комплекс "Загальноосвітній навчальний заклад - дошкільний навчальний заклад" Білозерської районної ради по вул. Галицькій, 21, у с. Чорнобаївка Білозерського району - капітальний ремонт (санація) будівлі</t>
  </si>
  <si>
    <t>зменшено;
збільшено</t>
  </si>
  <si>
    <t>2200 тис. (спеціальний фонд) - Добропільський заклад повної загальної освіти Долматівської сільської ради Голопристанського району - здійснення заходів з використанням енергозберігаючих технологій з термосанації будівлі</t>
  </si>
  <si>
    <t>7992 тис. (загальний фонд) - комплекс міських очисних споруд по очистці стічних каналізаційних вод комунального підприємства "Очисні споруди" у м. Скадовську - реконструкція</t>
  </si>
  <si>
    <t>10000 тис. (загальний фонд) - комунальний заклад "Обласний Палац культури" по вул. Перекопській, 9, у м. Херсоні - реставрація будівлі</t>
  </si>
  <si>
    <t>4789,426 тис. (загальний фонд) - мережі каналізації з каналізаційною станцією по вул. Набережній (Свердлова) у м. Генічеську - будівництво (друга черга)</t>
  </si>
  <si>
    <r>
      <t xml:space="preserve">4914,9 тис. (1543,25 тис. - загальний фонд, 3371,65 тис. - спеціальний фонд) </t>
    </r>
    <r>
      <rPr>
        <sz val="11"/>
        <color rgb="FFFF0066"/>
        <rFont val="Calibri"/>
        <family val="2"/>
        <charset val="204"/>
      </rPr>
      <t>водогони</t>
    </r>
    <r>
      <rPr>
        <sz val="11"/>
        <color theme="1"/>
        <rFont val="Calibri"/>
        <family val="2"/>
        <charset val="204"/>
      </rPr>
      <t xml:space="preserve"> водозабору "Сокіл" у м. Новій Каховці - реконструкція</t>
    </r>
  </si>
  <si>
    <t>коригуван-ня назви</t>
  </si>
  <si>
    <t>2400 тис. (загальний фонд) - Раденська загальноосвітня школа I - II ступеня по вул. Гагаріна, 1б, у с. Раденськ Олешківського району - реконструкція будівельних конструкцій будівлі</t>
  </si>
  <si>
    <t>3007,020 тис. (загальний фонд) - створення Центру безпеки Зеленопідської територіальної громади, у тому числі з придбанням пожежної машини</t>
  </si>
  <si>
    <t>8797,828 тис. (загальний фонд) - дитячий садок по вул. 40 років Перемоги, 35а, у с. Музиківка Білозерського району - реконструкція (з доведенням до 180 місць)</t>
  </si>
  <si>
    <t>9250 тис. (3826,362 тис. - загальний фонд, 5423,638 тис. - спеціальний фонд) - стадіон "Кристал" по вул. Лютеранській, 3, у м. Херсоні - реконструкція тренувального поля</t>
  </si>
  <si>
    <t>12431,365 тис. (спеціальний фонд) - спортивно-футбольне поле "Дніпро" спортивного комплексу стадіону "Енергія" по просп. Дніпровському, 28, у м. Новій Каховці - капітальний ремонт</t>
  </si>
  <si>
    <t>46157,797 тис. (загальний фонд) - встановлення світлосигнальної системи ВВІ-1 на аеродромі аеропорту "Херсон" - реконструкція</t>
  </si>
  <si>
    <t>ХМЕЛЬНИЦЬКА ОБЛАСТЬ
усього - 248970,098 тис. гривень (219025,596 тис. - загальний фонд, 29944,502 тис. - спеціальний фонд), у тому числі:</t>
  </si>
  <si>
    <t>8875,8 тис. (загальний фонд) - загальноосвітня школа по вул. Садовій, 1а, в с. Залужжя Білогірського району - будівництво</t>
  </si>
  <si>
    <t>1990-2021</t>
  </si>
  <si>
    <t>4000 тис. (загальний фонд) - очисні споруди каналізації потужністю 500 куб. метрів на добу в смт Віньківці Віньковецького району - будівництво</t>
  </si>
  <si>
    <t>900 тис. (загальний фонд) - парк культури та відпочинку по вул. Миру в м. Деражня - реконструкція та влаштування спортивного сектору</t>
  </si>
  <si>
    <t>5222,7 тис. (загальний фонд) - водогін в смт Дунаївці Дунаєвецького району - реконструкція</t>
  </si>
  <si>
    <t>2000 тис. (загальний фонд) - підвідний газопровід середнього тиску до сіл Суржа, Нагоряни, Лісківці, Рихта, Слобідка-Рихтівська, Вільне, Залісся Перше, Параївка, Чорнокозинці, Мілівці, Кудринці, Кізя-Кудринецька, Завалля, Червона Діброва, Вітківці, Добровілля, Кізя, Адамівка, Нововолодимирівка, Шустівці, Ніверка, Підпилип'я, Подоляни Кам'янець-Подільського району - будівництво</t>
  </si>
  <si>
    <t>2093,498 тис. (1000 тис. - загальний фонд, 1093,498 тис. - спеціальний фонд) - дитячий садок по вул. Центральній, 13, в с. Вербка Кам'янець-Подільського району - реконструкція</t>
  </si>
  <si>
    <t>12000 тис. (7000 тис. - загальний фонд, 5000 тис. - спеціальний фонд) - котельня по вул. Партизанській, 3, в м. Красилові - реконструкція під спортивно-реабілітаційний центр з добудовою</t>
  </si>
  <si>
    <t>4550 тис. (загальний фонд) - Летичівський навчально-виховний комплекс N 2 - загальноосвітня школа I - III ступеня гімназія по вул. Радянській, 1, в смт Летичів - реконструкція</t>
  </si>
  <si>
    <t>159,3 тис. (загальний фонд) - очисні споруди, смт Летичів - реконструкція (погашення кредиторської заборгованості)</t>
  </si>
  <si>
    <t>3741 тис. (загальний фонд) - Новоушицький навчально-виховний комплекс "Загальноосвітня школа I - III ступеня N 1, гімназія" по вул. Подільська, 27, в смт Нова Ушиця - капітальний ремонт будівлі корпусу N 1</t>
  </si>
  <si>
    <t>9000 тис. (загальний фонд) - школа на 274 учні та сільський клуб на 400 відвідувачів, с. Новолабунь Полонського району - будівництво</t>
  </si>
  <si>
    <t>11000 тис. (загальний фонд) - водопровідні мережі по вулицях Пушкіна, Привокзальній, Лесі Українки, Н. С. Говорун, Академіка Герасимчука, Ходякова в м. Полонному та по ділянці Понінківського водоводу (на території м. Полонного) - реконструкція</t>
  </si>
  <si>
    <t>10550 тис. (загальний фонд) - опорний заклад - Малоправутинський навчально-виховний комплекс "Дошкільний навчальний заклад - школа I - III ступеня" (добудова спортивної зали, покращення енергоефективності будівлі) з впровадженням енергозберігаючих технологій по вул. Шкільній, 30, в с. Малий Правутин Славутського району</t>
  </si>
  <si>
    <t>3000 тис. (загальний фонд) - Будинок культури в с. Берездів Славутського району - капітальний ремонт з утепленням перекриття, утеплення фасадів, покращення енергоефективності будівлі з впровадженням енергозберігаючих технологій</t>
  </si>
  <si>
    <t>5000 тис. (загальний фонд) - Будинок культури на 500 місць по вул. Небесної Сотні, 9, в смт Теофіполь (із зменшенням місць до 493) - будівництво</t>
  </si>
  <si>
    <t>1992-2020</t>
  </si>
  <si>
    <t>2640 тис. (загальний фонд) - дитячий садок на 80 місць по вул. Московській, 8/1, в с. Давидківці Хмельницького району - будівництво</t>
  </si>
  <si>
    <t>572,557 тис. (загальний фонд) - спортивний майданчик із штучним покриттям для гри у міні-футбол по вул. Центральній, 27, в с. Ружичанка Хмельницького району - будівництво</t>
  </si>
  <si>
    <t>1068,3 тис. (загальний фонд) - Іванковецький навчально-виховний комплекс по вул. Шкільній, 2, в с. Іванківці Хмельницького району - капітальний ремонт</t>
  </si>
  <si>
    <t>3000 тис. (загальний фонд) - стадіон "Товтри" по вул. Центральній, 50, в смт Чемерівці - реконструкція</t>
  </si>
  <si>
    <t>2011-2021</t>
  </si>
  <si>
    <t>8000 тис. (загальний фонд) - створення умов для надання високоякісних освітніх послуг через реалізацію проекту "Реконструкція та модернізація приміщень Жердянської загальноосвітньої школи I - III ступеня в селі Жердя, вулиця Центральна, 35" в рамках реалізації концепції "Нова українська школа" Чемеровецького району</t>
  </si>
  <si>
    <t>5000 тис. (загальний фонд)- Чемеровецький навчально-виховний комплекс N 1 "Загальноосвітня школа I - III ступеня, ліцей та міжшкільний навчально-виробничий комбінат" по вул. Центральній, 46, в смт Чемерівці - реконструкція та модернізація приміщень в рамках реалізації концепції "Нова українська школа"</t>
  </si>
  <si>
    <t>12378 тис. (загальний фонд) - загальноосвітня школа I - III ступеня у с. Корчик Шепетівського району - будівництво</t>
  </si>
  <si>
    <t>1998-2019</t>
  </si>
  <si>
    <t>9331 тис. (4331 тис. - загальний фонд, 5000 тис. - спеціальний фонд) - Судилківська загальноосвітня школа I - III ступеня по вул. Шкільній, 1а, у с. Судилків Шепетівського району в рамках реалізації концепції "Нова українська школа" - капітальний ремонт будівлі</t>
  </si>
  <si>
    <t>4246 тис. (загальний фонд) - міська поліклініка N 1 по вул. І. Франка, 30, в м. Кам'янці-Подільському - реконструкція приміщення під розміщення лікувального діагностично-консультативного центру та фізіотерапевтичного відділення</t>
  </si>
  <si>
    <t>8000 тис. (5000 тис - загальний фонд, 3000 тис. - спеціальний фонд) - навчально-виховний комплекс "Загальноосвітня школа I - III ступеня, гімназія" по вул. Соборності, 9, в м. Славуті - реконструкція корпусу N 1</t>
  </si>
  <si>
    <t>6383,819 тис. (загальний фонд) - Хмельницький обласний кардіологічний диспансер по вул. Володимирській, 85, у м. Хмельницькому - реконструкція будівель</t>
  </si>
  <si>
    <t>8372 тис. (6372 тис. - загальний фонд, 2000 тис. - спеціальний фонд) - Хмельницький обласний онкологічний диспансер по вул. Пілотській, 1, у м. Хмельницькому - капітальний ремонт будівлі</t>
  </si>
  <si>
    <t>32477,443 тис. (24873,814 тис. - загальний фонд, 7603,629 тис. - спеціальний фонд) - Хмельницька обласна дитяча лікарня по вул. Кам'янецькій, 94, у м. Хмельницькому - будівництво лікувально-діагностичного корпусу</t>
  </si>
  <si>
    <t>7300 тис. (спеціальний фонд) - будинок культури по вул. Перемоги у смт Понінка Полонського району - капітальний ремонт</t>
  </si>
  <si>
    <t>9000 тис. (загальний фонд) - стадіон "Центральний" по вул. Острозького, 43, у м. Старокостянтинові - реконструкція бігових доріжок</t>
  </si>
  <si>
    <t>очисні споруди у смт Летичів Летичівського району - реконструкція</t>
  </si>
  <si>
    <t>3000 тис. (загальний фонд) - стадіон у смт Наркевичі Волочиського району - реконструкція</t>
  </si>
  <si>
    <t>3000 тис. (2000 тис. - загальний фонд, 1000 тис. - спеціальний фонд) - міський стадіон імені Г. А. Тонкочеєва по просп. Грушевського, 29, у м. Кам'янці-Подільському - капітальний ремонт</t>
  </si>
  <si>
    <t>14000 тис. (11000 тис. - загальний фонд, 3000 тис. - спеціальний фонд) - загальноосвітня школа I - III ступеня по вул. Б. Хмельницького, 44, у смт Сатанів Городоцького району - реконструкція</t>
  </si>
  <si>
    <t>3000 тис. (загальний фонд) - Солобковецька загальноосвітня школа по вул. Грушевського, 27/1, у с. Солобківці Ярмолинецького району - реконструкція будівлі під комунальний заклад "Центр позашкільної освіти" Солобковецької сільської ради</t>
  </si>
  <si>
    <t>2500 тис. (загальний фонд) - Деражнянська загальноосвітня школа I - III ступеня N 2 по вул. Лесі Українки, 9, у м. Деражні - капітальний ремонт будівлі</t>
  </si>
  <si>
    <t>3000 тис. (загальний фонд) - Лісоводська загальноосвітня школа I - III ступеня по вул. Перемоги, 4, у с. Лісоводи Городоцького району - капітальний ремонт будівлі</t>
  </si>
  <si>
    <t>2500 тис. (загальний фонд) - Заслучненський ліцей імені О. Іщука по вул. Шкільній, 1, у с. Заслучне Красилівського району - капітальний ремонт</t>
  </si>
  <si>
    <t>2500 тис. (загальний фонд) - Цвітоське навчально-виховне об'єднання "Дошкільний навчальний заклад, загальноосвітня школа I - III ступеня, школа мистецтв" Славутської районної ради - нове будівництво спортзалу з улаштуванням протирадіаційного укриття</t>
  </si>
  <si>
    <t>6883,681 тис. (5332,677 тис. - загальний фонд, 1551,004 тис. - спеціальний фонд) - мережі водопроводу та каналізації в мікрорайоні Лезнево у м. Хмельницькому - реконструкція</t>
  </si>
  <si>
    <t>2000 тис. (загальний фонд) - каналізаційна насосна станція по вул. Горинській, 43а, та каналізаційний напірний колектор у м. Ізяславі - реконструкція</t>
  </si>
  <si>
    <t>3000 тис. (загальний фонд) - амбулаторія сімейної практики загальної медицини по вул. Подільській, 31, у с. Гуків Чемеровецького району - створення центру безпеки громадян Гуківської об'єднаної територіальної громади Чемеровецького району шляхом реконструкції будівлі</t>
  </si>
  <si>
    <t>3800 тис. (загальний фонд) - Дунаєвецька селищна рада по вул. Чорновола, 19, у смт Дунаївці Дунаєвецького району - реконструкція будівлі під центр надання адміністративних послуг та адміністративне приміщення</t>
  </si>
  <si>
    <t>2675 тис. (загальний фонд) - організація сортування твердих побутових відходів Волочиським комунальним підприємством "ЖЕК" на території полігону твердих побутових відходів Волочиської міської ради</t>
  </si>
  <si>
    <t>3000 тис. (2000 тис. - загальний фонд, 1000 тис. - спеціальний фонд) - Старосинявський навчально-виховний комплекс "Загальноосвітня школа I - III ступеня - гімназія" у смт Стара Синява Старосинявського району - реконструкція</t>
  </si>
  <si>
    <t>2500 тис. (загальний фонд) - створення умов для надання високоякісних освітніх послуг через реалізацію проекту "Реконструкція та модернізація приміщень в Закупнянській загальноосвітній школі I - III ступеня по вул. Центральній, 7, у смт Закупне Чемеровецького району"</t>
  </si>
  <si>
    <t>2000 тис. (загальний фонд) - Дунаєвецька загальноосвітня школа I - III ступеня N 3 по вул. Шевченка, 109а, у м. Дунаївцях Дунаєвецького району - капітальний ремонт</t>
  </si>
  <si>
    <t>2000 тис. (загальний фонд) - Новоушицький навчально-виховний комплекс "Загальноосвітня школа I - III ступеня - гімназія" по вул. Подільській, 27, у смт Нова-Ушиця Новоушицького району - капітальний ремонт будівлі гуртожитку</t>
  </si>
  <si>
    <t>8000 тис. (загальний фонд) - котельня по вул. Залізничній, 24/3, у смт Ярмолинці Ярмолинецького району - реконструкція будівлі із встановленням твердопаливного котла</t>
  </si>
  <si>
    <r>
      <t>ЧЕРКАСЬКА ОБЛАСТЬ
усього - 160368,456 тис. гривень (138941,633 тис. - загальний фонд, 21426,823 тис. - спеціальний фонд), у тому </t>
    </r>
    <r>
      <rPr>
        <sz val="11"/>
        <color theme="1"/>
        <rFont val="Calibri"/>
        <family val="2"/>
        <charset val="204"/>
      </rPr>
      <t>числі:</t>
    </r>
  </si>
  <si>
    <t>27692,65 тис. (загальний фонд) - Черкаський академічний обласний український музично-драматичний театр імені Т. Г. Шевченка по бульв. Шевченка, 234, в м. Черкасах - реконструкція з метою ліквідації наслідків надзвичайної ситуації техногенного характеру внаслідок пожежі, яка сталася 1 липня 2015 р. у приміщенні театру (перша черга)</t>
  </si>
  <si>
    <t>31488,372 тис. (26593,162 тис. - загальний фонд, 4895,210 тис. - спеціальний фонд) - адміністративна будівля (літер А"-1) обласної спеціалізованої дитячо-юнацької спортивної школи олімпійського резерву по вул. Пастерівській, 102, м. Черкаси - реконструкція з надбудовою другого поверху та добудовою спортивних залів</t>
  </si>
  <si>
    <t>61514,645 тис. (61302,28 тис. - загальний фонд, 212,365 тис. - спеціальний фонд) - комунальне підприємство "Аеропорт Черкаси Черкаської обласної ради" по вул. Смілянській, 168, в м. Черкасах - капітальний ремонт штучної злітно-посадкової смуги</t>
  </si>
  <si>
    <t>1877,577 тис. (загальний фонд) - впровадження заходів щодо покращення інфраструктури с. Білозір'я Черкаського району шляхом будівництва велосипедної доріжки по вул. Незалежності від вул. Гагаріна до вул. Чмиренка</t>
  </si>
  <si>
    <t>572,645 тис. (спеціальний фонд) - комунальне підприємство "Фізкультурно-оздоровчий спортивний комплекс "Атлант" Кам'янської районної ради по вул. Героїв Майдану, 48, в м. Кам'янці - капітальний ремонт і термомодернізація приміщення</t>
  </si>
  <si>
    <t>219,043 тис. (спеціальний фонд) - дошкільний навчальний заклад "Сонечко" в с. Пляківка Ревівської сільської ради Кам'янського району - капітальний ремонт</t>
  </si>
  <si>
    <t>985,817 тис. (спеціальний фонд) - Ротмістрівська загальноосвітня школа I - III ступеня Смілянської районної ради - реконструкція будівлі (утеплення фасаду, заміна вікон та вхідних груп)</t>
  </si>
  <si>
    <t>135,573 тис. (спеціальний фонд) - дошкільний навчальний заклад "Барвінок" в с. Куцівка Смілянського району - капітальний ремонт будівлі з впровадженням енергозберігаючих заходів (утеплення фасаду, заміна вікон та вхідних груп)</t>
  </si>
  <si>
    <t>802,65 тис. (спеціальний фонд) - Смілянська центральна районна лікарня імені Софії Бобринської по вул. Софіївській, 2, в м. Смілі - реконструкція мережі опалення п'ятиповерхової будівлі</t>
  </si>
  <si>
    <t>1055,048 тис. (спеціальний фонд) - Смілянська міська лікарня по вул. 60-річчя СРСР (Героїв Холодноярців), 82, в м. Смілі - реконструкція інфекційного відділення</t>
  </si>
  <si>
    <t>1198,485 тис. (спеціальний фонд) - Смілянське водосховище на р. Тясмин - капітальний ремонт переливної греблі</t>
  </si>
  <si>
    <t>415,335 тис. (спеціальний фонд) - придбання спецтехніки для комунального підприємства "Відродження" Матусівської сільської ради</t>
  </si>
  <si>
    <t>6079,337 тис. (спеціальний фонд) - сільські населені пункти Черкаської області - комплекс заходів із забезпечення якісною питною водою, другий етап, зокрема:</t>
  </si>
  <si>
    <t>- 307,441 тис. (спеціальний фонд) - водопровід від свердловини N 1 в смт Цибулів Монастирищенського району - капітальний ремонт</t>
  </si>
  <si>
    <t>- 315,674 тис. (спеціальний фонд) - водопровід від свердловини N 2, смт Цибулів Монастирищенського району - капітальний ремонт</t>
  </si>
  <si>
    <t>- 114,972 тис. (спеціальний фонд) - водонапірна башта від свердловини N 443 в с. Івахни Монастирищенського району - капітальний ремонт</t>
  </si>
  <si>
    <t>- 172,315 тис. (спеціальний фонд) - водонапірна башта від свердловини N 1888 в с. Івахни Монастирищенського району - капітальний ремонт</t>
  </si>
  <si>
    <t>- 500,08 тис. (спеціальний фонд) - водогін по вулицях О. Кошового, 40-річчя Перемоги, Шевченка, Л. Українки, Героїв Космосу, Героїв, Мічуріна, Вишневій, Молодіжній, Садовій та Центральній в с. Бачкурине Монастирищенського району - будівництво</t>
  </si>
  <si>
    <t>- 372,056 тис. (спеціальний фонд) - водогін по вулицях Садовій, Шкільній, Герцена, Гагаріна, Незалежності, Молодіжній та Польовій в с. Халаїдове Монастирищенського району - будівництво</t>
  </si>
  <si>
    <t>- 118,656 тис. (спеціальний фонд) - мережа водопостачання від свердловини N 1598 в с. Краснопілка Уманського району - будівництво</t>
  </si>
  <si>
    <t>- 350,948 тис. (спеціальний фонд) - напірний водогін по вулицях Садовій, Соборній, Козацькій, Церковній, Шевченка, Маяковського, Першотравневій, Стрілецькій в с. Паланка Уманського району - будівництво</t>
  </si>
  <si>
    <t>- 707,531 тис. (спеціальний фонд) - водогін в с. Кузьмина Гребля Христинівського району - будівництво</t>
  </si>
  <si>
    <t>- 614,81 тис. (спеціальний фонд) - водогін в с. Орадівка Христинівського району - будівництво</t>
  </si>
  <si>
    <t>- 630,638 тис. (спеціальний фонд) - водогін в с. Шукайвода Христинівського району - будівництво</t>
  </si>
  <si>
    <t>- 1206,234 тис. (спеціальний фонд) - водогін в с. Христинівка Христинівського району - будівництво</t>
  </si>
  <si>
    <t>- 216,441 тис. (спеціальний фонд) - водогін по вулицях Дружби та Південній в с. Верхнячка Христинівського району - будівництво</t>
  </si>
  <si>
    <t>- 388,039 тис. (спеціальний фонд) - водогін в с. Козаче Христинівського району - будівництво</t>
  </si>
  <si>
    <t>- 63,502 тис. (спеціальний фонд) - водогін в с. Мала Севастянівка Христинівського району - будівництво</t>
  </si>
  <si>
    <t>15300 тис. (14022,8 тис. - загальний фонд, 1277,2 тис. - спеціальний фонд) - обласний центр екстреної медичної допомоги та медицини катастроф Черкаської обласної ради по вул. Корольова, 15в, у м. Черкасах - будівництво</t>
  </si>
  <si>
    <r>
      <t xml:space="preserve">5067,68 тис. (спеціальний фонд) - Смілянська дитячо-юнацької спортивна школа "Олімп" по вул. Мічуріна, 43, у м. Смілі - комплексний капітальний ремонт будівлі </t>
    </r>
    <r>
      <rPr>
        <sz val="11"/>
        <color rgb="FFFF0066"/>
        <rFont val="Calibri"/>
        <family val="2"/>
        <charset val="204"/>
      </rPr>
      <t xml:space="preserve">легкоатлетичного </t>
    </r>
    <r>
      <rPr>
        <sz val="11"/>
        <color theme="1"/>
        <rFont val="Calibri"/>
        <family val="2"/>
        <charset val="204"/>
      </rPr>
      <t>манежу та благоустрій території стадіону "Юність"</t>
    </r>
  </si>
  <si>
    <t>9905,643 тис. (загальний фонд) - Умань - туристична перлина України. Розбудова та облаштування туристичного об'єкту - Набережної Осташівського ставу в м. Умані. Капітальний ремонт прибережної території Осташівського ставу</t>
  </si>
  <si>
    <t>ЧЕРНІВЕЦЬКА ОБЛАСТЬ 
усього - 170278,364 тис. гривень (157084,407 тис. - загальний фонд, 13193,957 тис. - спеціальний фонд), у тому числі:</t>
  </si>
  <si>
    <t>9528,106 тис. (загальний фонд) - туристична мультифункціональна база "Перлина гір" по вул. Кобилянської, 90, с. Банилів-Підгірний Сторожинецького району - реконструкція</t>
  </si>
  <si>
    <t>640,859 тис. (загальний фонд) - Новодністровська міська гімназія в м. Новодністровську - нове будівництво поля для гри в міні-футбол з подальшим облаштуванням зони благоустрою</t>
  </si>
  <si>
    <t>5787,134 тис. (загальний фонд) - нежитлова будівля (кінотеатр) по вул. Центральній, 92, в м. Новоселиці - реконструкція з прибудовою під спортивний комплекс</t>
  </si>
  <si>
    <t>13620,956 тис. (загальний фонд) - будинок культури Мамалигівської сільської ради по вул. Головній, 79, в с. Мамалига Новоселицького району - реконструкція з добудовою адміністративних приміщень та центру надання адміністративних послуг</t>
  </si>
  <si>
    <t>4022,838 тис. (загальний фонд) - водогін та водонапірні башти в м. Хотині - будівництво</t>
  </si>
  <si>
    <t>3125 тис. (загальний фонд) - мережі водопостачання, водовідведення та зливових стоків до індустріального парку в м. Новодністровську - будівництво</t>
  </si>
  <si>
    <t>1316,685 тис. (загальний фонд) - парк відпочинку в м. Сокирянах Сокирянського району - реконструкція</t>
  </si>
  <si>
    <t>5811,752 тис. (загальний фонд) - будинок культури по вул. Головній, 44, в с. Рукшин Хотинського району - реконструкція з добудовою та надбудовою адміністративних приміщень</t>
  </si>
  <si>
    <t>18000 тис. (загальний фонд) - існуюча школа в с. Горішні Шерівці Заставнівського району - реконструкція з добудовою учбового корпусу, спортивного залу, їдальні</t>
  </si>
  <si>
    <t>18000 тис. (загальний фонд) - загальноосвітня школа I - III ступеня на 240 учнівських місць навчання по вул. Центральній, с. Усть-Путила Путильського району - будівництво</t>
  </si>
  <si>
    <t>16000 тис. (загальний фонд) - загальноосвітня школа I - III ступеня та дошкільний навчальний заклад на 450 місць (350 учнівських та 100 місць дошкільного віку), с. Кам'янка Глибоцького району - реконструкція з добудовою корпусів</t>
  </si>
  <si>
    <t>3138,223 тис. (загальний фонд) - Їжівська загальноосвітня школа I - II ступеня по вул. Штефан чел Маре, 154, с. Їжівці (Урсоя) Сторожинецького району - реконструкція</t>
  </si>
  <si>
    <t>18000 тис. (загальний фонд) - будівля спорткомплексу по вул. Небесної Сотні, 6, в м. Чернівцях - реконструкція з прибудовою</t>
  </si>
  <si>
    <t>1665,648 тис. (загальний фонд) - обласна клінічна лікарня в м. Чернівцях - капітальний ремонт фасадів (корпуси N 3, 5, 6, 7, 8 і 12), покрівлі корпусу N 8; сантехнічних мереж та благоустрій території</t>
  </si>
  <si>
    <t>8151 тис. (загальний фонд) - міжмуніципальне співробітництво територіальних громад Хотинського району у сфері управління твердими побутовими відходами</t>
  </si>
  <si>
    <t>1800 тис. (загальний фонд) - Оршівецький загальноосвітній навчальний заклад I - III ступеня по вул. Незалежності, с. Оршівці Кіцманського району - добудова спортивного залу з внутрішніми вбиральнями</t>
  </si>
  <si>
    <t>900 тис. (загальний фонд) - обласна комунальна установа "Лікарня швидкої медичної допомоги" по вул. Фастівській, 2, в м. Чернівцях - капітальний ремонт приміщень відділень (п'ятий та шостий поверхи)</t>
  </si>
  <si>
    <t>3800,486 тис. (загальний фонд) - зовнішні мережі водопостачання та водовідведення в смт Кельменці - реконструкція</t>
  </si>
  <si>
    <t>27033,356 тис. (15976,891 тис. – загальний фонд, 11056,465 тис. - спеціальний фонд) - загальноосвітня школа I - III ступеня с. Рідківці Новоселицького району - будівництво</t>
  </si>
  <si>
    <t>1153,457 тис. (загальний фонд) - районний будинок культури по вул. Шевченка, 1, смт Путила - капітальний ремонт</t>
  </si>
  <si>
    <t>3727,430 тис. (1714,600 тис. - загальний фонд, 2012,83 тис. - спеціальний фонд) - Вашківецька загальноосвітня школа I - III ступеня по вул. Грушевського, 3, у м. Вашківці Вижницького району - капітальний ремонт (комплексна термомодернізація)</t>
  </si>
  <si>
    <t>5694,911 тис. (2619,6 тис. - загальний фонд, 3075,311 тис. - спеціальний фонд) - Вікнянський заклад загальної середньої освіти I - III ступеня по вул. Бажанського, 17, у с. Вікно Заставнівського району - капітальний ремонт з проведенням заходів щодо застосування енергоефективних засобів з метою зменшення енерговитратності та підвищення енергоефективності (заміна покриття даху, утеплення фасаду та горищного перекриття)</t>
  </si>
  <si>
    <t>4581,635 тис. (2107,500 тис. - загальний фонд, 2474,135 тис. - спеціальний фонд) - загальноосвітній навчальний заклад по вул. Головній, 9, у с. Южинець Кіцманського району - капітальний ремонт</t>
  </si>
  <si>
    <t>5001,142 тис. (2300,5 тис. - загальний фонд, 2700,642 тис. - спеціальний фонд) - Сторожинецька центральна районна лікарня по вул. Видинівського, 22, у м. Сторожинці Сторожинецького району - капітальний ремонт</t>
  </si>
  <si>
    <t>6211,102 тис. (3280,063 тис. - загальний фонд, 2931,039 тис. - спеціальний фонд) - будівля школи-інтернату під дошкільний навчальний заклад по вул. Головній, 105, у с. Колінківці Хотинського району - реконструкція</t>
  </si>
  <si>
    <t>3000 тис. (загальний фонд) — приміщення корпусу (літ А,Б) Чернівецького обласного клінічного онкологічного диспансеру по вул. Героїв Майдану, 242, м. Чернівці — реконструкція</t>
  </si>
  <si>
    <t>2566,644 тис. (спеціальний фонд) — Недобоївський начально – виховний комплекс (дитячий дошкільний заклад) по вул. Козацької Слави, 15 в с. Недобоївці Хотинського району — реконструкція</t>
  </si>
  <si>
    <t>ЧЕРНІГІВСЬКА ОБЛАСТЬ
усього - 210243,864 тис. гривень (186395,137 тис. - загальний фонд, 23848,727 тис. - спеціальний фонд), у тому числі:</t>
  </si>
  <si>
    <t>4287,086 тис. (загальний фонд) - спеціалізована дитячо-юнацька школа олімпійського резерву з футболу "Юність" по просп. Перемоги, 110, у м. Чернігові - реконструкція стадіону (погашення кредиторської заборгованості)</t>
  </si>
  <si>
    <t>19049,14 тис. (загальний фонд) - спеціалізована дитячо-юнацька школа олімпійського резерву з футболу "Юність" по просп. Перемоги, 110, у м. Чернігові - реконструкція стадіону</t>
  </si>
  <si>
    <t>1612,482 тис. (загальний фонд) - пологово-гінекологічне відділення по вул. Жовтневій, 66, в м. Бахмачі - реконструкція із застосуванням енергозберігаючих технологій</t>
  </si>
  <si>
    <t>7606,557 тис. (загальний фонд) - будівля головного корпусу комунально-лікувального профілактичного закладу "Чернігівська обласна дитяча лікарня" по вул. Пирогова, 16, в м. Чернігові - капітальний ремонт із застосуванням енергозберігаючих технологій по комплексній термомодернізації</t>
  </si>
  <si>
    <t>21893,526 тис. (13012,331 тис. – загальний фонд, 8881,195 тис. – спеціальний фонд) - комунальний лікувально-профілактичний заклад "Чернігівський обласний онкологічний диспансер" по просп. Миру, 211, в м. Чернігові - реконструкція будівлі променевої терапії (радіологія) (коригування)</t>
  </si>
  <si>
    <t>18000 тис. (загальний фонд) - Корюківська загальноосвітня школа I - III ступеня N 1 по вул. Шевченка, 54, в м. Корюківці - реконструкція з енергоефективними заходами та створення нового освітнього простору з виділенням черговості: перша черга - зовнішнє утеплення; друга черга - заміна покриття, зовнішніх вікон та дверей; третя черга - внутрішнє опорядження та заміна інженерних мереж з улаштуванням індивідуального теплового пункту</t>
  </si>
  <si>
    <t>5306,109 тис. (загальний фонд) - Ріпкинська загальноосвітня школа I - III ступеня N 2, по вул. Пирогова, 5, у смт Ріпки - капітальний ремонт покрівлі з виділенням черговості: перша черга - утеплення перекриття корпусу N 1; друга черга - утеплення покриття корпусу N 2; третя черга - утеплення перекриття корпусу N 3 (у рамках впровадження комплексу заходів з енергозбереження)</t>
  </si>
  <si>
    <t>перехідні за 2017 рік, із виклю-чених</t>
  </si>
  <si>
    <t>1143,69 тис. (загальний фонд)- дошкільний навчальний заклад "Сонечко" по вул. Пролетарській, 1, в м. Мені - енергоефективна реновація (капітальний ремонт)</t>
  </si>
  <si>
    <t>650 тис. (загальний фонд) - школа I - II ступеня N 14 по вул. Шекерогринівській, 54а, в м. Ніжині - реконструкція приміщень з метою відкриття дошкільного навчального закладу в системі навчально-виховного комплексу школа-сад N 14</t>
  </si>
  <si>
    <t>1850,231 тис. (загальний фонд) - Чернігівський обласний академічний український музично-драматичний театр імені Т. Г. Шевченка по просп. Миру, 23, в м. Чернігові - реконструкція будівлі з застосуванням заходів теплореновації</t>
  </si>
  <si>
    <t>5066,899 тис. (загальний фонд) - музична школа N 1 імені С. В. Вільконського по вул. Мстиславській, 3а, в м. Чернігові, на земельній ділянці, яка знаходиться в постійному користуванні замість існуючої адміністративної будівлі - будівництво прибудови</t>
  </si>
  <si>
    <t>2055,876 тис. (загальний фонд) - Сновський дитячий заклад оздоровлення та відпочинку "Дружба" по вул. Залізничній, 41, в м. Сновську - капітальний ремонт приміщень будівель та споруд</t>
  </si>
  <si>
    <t>14703,357 тис. (загальний фонд) - школа N 5 на 520 місць по вул. Вокзальній у м. Носівці - будівництво</t>
  </si>
  <si>
    <t>5570,515 тис. (загальний фонд) - Куликівський заклад загальної середньої освіти I - III ступеня по вул. Шевченка, 4, у смт Куликівка Куликівської селищної ради - капітальний ремонт головного корпусу із застосуванням енергозберігаючих технологій з комплексної термомодернізації</t>
  </si>
  <si>
    <t>8000 тис. (загальний фонд) - придбання апарата комп'ютерної томографії для раннього виявлення злоякісних новоутворень, туберкульозу та діагностики інших складних захворювань у жителів Менського та сусідніх районів для потреб комунального некомерційного підприємства "Менська центральна районна лікарня"</t>
  </si>
  <si>
    <t>7866,377 тис. (загальний фонд) - центр надання адміністративних послуг по вул. Дружба, 88, у с. Іванівці Чернігівського району - будівництво</t>
  </si>
  <si>
    <t>5426,185 тис. (загальний фонд) - комунальний заклад "Семенівський міський палац культури" по вул. Червона площа, 7а, у м. Семенівці - реконструкція зали для фізкультурно-оздоровчих занять в існуючій прибудові до будівлі із впровадженням комплексних заходів з теплореновації</t>
  </si>
  <si>
    <t>6480 тис. (3000 тис. - загальний фонд, 3480 тис. - спеціальний фонд) - комунальний лікувально-профілактичний заклад "Чернігівська обласна психоневрологічна лікарня", 4-й кілометр Гомельського шосе, 6, Халявинська сільська рада Чернігівського району - капітальний ремонт із застосуванням енергозберігаючих технологій з комплексної термомодернізації будівель лікувально-профілактичних корпусів відділень N 1, 2, 5, 6, 9, 10, 16 та переходи між ними, триповерхової будівлі, п'ятиповерхової будівлі комплексу N 2 з виділенням черговості (перша черга)</t>
  </si>
  <si>
    <r>
      <t>4265,102 тис. (загальний фонд) - заклад загальної середньої освіти N 2 по вул. Троїцькій, 2а, у м. Городні Городнянського району - капітальний ремонт із впровадженням комплексних заходів з теплореновації з виділенням черговості (</t>
    </r>
    <r>
      <rPr>
        <sz val="11"/>
        <color rgb="FFFF0066"/>
        <rFont val="Calibri"/>
        <family val="2"/>
        <charset val="204"/>
      </rPr>
      <t>перша</t>
    </r>
    <r>
      <rPr>
        <sz val="11"/>
        <color theme="1"/>
        <rFont val="Calibri"/>
        <family val="2"/>
        <charset val="204"/>
      </rPr>
      <t>, друга черга)</t>
    </r>
  </si>
  <si>
    <t>зменшено; 
коригуван-ня назви, ОТГ</t>
  </si>
  <si>
    <t>6000 тис. (4000 тис. - загальний фонд, 2000 тис. - спеціальний фонд) - Журавська загальноосвітня школа I - III ступеня імені Г. Ф. Вороного у с. Журавка Варвинського району - реконструкція із впровадженням комплексних заходів з теплореновації з виділенням черговості (перша черга)</t>
  </si>
  <si>
    <t>4500,855 тис. (3000 тис. - загальний фонд, 1500,855 тис. - спеціальний фонд) - Чайкинський навчально-виховний комплекс Новгород-Сіверської районної ради по вул. Л. Кучми, 41, у с. Чайкине Новгород-Сіверського району - капітальний ремонт фасаду будівлі</t>
  </si>
  <si>
    <t>2944,474 тис. (загальний фонд) - дошкільний навчальний заклад "Сонечко" по вул. Квітковій, 2, у смт Сосниця Сосницького району - реконструкція із впровадженням комплексних заходів з теплореновації з виділенням черговості (друга черга)</t>
  </si>
  <si>
    <t>5171,633 тис. (загальний фонд) - будівля під Центр підтримки підприємництва, інновацій та стартапів по вул. Преображенській, 12, у м. Чернігові - капітальний ремонт</t>
  </si>
  <si>
    <t>4330,172 тис. (загальний фонд) - 6-ти квартирний житловий будинок N 2 по вул. Шевченка, 61в, у м. Мені - будівництво</t>
  </si>
  <si>
    <t>7200 тис. (5900 тис. - загальний фонд, 1300 тис. - спеціальний фонд) - Григорівська загальноосвітня школа I - III ступеня на 11 класів у с. Григорівка Бахмацького району - будівництво з виділенням черговості (коригування) (перша черга)</t>
  </si>
  <si>
    <t>6305,688 тис. (загальний фонд) - будівля хірургічного корпусу (відділення інтервенційне) комунального лікувально-профілактичного закладу "Чернігівська обласна лікарня" по вул. Волковича, 25, у м. Чернігові - реконструкція</t>
  </si>
  <si>
    <t>4197,439 тис. (загальний фонд) - пам'ятка архітектури місцевого значення - будівля Обласного комунального концертно-видовищного підприємства "Чернігівський обласний філармонійний центр фестивалів та концертних програм" - реставрація з виділенням черговості (перша черга)</t>
  </si>
  <si>
    <t>5000 тис. (загальний фонд) - Безуглівський навчально-виховний комплекс "Загальноосвітній навчальний заклад - дошкільний навчальний заклад I - III ступенів" по вул. Горького, 58а, у с. Безуглівка Ніжинського району - капітальний ремонт із впровадженням комплексних заходів з теплореновації</t>
  </si>
  <si>
    <t>10282,468 тис. (4282,468 тис. - загальний фонд, 6000 тис. - спеціальний фонд) - комунальна установа "Обласний центр комплексної реабілітації дітей з інвалідністю "Відродження" Чернігівської обласної ради по вул. Доценка, 34, у м. Чернігові - реконструкція будівель з впровадженням комплексних заходів з теплореновації</t>
  </si>
  <si>
    <t>5085,14 тис. (4085,14 тис. - загальний фонд, 1000 тис. - спеціальний фонд) - двоповерхова прибудова по вул. Шевченка, 160а, у м. Чернігові - реконструкція під відділення екстреної медичної допомоги із застосуванням енергозберігаючих технологій з комплексної термомодернізації будівлі</t>
  </si>
  <si>
    <t>7403,816 тис. (4732,499 тис. - загальний фонд, 2671,317 тис. - спеціальний фонд) - кінотеатр комунальної установи "Чернігівський обласний молодіжний центр" Чернігівської обласної ради по вул. Магістратській, 3, у м. Чернігові - реконструкція будівлі для створення Хабу соціального партнерства, підприємництва та інституційного розвитку в Чернігівській області з виділенням черговості (перша, третя черги)</t>
  </si>
  <si>
    <t>3196,541 (загальний фонд) - кінотеатр "Літній" по вул. Б. Майстренка, 8, у м. Новгороді-Сіверському - реконструкція під спортивну залу (коригування)</t>
  </si>
  <si>
    <t>місто КИЇВ
усього - 316942,924 тис. гривень (279697,996 тис. - загальний фонд, 37244,928 тис. - спеціальний фонд), у тому числі:</t>
  </si>
  <si>
    <t>40000 тис. (25000 тис. - загальний фонд, 15000 тис. - спеціальний фонд) - дюкерні переходи через р. Дніпро - реконструкція</t>
  </si>
  <si>
    <t>6227,7 тис. (загальний фонд) - школа N 42 по вул. Хорольській, 19, у Дніпровському районі - реконструкція з прибудовою та надбудовою</t>
  </si>
  <si>
    <t>2008-2019</t>
  </si>
  <si>
    <t>100000,028 тис. (77755,1 тис. - загальний фонд, 22244,928 тис. - спеціальний фонд) - Бортницька станція аерації по вул. Колекторній, 1а, у Дарницькому районі. (Коригування). Перша черга будівництва. Насосна станція першого підйому - реконструкція споруд першої черги</t>
  </si>
  <si>
    <t>2012-2021</t>
  </si>
  <si>
    <t>42857,6 тис. (загальний фонд) - легкоатлетичний манеж школи вищої спортивної майстерності по просп. Павла Тичини, 18, у Дніпровському районі - реконструкція (із збереженням функції)</t>
  </si>
  <si>
    <t>2011-2019</t>
  </si>
  <si>
    <t>будівля бюджетної сфери (загальноосвітній навчальний заклад N 200) по вул. Семашка, 9, - термомодернізація (реконструкція)</t>
  </si>
  <si>
    <t>40000 тис. (загальний фонд) - середня загальноосвітня школа N 22 по просп. Відрадному, 36в, у Солом'янському районі - реконструкція з добудовою</t>
  </si>
  <si>
    <t>19655,51 тис. (загальний фонд) - об'єкт по вул. Воровського, 2, - реставрація з пристосуванням під розміщення Державного спеціалізованого мистецького навчального закладу "Київська дитяча школа мистецтв N 2 імені М. І. Вериківського" з прибудовою до нього концертної зали</t>
  </si>
  <si>
    <t>2005-2019</t>
  </si>
  <si>
    <t>25344,49 тис. (загальний фонд) - автомобільна дорога на ділянці між вул. О. Довбуша та Броварським проспектом - будівництво</t>
  </si>
  <si>
    <t>33224,696 тис. (загальний фонд) - школа I - III ступеня N 263 імені Євгена Коновальця по вул. Олександра Сабурова, 19б, - реконструкція (термомодернізація)</t>
  </si>
  <si>
    <t xml:space="preserve">{Перелік із змінами, внесеними згідно з Розпорядженням КМ № 492-р від 05.07.2019} </t>
  </si>
  <si>
    <t>Примітка</t>
  </si>
  <si>
    <t>Термін реалізацій проектів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</si>
</sst>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"/>
    <numFmt numFmtId="165" formatCode="0.000"/>
    <numFmt numFmtId="166" formatCode="#,##0.0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i/>
      <sz val="12"/>
      <color theme="1"/>
      <name val="Calibri"/>
      <family val="2"/>
      <charset val="204"/>
    </font>
    <font>
      <sz val="11"/>
      <color rgb="FFFF0066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4" fillId="0" borderId="0"/>
    <xf numFmtId="0" fontId="14" fillId="0" borderId="0"/>
  </cellStyleXfs>
  <cellXfs count="125">
    <xf numFmtId="0" fontId="0" fillId="0" borderId="0" xfId="0"/>
    <xf numFmtId="1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9" fillId="0" borderId="7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/>
    </xf>
    <xf numFmtId="0" fontId="5" fillId="2" borderId="11" xfId="0" applyFont="1" applyFill="1" applyBorder="1" applyAlignment="1">
      <alignment vertical="top" wrapText="1"/>
    </xf>
    <xf numFmtId="164" fontId="5" fillId="2" borderId="11" xfId="0" applyNumberFormat="1" applyFont="1" applyFill="1" applyBorder="1" applyAlignment="1">
      <alignment horizontal="center" vertical="center" wrapText="1"/>
    </xf>
    <xf numFmtId="164" fontId="5" fillId="2" borderId="12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1" fontId="0" fillId="3" borderId="13" xfId="0" applyNumberFormat="1" applyFill="1" applyBorder="1" applyAlignment="1">
      <alignment horizontal="center" vertical="center"/>
    </xf>
    <xf numFmtId="0" fontId="5" fillId="3" borderId="14" xfId="0" applyFont="1" applyFill="1" applyBorder="1" applyAlignment="1">
      <alignment vertical="top" wrapText="1"/>
    </xf>
    <xf numFmtId="164" fontId="5" fillId="3" borderId="14" xfId="0" applyNumberFormat="1" applyFont="1" applyFill="1" applyBorder="1" applyAlignment="1">
      <alignment horizontal="center" vertical="center" wrapText="1"/>
    </xf>
    <xf numFmtId="164" fontId="5" fillId="3" borderId="15" xfId="0" applyNumberFormat="1" applyFont="1" applyFill="1" applyBorder="1" applyAlignment="1">
      <alignment horizontal="center" vertical="center" wrapText="1"/>
    </xf>
    <xf numFmtId="1" fontId="5" fillId="3" borderId="14" xfId="1" applyNumberFormat="1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/>
    </xf>
    <xf numFmtId="0" fontId="11" fillId="0" borderId="1" xfId="0" applyFont="1" applyBorder="1" applyAlignment="1">
      <alignment vertical="top" wrapText="1"/>
    </xf>
    <xf numFmtId="164" fontId="11" fillId="0" borderId="1" xfId="0" applyNumberFormat="1" applyFont="1" applyBorder="1" applyAlignment="1">
      <alignment horizontal="center" vertical="center" wrapText="1"/>
    </xf>
    <xf numFmtId="164" fontId="11" fillId="0" borderId="17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164" fontId="0" fillId="0" borderId="0" xfId="0" applyNumberFormat="1"/>
    <xf numFmtId="0" fontId="11" fillId="4" borderId="1" xfId="0" applyFont="1" applyFill="1" applyBorder="1" applyAlignment="1">
      <alignment horizontal="center" vertical="center" wrapText="1"/>
    </xf>
    <xf numFmtId="1" fontId="0" fillId="5" borderId="16" xfId="0" applyNumberForma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top" wrapText="1"/>
    </xf>
    <xf numFmtId="164" fontId="11" fillId="5" borderId="1" xfId="0" applyNumberFormat="1" applyFont="1" applyFill="1" applyBorder="1" applyAlignment="1">
      <alignment horizontal="center" vertical="center" wrapText="1"/>
    </xf>
    <xf numFmtId="164" fontId="11" fillId="5" borderId="17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0" fontId="11" fillId="0" borderId="19" xfId="0" applyFont="1" applyBorder="1" applyAlignment="1">
      <alignment vertical="top" wrapText="1"/>
    </xf>
    <xf numFmtId="164" fontId="11" fillId="0" borderId="19" xfId="0" applyNumberFormat="1" applyFont="1" applyBorder="1" applyAlignment="1">
      <alignment horizontal="center" vertical="center" wrapText="1"/>
    </xf>
    <xf numFmtId="164" fontId="11" fillId="0" borderId="20" xfId="0" applyNumberFormat="1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vertical="top" wrapText="1"/>
    </xf>
    <xf numFmtId="0" fontId="11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3" fontId="5" fillId="3" borderId="14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top" wrapText="1"/>
    </xf>
    <xf numFmtId="164" fontId="11" fillId="4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vertical="top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4" borderId="17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1" fontId="15" fillId="8" borderId="16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vertical="top" wrapText="1"/>
    </xf>
    <xf numFmtId="164" fontId="16" fillId="4" borderId="1" xfId="0" applyNumberFormat="1" applyFont="1" applyFill="1" applyBorder="1" applyAlignment="1">
      <alignment horizontal="center" vertical="center" wrapText="1"/>
    </xf>
    <xf numFmtId="164" fontId="16" fillId="4" borderId="17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top" wrapText="1"/>
    </xf>
    <xf numFmtId="164" fontId="16" fillId="0" borderId="1" xfId="0" applyNumberFormat="1" applyFont="1" applyBorder="1" applyAlignment="1">
      <alignment horizontal="center" vertical="center" wrapText="1"/>
    </xf>
    <xf numFmtId="164" fontId="16" fillId="0" borderId="17" xfId="0" applyNumberFormat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1" fontId="2" fillId="8" borderId="16" xfId="0" applyNumberFormat="1" applyFont="1" applyFill="1" applyBorder="1" applyAlignment="1">
      <alignment horizontal="center" vertical="center"/>
    </xf>
    <xf numFmtId="1" fontId="15" fillId="0" borderId="16" xfId="0" applyNumberFormat="1" applyFont="1" applyBorder="1" applyAlignment="1">
      <alignment horizontal="center" vertical="center"/>
    </xf>
    <xf numFmtId="164" fontId="11" fillId="4" borderId="19" xfId="0" applyNumberFormat="1" applyFont="1" applyFill="1" applyBorder="1" applyAlignment="1">
      <alignment horizontal="center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4" fontId="11" fillId="5" borderId="1" xfId="0" applyNumberFormat="1" applyFont="1" applyFill="1" applyBorder="1" applyAlignment="1">
      <alignment horizontal="center" vertical="center" wrapText="1"/>
    </xf>
    <xf numFmtId="166" fontId="11" fillId="5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1" fontId="0" fillId="4" borderId="16" xfId="0" applyNumberFormat="1" applyFill="1" applyBorder="1" applyAlignment="1">
      <alignment horizontal="center" vertical="center"/>
    </xf>
    <xf numFmtId="164" fontId="11" fillId="4" borderId="17" xfId="0" applyNumberFormat="1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top" wrapText="1"/>
    </xf>
    <xf numFmtId="1" fontId="0" fillId="5" borderId="18" xfId="0" applyNumberFormat="1" applyFill="1" applyBorder="1" applyAlignment="1">
      <alignment horizontal="center" vertical="center"/>
    </xf>
    <xf numFmtId="0" fontId="11" fillId="5" borderId="19" xfId="0" applyFont="1" applyFill="1" applyBorder="1" applyAlignment="1">
      <alignment vertical="top" wrapText="1"/>
    </xf>
    <xf numFmtId="0" fontId="11" fillId="5" borderId="19" xfId="0" applyFont="1" applyFill="1" applyBorder="1" applyAlignment="1">
      <alignment horizontal="center" vertical="center" wrapText="1"/>
    </xf>
    <xf numFmtId="164" fontId="11" fillId="5" borderId="19" xfId="0" applyNumberFormat="1" applyFont="1" applyFill="1" applyBorder="1" applyAlignment="1">
      <alignment horizontal="center" vertical="center" wrapText="1"/>
    </xf>
    <xf numFmtId="164" fontId="11" fillId="5" borderId="20" xfId="0" applyNumberFormat="1" applyFont="1" applyFill="1" applyBorder="1" applyAlignment="1">
      <alignment horizontal="center" vertical="center" wrapText="1"/>
    </xf>
    <xf numFmtId="0" fontId="11" fillId="5" borderId="20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0" borderId="17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8" xfId="0" applyFont="1" applyBorder="1" applyAlignment="1">
      <alignment horizontal="center" vertical="top" wrapText="1"/>
    </xf>
    <xf numFmtId="0" fontId="13" fillId="6" borderId="1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center" vertical="center" wrapText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3" fillId="4" borderId="1" xfId="4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165" fontId="13" fillId="0" borderId="1" xfId="0" applyNumberFormat="1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3" fillId="0" borderId="19" xfId="0" applyFont="1" applyBorder="1" applyAlignment="1">
      <alignment horizontal="center" vertical="top" wrapText="1"/>
    </xf>
    <xf numFmtId="49" fontId="11" fillId="0" borderId="1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</cellXfs>
  <cellStyles count="5">
    <cellStyle name="Comma" xfId="1" builtinId="3"/>
    <cellStyle name="Normal" xfId="0" builtinId="0"/>
    <cellStyle name="Звичайний 10" xfId="3" xr:uid="{00000000-0005-0000-0000-000001000000}"/>
    <cellStyle name="Обычный 2" xfId="2" xr:uid="{00000000-0005-0000-0000-000002000000}"/>
    <cellStyle name="Обычный_Лист1" xfId="4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6"/>
  <sheetViews>
    <sheetView tabSelected="1" view="pageBreakPreview" zoomScaleNormal="100" zoomScaleSheetLayoutView="100" workbookViewId="0">
      <pane xSplit="1" ySplit="7" topLeftCell="B8" activePane="bottomRight" state="frozen"/>
      <selection pane="topRight" activeCell="B1" sqref="B1"/>
      <selection pane="bottomLeft" activeCell="A5" sqref="A5"/>
      <selection pane="bottomRight" activeCell="N5" sqref="N5"/>
    </sheetView>
  </sheetViews>
  <sheetFormatPr baseColWidth="10" defaultColWidth="8.83203125" defaultRowHeight="15"/>
  <cols>
    <col min="1" max="1" width="3.6640625" style="1" customWidth="1"/>
    <col min="2" max="2" width="3.5" style="1" customWidth="1"/>
    <col min="3" max="3" width="63.5" style="96" customWidth="1"/>
    <col min="4" max="4" width="17.33203125" style="96" customWidth="1"/>
    <col min="5" max="5" width="16.33203125" style="95" customWidth="1"/>
    <col min="6" max="6" width="12.33203125" style="95" customWidth="1"/>
    <col min="7" max="7" width="10.83203125" style="95" customWidth="1"/>
    <col min="8" max="9" width="12.33203125" style="95" customWidth="1"/>
    <col min="10" max="10" width="10.83203125" style="95" customWidth="1"/>
    <col min="11" max="11" width="5.33203125" style="95" customWidth="1"/>
    <col min="12" max="12" width="7" style="95" customWidth="1"/>
    <col min="13" max="13" width="11.1640625" style="95" customWidth="1"/>
  </cols>
  <sheetData>
    <row r="1" spans="1:14" ht="16">
      <c r="C1" s="111" t="s">
        <v>0</v>
      </c>
      <c r="D1" s="111"/>
      <c r="E1" s="112"/>
      <c r="F1" s="112"/>
      <c r="G1" s="112"/>
      <c r="H1" s="112"/>
      <c r="I1" s="112"/>
      <c r="J1" s="112"/>
      <c r="K1" s="112"/>
      <c r="L1" s="112"/>
      <c r="M1" s="112"/>
    </row>
    <row r="2" spans="1:14" ht="49.5" customHeight="1">
      <c r="C2" s="113" t="s">
        <v>1</v>
      </c>
      <c r="D2" s="113"/>
      <c r="E2" s="114"/>
      <c r="F2" s="114"/>
      <c r="G2" s="114"/>
      <c r="H2" s="114"/>
      <c r="I2" s="114"/>
      <c r="J2" s="114"/>
      <c r="K2" s="114"/>
      <c r="L2" s="114"/>
      <c r="M2" s="114"/>
    </row>
    <row r="3" spans="1:14" ht="16">
      <c r="B3" s="115" t="s">
        <v>2</v>
      </c>
      <c r="C3" s="116" t="s">
        <v>3</v>
      </c>
      <c r="D3" s="116" t="s">
        <v>859</v>
      </c>
      <c r="E3" s="117" t="s">
        <v>4</v>
      </c>
      <c r="F3" s="117"/>
      <c r="G3" s="117"/>
      <c r="H3" s="117"/>
      <c r="I3" s="117"/>
      <c r="J3" s="117"/>
      <c r="K3" s="118" t="s">
        <v>5</v>
      </c>
      <c r="L3" s="118" t="s">
        <v>6</v>
      </c>
      <c r="M3" s="118" t="s">
        <v>858</v>
      </c>
    </row>
    <row r="4" spans="1:14">
      <c r="A4" s="3"/>
      <c r="B4" s="115"/>
      <c r="C4" s="116"/>
      <c r="D4" s="116"/>
      <c r="E4" s="121" t="s">
        <v>7</v>
      </c>
      <c r="F4" s="122" t="s">
        <v>8</v>
      </c>
      <c r="G4" s="123"/>
      <c r="H4" s="121" t="s">
        <v>9</v>
      </c>
      <c r="I4" s="122" t="s">
        <v>8</v>
      </c>
      <c r="J4" s="123"/>
      <c r="K4" s="119"/>
      <c r="L4" s="119"/>
      <c r="M4" s="119"/>
    </row>
    <row r="5" spans="1:14" ht="60" customHeight="1">
      <c r="A5" s="3" t="s">
        <v>10</v>
      </c>
      <c r="B5" s="115"/>
      <c r="C5" s="116"/>
      <c r="D5" s="116"/>
      <c r="E5" s="121"/>
      <c r="F5" s="4" t="s">
        <v>11</v>
      </c>
      <c r="G5" s="4" t="s">
        <v>12</v>
      </c>
      <c r="H5" s="124"/>
      <c r="I5" s="4" t="s">
        <v>11</v>
      </c>
      <c r="J5" s="4" t="s">
        <v>12</v>
      </c>
      <c r="K5" s="120"/>
      <c r="L5" s="120"/>
      <c r="M5" s="120"/>
    </row>
    <row r="6" spans="1:14" ht="16" thickBot="1">
      <c r="B6" s="5">
        <v>1</v>
      </c>
      <c r="C6" s="6">
        <v>2</v>
      </c>
      <c r="D6" s="97">
        <v>3</v>
      </c>
      <c r="E6" s="7">
        <v>4</v>
      </c>
      <c r="F6" s="7">
        <v>5</v>
      </c>
      <c r="G6" s="8">
        <v>6</v>
      </c>
      <c r="H6" s="7">
        <v>7</v>
      </c>
      <c r="I6" s="7">
        <v>8</v>
      </c>
      <c r="J6" s="8">
        <v>9</v>
      </c>
      <c r="K6" s="7">
        <v>10</v>
      </c>
      <c r="L6" s="7">
        <v>11</v>
      </c>
      <c r="M6" s="8">
        <v>12</v>
      </c>
    </row>
    <row r="7" spans="1:14" ht="33" thickBot="1">
      <c r="B7" s="9"/>
      <c r="C7" s="10" t="s">
        <v>13</v>
      </c>
      <c r="D7" s="10"/>
      <c r="E7" s="11">
        <f>SUBTOTAL(9,E8,E31,E56,E72,E125,E169,E220,E245,E298,E309,E320,E385,E438,E444,E460,E467,E490,E528,E573,E598,E632,E682,E714,E742,E775)</f>
        <v>6896284.7790000001</v>
      </c>
      <c r="F7" s="11">
        <f>SUBTOTAL(9,F8,F31,F56,F72,F125,F169,F220,F245,F298,F309,F320,F385,F438,F444,F460,F467,F490,F528,F573,F598,F632,F682,F714,F742,F775)</f>
        <v>5994553.0150000006</v>
      </c>
      <c r="G7" s="12">
        <f>SUBTOTAL(9,G8,G31,G56,G72,G125,G169,G220,G245,G298,G309,G320,G385,G438,G444,G460,G467,G490,G528,G573,G598,G632,G682,G714,G742,G775)</f>
        <v>901731.76399999985</v>
      </c>
      <c r="H7" s="11">
        <f>I7+J7</f>
        <v>5486066.0413000006</v>
      </c>
      <c r="I7" s="11">
        <f t="shared" ref="I7:J7" si="0">SUBTOTAL(9,I8,I31,I56,I72,I125,I169,I220,I245,I298,I309,I320,I385,I438,I444,I460,I467,I490,I528,I573,I598,I632,I682,I714,I742,I775)</f>
        <v>4805768.9903000006</v>
      </c>
      <c r="J7" s="12">
        <f t="shared" si="0"/>
        <v>680297.05099999998</v>
      </c>
      <c r="K7" s="13">
        <f>SUBTOTAL(9,K8,K31,K56,K72,K125,K169,K220,K245,K298,K309,K320,K385,K438,K444,K460,K467,K490,K528,K573,K598,K632,K682,K714,K742,K775)</f>
        <v>683</v>
      </c>
      <c r="L7" s="13">
        <f>SUBTOTAL(9,L8,L31,L56,L72,L125,L169,L220,L245,L298,L309,L320,L385,L438,L444,L460,L467,L490,L528,L573,L598,L632,L682,L714,L742,L775)</f>
        <v>249</v>
      </c>
      <c r="M7" s="14"/>
    </row>
    <row r="8" spans="1:14" ht="64">
      <c r="A8" s="1">
        <v>2</v>
      </c>
      <c r="B8" s="15"/>
      <c r="C8" s="16" t="s">
        <v>14</v>
      </c>
      <c r="D8" s="16"/>
      <c r="E8" s="17">
        <f>SUM(E9:E30)</f>
        <v>212502.51700000002</v>
      </c>
      <c r="F8" s="17">
        <f t="shared" ref="F8:G8" si="1">SUM(F9:F30)</f>
        <v>184791.24</v>
      </c>
      <c r="G8" s="18">
        <f t="shared" si="1"/>
        <v>27711.277000000002</v>
      </c>
      <c r="H8" s="17">
        <f t="shared" ref="H8" si="2">I8+J8</f>
        <v>187842.23100000003</v>
      </c>
      <c r="I8" s="17">
        <f t="shared" ref="I8:L8" si="3">SUM(I9:I30)</f>
        <v>165123.47100000002</v>
      </c>
      <c r="J8" s="18">
        <f t="shared" si="3"/>
        <v>22718.760000000002</v>
      </c>
      <c r="K8" s="19">
        <f t="shared" si="3"/>
        <v>21</v>
      </c>
      <c r="L8" s="20">
        <f t="shared" si="3"/>
        <v>1</v>
      </c>
      <c r="M8" s="21"/>
    </row>
    <row r="9" spans="1:14" ht="48">
      <c r="A9" s="1">
        <v>2</v>
      </c>
      <c r="B9" s="22">
        <v>1</v>
      </c>
      <c r="C9" s="23" t="s">
        <v>15</v>
      </c>
      <c r="D9" s="23" t="s">
        <v>16</v>
      </c>
      <c r="E9" s="24">
        <v>20000</v>
      </c>
      <c r="F9" s="24">
        <v>20000</v>
      </c>
      <c r="G9" s="25">
        <v>0</v>
      </c>
      <c r="H9" s="24">
        <f>I9+J9</f>
        <v>20000</v>
      </c>
      <c r="I9" s="24">
        <v>20000</v>
      </c>
      <c r="J9" s="25">
        <v>0</v>
      </c>
      <c r="K9" s="26">
        <v>1</v>
      </c>
      <c r="L9" s="26"/>
      <c r="M9" s="27"/>
      <c r="N9" s="28"/>
    </row>
    <row r="10" spans="1:14" ht="32">
      <c r="A10" s="1">
        <v>2</v>
      </c>
      <c r="B10" s="22">
        <v>2</v>
      </c>
      <c r="C10" s="23" t="s">
        <v>17</v>
      </c>
      <c r="D10" s="23" t="s">
        <v>16</v>
      </c>
      <c r="E10" s="24">
        <v>8000</v>
      </c>
      <c r="F10" s="24">
        <v>8000</v>
      </c>
      <c r="G10" s="25">
        <v>0</v>
      </c>
      <c r="H10" s="24">
        <f t="shared" ref="H10:H73" si="4">I10+J10</f>
        <v>7999.9989999999998</v>
      </c>
      <c r="I10" s="24">
        <v>7999.9989999999998</v>
      </c>
      <c r="J10" s="25">
        <v>0</v>
      </c>
      <c r="K10" s="26">
        <v>1</v>
      </c>
      <c r="L10" s="26"/>
      <c r="M10" s="27"/>
      <c r="N10" s="28"/>
    </row>
    <row r="11" spans="1:14" ht="48">
      <c r="A11" s="1">
        <v>2</v>
      </c>
      <c r="B11" s="22">
        <v>3</v>
      </c>
      <c r="C11" s="23" t="s">
        <v>18</v>
      </c>
      <c r="D11" s="23" t="s">
        <v>19</v>
      </c>
      <c r="E11" s="24">
        <v>16000</v>
      </c>
      <c r="F11" s="24">
        <v>16000</v>
      </c>
      <c r="G11" s="25">
        <v>0</v>
      </c>
      <c r="H11" s="24">
        <f t="shared" si="4"/>
        <v>15910.031999999999</v>
      </c>
      <c r="I11" s="24">
        <v>15910.031999999999</v>
      </c>
      <c r="J11" s="25">
        <v>0</v>
      </c>
      <c r="K11" s="26">
        <v>1</v>
      </c>
      <c r="L11" s="26"/>
      <c r="M11" s="27"/>
      <c r="N11" s="28"/>
    </row>
    <row r="12" spans="1:14" ht="32">
      <c r="A12" s="1">
        <v>2</v>
      </c>
      <c r="B12" s="22">
        <v>4</v>
      </c>
      <c r="C12" s="23" t="s">
        <v>20</v>
      </c>
      <c r="D12" s="23" t="s">
        <v>21</v>
      </c>
      <c r="E12" s="24">
        <v>1500</v>
      </c>
      <c r="F12" s="24">
        <v>1500</v>
      </c>
      <c r="G12" s="25">
        <v>0</v>
      </c>
      <c r="H12" s="24">
        <f t="shared" si="4"/>
        <v>1500</v>
      </c>
      <c r="I12" s="24">
        <v>1500</v>
      </c>
      <c r="J12" s="25">
        <v>0</v>
      </c>
      <c r="K12" s="26">
        <v>1</v>
      </c>
      <c r="L12" s="26"/>
      <c r="M12" s="27"/>
      <c r="N12" s="28"/>
    </row>
    <row r="13" spans="1:14" ht="32">
      <c r="A13" s="1">
        <v>2</v>
      </c>
      <c r="B13" s="22">
        <v>5</v>
      </c>
      <c r="C13" s="23" t="s">
        <v>22</v>
      </c>
      <c r="D13" s="23" t="s">
        <v>16</v>
      </c>
      <c r="E13" s="24">
        <f>25000+1000</f>
        <v>26000</v>
      </c>
      <c r="F13" s="24">
        <f>25000+1000</f>
        <v>26000</v>
      </c>
      <c r="G13" s="25">
        <f>0+0</f>
        <v>0</v>
      </c>
      <c r="H13" s="24">
        <f t="shared" si="4"/>
        <v>26000</v>
      </c>
      <c r="I13" s="24">
        <v>26000</v>
      </c>
      <c r="J13" s="25">
        <v>0</v>
      </c>
      <c r="K13" s="26">
        <v>1</v>
      </c>
      <c r="L13" s="26"/>
      <c r="M13" s="27" t="s">
        <v>23</v>
      </c>
      <c r="N13" s="28"/>
    </row>
    <row r="14" spans="1:14" ht="32">
      <c r="A14" s="1">
        <v>2</v>
      </c>
      <c r="B14" s="22">
        <v>6</v>
      </c>
      <c r="C14" s="23" t="s">
        <v>24</v>
      </c>
      <c r="D14" s="23" t="s">
        <v>19</v>
      </c>
      <c r="E14" s="24">
        <v>45000</v>
      </c>
      <c r="F14" s="24">
        <v>45000</v>
      </c>
      <c r="G14" s="25">
        <v>0</v>
      </c>
      <c r="H14" s="24">
        <f t="shared" si="4"/>
        <v>45000</v>
      </c>
      <c r="I14" s="24">
        <v>45000</v>
      </c>
      <c r="J14" s="25">
        <v>0</v>
      </c>
      <c r="K14" s="26">
        <v>1</v>
      </c>
      <c r="L14" s="26">
        <v>1</v>
      </c>
      <c r="M14" s="27"/>
      <c r="N14" s="28"/>
    </row>
    <row r="15" spans="1:14" ht="32">
      <c r="A15" s="1">
        <v>2</v>
      </c>
      <c r="B15" s="22">
        <v>7</v>
      </c>
      <c r="C15" s="23" t="s">
        <v>25</v>
      </c>
      <c r="D15" s="23" t="s">
        <v>16</v>
      </c>
      <c r="E15" s="24">
        <v>20000</v>
      </c>
      <c r="F15" s="24">
        <v>20000</v>
      </c>
      <c r="G15" s="25">
        <v>0</v>
      </c>
      <c r="H15" s="24">
        <f t="shared" si="4"/>
        <v>5345.25</v>
      </c>
      <c r="I15" s="24">
        <v>5345.25</v>
      </c>
      <c r="J15" s="25">
        <v>0</v>
      </c>
      <c r="K15" s="26">
        <v>1</v>
      </c>
      <c r="L15" s="26"/>
      <c r="M15" s="27"/>
      <c r="N15" s="28"/>
    </row>
    <row r="16" spans="1:14" ht="80">
      <c r="A16" s="1">
        <v>2</v>
      </c>
      <c r="B16" s="22">
        <v>8</v>
      </c>
      <c r="C16" s="23" t="s">
        <v>26</v>
      </c>
      <c r="D16" s="23" t="s">
        <v>16</v>
      </c>
      <c r="E16" s="24">
        <v>2000</v>
      </c>
      <c r="F16" s="24">
        <v>2000</v>
      </c>
      <c r="G16" s="25">
        <v>0</v>
      </c>
      <c r="H16" s="24">
        <f t="shared" si="4"/>
        <v>1987.039</v>
      </c>
      <c r="I16" s="24">
        <v>1987.039</v>
      </c>
      <c r="J16" s="25">
        <v>0</v>
      </c>
      <c r="K16" s="26">
        <v>1</v>
      </c>
      <c r="L16" s="26"/>
      <c r="M16" s="27"/>
      <c r="N16" s="28"/>
    </row>
    <row r="17" spans="1:14" ht="16">
      <c r="A17" s="1">
        <v>2</v>
      </c>
      <c r="B17" s="30">
        <v>9</v>
      </c>
      <c r="C17" s="31" t="s">
        <v>27</v>
      </c>
      <c r="D17" s="31" t="s">
        <v>21</v>
      </c>
      <c r="E17" s="32">
        <f>1000-1000</f>
        <v>0</v>
      </c>
      <c r="F17" s="32">
        <f>1000-1000</f>
        <v>0</v>
      </c>
      <c r="G17" s="33">
        <f>0-0</f>
        <v>0</v>
      </c>
      <c r="H17" s="32">
        <f t="shared" si="4"/>
        <v>0</v>
      </c>
      <c r="I17" s="32"/>
      <c r="J17" s="33"/>
      <c r="K17" s="34">
        <f>1-1</f>
        <v>0</v>
      </c>
      <c r="L17" s="34">
        <f>1-1</f>
        <v>0</v>
      </c>
      <c r="M17" s="35" t="s">
        <v>28</v>
      </c>
      <c r="N17" s="28"/>
    </row>
    <row r="18" spans="1:14" ht="48">
      <c r="A18" s="1">
        <v>2</v>
      </c>
      <c r="B18" s="22">
        <v>10</v>
      </c>
      <c r="C18" s="23" t="s">
        <v>29</v>
      </c>
      <c r="D18" s="23" t="s">
        <v>16</v>
      </c>
      <c r="E18" s="24">
        <v>2500</v>
      </c>
      <c r="F18" s="24">
        <v>2500</v>
      </c>
      <c r="G18" s="25">
        <v>0</v>
      </c>
      <c r="H18" s="24">
        <f t="shared" si="4"/>
        <v>2500</v>
      </c>
      <c r="I18" s="24">
        <v>2500</v>
      </c>
      <c r="J18" s="25">
        <v>0</v>
      </c>
      <c r="K18" s="26">
        <v>1</v>
      </c>
      <c r="L18" s="26"/>
      <c r="M18" s="27"/>
      <c r="N18" s="28"/>
    </row>
    <row r="19" spans="1:14" ht="32">
      <c r="A19" s="1">
        <v>2</v>
      </c>
      <c r="B19" s="22">
        <v>11</v>
      </c>
      <c r="C19" s="23" t="s">
        <v>30</v>
      </c>
      <c r="D19" s="23" t="s">
        <v>16</v>
      </c>
      <c r="E19" s="24">
        <v>1000</v>
      </c>
      <c r="F19" s="24">
        <v>1000</v>
      </c>
      <c r="G19" s="25">
        <v>0</v>
      </c>
      <c r="H19" s="24">
        <f t="shared" si="4"/>
        <v>999.596</v>
      </c>
      <c r="I19" s="24">
        <v>999.596</v>
      </c>
      <c r="J19" s="25">
        <v>0</v>
      </c>
      <c r="K19" s="26">
        <v>1</v>
      </c>
      <c r="L19" s="26"/>
      <c r="M19" s="27"/>
      <c r="N19" s="28"/>
    </row>
    <row r="20" spans="1:14" ht="32">
      <c r="A20" s="1">
        <v>2</v>
      </c>
      <c r="B20" s="22">
        <v>12</v>
      </c>
      <c r="C20" s="23" t="s">
        <v>31</v>
      </c>
      <c r="D20" s="23" t="s">
        <v>32</v>
      </c>
      <c r="E20" s="24">
        <v>1000</v>
      </c>
      <c r="F20" s="24">
        <v>0</v>
      </c>
      <c r="G20" s="25">
        <v>1000</v>
      </c>
      <c r="H20" s="24">
        <f t="shared" si="4"/>
        <v>1000</v>
      </c>
      <c r="I20" s="24">
        <v>0</v>
      </c>
      <c r="J20" s="25">
        <v>1000</v>
      </c>
      <c r="K20" s="26">
        <v>1</v>
      </c>
      <c r="L20" s="26"/>
      <c r="M20" s="27"/>
      <c r="N20" s="28"/>
    </row>
    <row r="21" spans="1:14" ht="80">
      <c r="A21" s="1">
        <v>2</v>
      </c>
      <c r="B21" s="22">
        <v>13</v>
      </c>
      <c r="C21" s="23" t="s">
        <v>33</v>
      </c>
      <c r="D21" s="23" t="s">
        <v>34</v>
      </c>
      <c r="E21" s="24">
        <v>3700</v>
      </c>
      <c r="F21" s="24">
        <v>2000</v>
      </c>
      <c r="G21" s="25">
        <v>1700</v>
      </c>
      <c r="H21" s="24">
        <f t="shared" si="4"/>
        <v>3700</v>
      </c>
      <c r="I21" s="24">
        <v>2000</v>
      </c>
      <c r="J21" s="25">
        <v>1700</v>
      </c>
      <c r="K21" s="26">
        <v>1</v>
      </c>
      <c r="L21" s="26"/>
      <c r="M21" s="27"/>
      <c r="N21" s="28"/>
    </row>
    <row r="22" spans="1:14" ht="64">
      <c r="A22" s="1">
        <v>2</v>
      </c>
      <c r="B22" s="22">
        <v>14</v>
      </c>
      <c r="C22" s="23" t="s">
        <v>35</v>
      </c>
      <c r="D22" s="23" t="s">
        <v>34</v>
      </c>
      <c r="E22" s="24">
        <v>3500</v>
      </c>
      <c r="F22" s="24">
        <v>2000</v>
      </c>
      <c r="G22" s="25">
        <v>1500</v>
      </c>
      <c r="H22" s="24">
        <f t="shared" si="4"/>
        <v>2848.413</v>
      </c>
      <c r="I22" s="24">
        <v>1500</v>
      </c>
      <c r="J22" s="25">
        <v>1348.413</v>
      </c>
      <c r="K22" s="26">
        <v>1</v>
      </c>
      <c r="L22" s="26"/>
      <c r="M22" s="27"/>
      <c r="N22" s="28"/>
    </row>
    <row r="23" spans="1:14" ht="64">
      <c r="A23" s="1">
        <v>2</v>
      </c>
      <c r="B23" s="22">
        <v>15</v>
      </c>
      <c r="C23" s="23" t="s">
        <v>36</v>
      </c>
      <c r="D23" s="23" t="s">
        <v>34</v>
      </c>
      <c r="E23" s="24">
        <v>2970</v>
      </c>
      <c r="F23" s="24">
        <v>1500</v>
      </c>
      <c r="G23" s="25">
        <v>1470</v>
      </c>
      <c r="H23" s="24">
        <f t="shared" si="4"/>
        <v>1013.82</v>
      </c>
      <c r="I23" s="24">
        <v>0</v>
      </c>
      <c r="J23" s="25">
        <v>1013.82</v>
      </c>
      <c r="K23" s="26">
        <v>1</v>
      </c>
      <c r="L23" s="26"/>
      <c r="M23" s="27"/>
      <c r="N23" s="28"/>
    </row>
    <row r="24" spans="1:14" ht="64">
      <c r="A24" s="1">
        <v>2</v>
      </c>
      <c r="B24" s="22">
        <v>16</v>
      </c>
      <c r="C24" s="23" t="s">
        <v>37</v>
      </c>
      <c r="D24" s="23" t="s">
        <v>34</v>
      </c>
      <c r="E24" s="24">
        <v>4500</v>
      </c>
      <c r="F24" s="24">
        <v>2500</v>
      </c>
      <c r="G24" s="25">
        <v>2000</v>
      </c>
      <c r="H24" s="24">
        <f t="shared" si="4"/>
        <v>4500</v>
      </c>
      <c r="I24" s="24">
        <v>2500</v>
      </c>
      <c r="J24" s="25">
        <v>2000</v>
      </c>
      <c r="K24" s="26">
        <v>1</v>
      </c>
      <c r="L24" s="26"/>
      <c r="M24" s="27"/>
      <c r="N24" s="28"/>
    </row>
    <row r="25" spans="1:14" ht="48">
      <c r="A25" s="1">
        <v>2</v>
      </c>
      <c r="B25" s="22">
        <v>17</v>
      </c>
      <c r="C25" s="23" t="s">
        <v>38</v>
      </c>
      <c r="D25" s="23" t="s">
        <v>34</v>
      </c>
      <c r="E25" s="24">
        <v>5857.2</v>
      </c>
      <c r="F25" s="24">
        <v>4000</v>
      </c>
      <c r="G25" s="25">
        <v>1857.2</v>
      </c>
      <c r="H25" s="24">
        <f t="shared" si="4"/>
        <v>3957.7359999999999</v>
      </c>
      <c r="I25" s="24">
        <v>2100.5360000000001</v>
      </c>
      <c r="J25" s="25">
        <v>1857.2</v>
      </c>
      <c r="K25" s="26">
        <v>1</v>
      </c>
      <c r="L25" s="26"/>
      <c r="M25" s="27"/>
      <c r="N25" s="28"/>
    </row>
    <row r="26" spans="1:14" ht="64">
      <c r="A26" s="1">
        <v>2</v>
      </c>
      <c r="B26" s="22">
        <v>18</v>
      </c>
      <c r="C26" s="23" t="s">
        <v>39</v>
      </c>
      <c r="D26" s="23" t="s">
        <v>34</v>
      </c>
      <c r="E26" s="24">
        <v>19975.316999999999</v>
      </c>
      <c r="F26" s="24">
        <v>18791.240000000002</v>
      </c>
      <c r="G26" s="25">
        <v>1184.077</v>
      </c>
      <c r="H26" s="24">
        <f t="shared" si="4"/>
        <v>19975.317000000003</v>
      </c>
      <c r="I26" s="24">
        <v>18791.240000000002</v>
      </c>
      <c r="J26" s="25">
        <v>1184.077</v>
      </c>
      <c r="K26" s="26">
        <v>1</v>
      </c>
      <c r="L26" s="26"/>
      <c r="M26" s="27"/>
      <c r="N26" s="28"/>
    </row>
    <row r="27" spans="1:14" ht="48">
      <c r="A27" s="1">
        <v>2</v>
      </c>
      <c r="B27" s="22">
        <v>19</v>
      </c>
      <c r="C27" s="23" t="s">
        <v>40</v>
      </c>
      <c r="D27" s="23" t="s">
        <v>34</v>
      </c>
      <c r="E27" s="24">
        <v>9000</v>
      </c>
      <c r="F27" s="24">
        <v>1000</v>
      </c>
      <c r="G27" s="25">
        <v>8000</v>
      </c>
      <c r="H27" s="24">
        <f t="shared" si="4"/>
        <v>3615.25</v>
      </c>
      <c r="I27" s="24">
        <v>0</v>
      </c>
      <c r="J27" s="25">
        <v>3615.25</v>
      </c>
      <c r="K27" s="26">
        <v>1</v>
      </c>
      <c r="L27" s="26"/>
      <c r="M27" s="27"/>
      <c r="N27" s="28"/>
    </row>
    <row r="28" spans="1:14" ht="64">
      <c r="A28" s="1">
        <v>2</v>
      </c>
      <c r="B28" s="22">
        <v>20</v>
      </c>
      <c r="C28" s="23" t="s">
        <v>41</v>
      </c>
      <c r="D28" s="23" t="s">
        <v>19</v>
      </c>
      <c r="E28" s="24">
        <v>10000</v>
      </c>
      <c r="F28" s="24">
        <v>6000</v>
      </c>
      <c r="G28" s="25">
        <v>4000</v>
      </c>
      <c r="H28" s="24">
        <f t="shared" si="4"/>
        <v>9999.9989999999998</v>
      </c>
      <c r="I28" s="24">
        <v>5999.9989999999998</v>
      </c>
      <c r="J28" s="25">
        <v>4000</v>
      </c>
      <c r="K28" s="26">
        <v>1</v>
      </c>
      <c r="L28" s="26"/>
      <c r="M28" s="27"/>
      <c r="N28" s="28"/>
    </row>
    <row r="29" spans="1:14" ht="64">
      <c r="A29" s="1">
        <v>2</v>
      </c>
      <c r="B29" s="22">
        <v>21</v>
      </c>
      <c r="C29" s="23" t="s">
        <v>42</v>
      </c>
      <c r="D29" s="23" t="s">
        <v>34</v>
      </c>
      <c r="E29" s="24">
        <v>8000</v>
      </c>
      <c r="F29" s="24">
        <v>4000</v>
      </c>
      <c r="G29" s="25">
        <v>4000</v>
      </c>
      <c r="H29" s="24">
        <f t="shared" si="4"/>
        <v>7989.7800000000007</v>
      </c>
      <c r="I29" s="24">
        <v>3989.78</v>
      </c>
      <c r="J29" s="25">
        <v>4000</v>
      </c>
      <c r="K29" s="26">
        <v>1</v>
      </c>
      <c r="L29" s="26"/>
      <c r="M29" s="27"/>
      <c r="N29" s="28"/>
    </row>
    <row r="30" spans="1:14" ht="49" thickBot="1">
      <c r="A30" s="1">
        <v>2</v>
      </c>
      <c r="B30" s="36">
        <v>22</v>
      </c>
      <c r="C30" s="37" t="s">
        <v>43</v>
      </c>
      <c r="D30" s="37" t="s">
        <v>34</v>
      </c>
      <c r="E30" s="38">
        <v>2000</v>
      </c>
      <c r="F30" s="38">
        <v>1000</v>
      </c>
      <c r="G30" s="39">
        <v>1000</v>
      </c>
      <c r="H30" s="38">
        <f t="shared" si="4"/>
        <v>2000</v>
      </c>
      <c r="I30" s="38">
        <v>1000</v>
      </c>
      <c r="J30" s="39">
        <v>1000</v>
      </c>
      <c r="K30" s="40">
        <v>1</v>
      </c>
      <c r="L30" s="40"/>
      <c r="M30" s="41"/>
      <c r="N30" s="28"/>
    </row>
    <row r="31" spans="1:14" ht="64">
      <c r="A31" s="1">
        <v>3</v>
      </c>
      <c r="B31" s="15"/>
      <c r="C31" s="16" t="s">
        <v>44</v>
      </c>
      <c r="D31" s="16"/>
      <c r="E31" s="17">
        <f>SUM(E32:E55)</f>
        <v>220224.758</v>
      </c>
      <c r="F31" s="17">
        <f t="shared" ref="F31:G31" si="5">SUM(F32:F55)</f>
        <v>189510.00799999997</v>
      </c>
      <c r="G31" s="18">
        <f t="shared" si="5"/>
        <v>30714.75</v>
      </c>
      <c r="H31" s="17">
        <f t="shared" si="4"/>
        <v>175806.81930000003</v>
      </c>
      <c r="I31" s="17">
        <f>SUM(I32:I55)</f>
        <v>151802.33430000002</v>
      </c>
      <c r="J31" s="18">
        <f t="shared" ref="J31:L31" si="6">SUM(J32:J55)</f>
        <v>24004.485000000001</v>
      </c>
      <c r="K31" s="20">
        <f t="shared" si="6"/>
        <v>23</v>
      </c>
      <c r="L31" s="20">
        <f t="shared" si="6"/>
        <v>10</v>
      </c>
      <c r="M31" s="21"/>
    </row>
    <row r="32" spans="1:14" ht="48">
      <c r="A32" s="1">
        <v>3</v>
      </c>
      <c r="B32" s="22">
        <v>1</v>
      </c>
      <c r="C32" s="23" t="s">
        <v>45</v>
      </c>
      <c r="D32" s="26" t="s">
        <v>16</v>
      </c>
      <c r="E32" s="24">
        <v>4638.7700000000004</v>
      </c>
      <c r="F32" s="24">
        <v>4638.7700000000004</v>
      </c>
      <c r="G32" s="25">
        <v>0</v>
      </c>
      <c r="H32" s="24">
        <f t="shared" si="4"/>
        <v>4638.7700000000004</v>
      </c>
      <c r="I32" s="24">
        <v>4638.7700000000004</v>
      </c>
      <c r="J32" s="25">
        <v>0</v>
      </c>
      <c r="K32" s="26">
        <v>1</v>
      </c>
      <c r="L32" s="26"/>
      <c r="M32" s="27"/>
    </row>
    <row r="33" spans="1:13" ht="80">
      <c r="A33" s="1">
        <v>3</v>
      </c>
      <c r="B33" s="22">
        <v>2</v>
      </c>
      <c r="C33" s="23" t="s">
        <v>46</v>
      </c>
      <c r="D33" s="26" t="s">
        <v>16</v>
      </c>
      <c r="E33" s="24">
        <v>14560</v>
      </c>
      <c r="F33" s="24">
        <v>14560</v>
      </c>
      <c r="G33" s="25">
        <v>0</v>
      </c>
      <c r="H33" s="24">
        <f t="shared" si="4"/>
        <v>14560</v>
      </c>
      <c r="I33" s="24">
        <v>14560</v>
      </c>
      <c r="J33" s="25">
        <v>0</v>
      </c>
      <c r="K33" s="26">
        <v>1</v>
      </c>
      <c r="L33" s="26"/>
      <c r="M33" s="27"/>
    </row>
    <row r="34" spans="1:13" ht="32">
      <c r="A34" s="1">
        <v>3</v>
      </c>
      <c r="B34" s="22">
        <v>3</v>
      </c>
      <c r="C34" s="23" t="s">
        <v>47</v>
      </c>
      <c r="D34" s="26" t="s">
        <v>21</v>
      </c>
      <c r="E34" s="24">
        <f>3872.947-221.9</f>
        <v>3651.047</v>
      </c>
      <c r="F34" s="24">
        <f>3872.947-221.9</f>
        <v>3651.047</v>
      </c>
      <c r="G34" s="25">
        <f>0-0</f>
        <v>0</v>
      </c>
      <c r="H34" s="24">
        <f t="shared" si="4"/>
        <v>3651.047</v>
      </c>
      <c r="I34" s="24">
        <v>3651.047</v>
      </c>
      <c r="J34" s="25">
        <v>0</v>
      </c>
      <c r="K34" s="26">
        <v>1</v>
      </c>
      <c r="L34" s="26">
        <v>1</v>
      </c>
      <c r="M34" s="27" t="s">
        <v>48</v>
      </c>
    </row>
    <row r="35" spans="1:13" ht="64">
      <c r="A35" s="1">
        <v>3</v>
      </c>
      <c r="B35" s="22">
        <v>4</v>
      </c>
      <c r="C35" s="23" t="s">
        <v>49</v>
      </c>
      <c r="D35" s="26" t="s">
        <v>16</v>
      </c>
      <c r="E35" s="24">
        <f>4557.15+3000</f>
        <v>7557.15</v>
      </c>
      <c r="F35" s="24">
        <f>4557.15+3.541</f>
        <v>4560.6909999999998</v>
      </c>
      <c r="G35" s="25">
        <f>0+2996.459</f>
        <v>2996.4589999999998</v>
      </c>
      <c r="H35" s="24">
        <f t="shared" si="4"/>
        <v>4457.13</v>
      </c>
      <c r="I35" s="24">
        <v>4457.13</v>
      </c>
      <c r="J35" s="25">
        <v>0</v>
      </c>
      <c r="K35" s="26">
        <v>1</v>
      </c>
      <c r="L35" s="26"/>
      <c r="M35" s="27" t="s">
        <v>23</v>
      </c>
    </row>
    <row r="36" spans="1:13" ht="48">
      <c r="A36" s="1">
        <v>3</v>
      </c>
      <c r="B36" s="22">
        <v>5</v>
      </c>
      <c r="C36" s="23" t="s">
        <v>50</v>
      </c>
      <c r="D36" s="26" t="s">
        <v>19</v>
      </c>
      <c r="E36" s="24">
        <v>3091.5</v>
      </c>
      <c r="F36" s="24">
        <v>3091.5</v>
      </c>
      <c r="G36" s="25">
        <v>0</v>
      </c>
      <c r="H36" s="24">
        <f t="shared" si="4"/>
        <v>3091.5</v>
      </c>
      <c r="I36" s="24">
        <v>3091.5</v>
      </c>
      <c r="J36" s="25">
        <v>0</v>
      </c>
      <c r="K36" s="26">
        <v>1</v>
      </c>
      <c r="L36" s="26">
        <v>1</v>
      </c>
      <c r="M36" s="27"/>
    </row>
    <row r="37" spans="1:13" ht="64">
      <c r="A37" s="1">
        <v>3</v>
      </c>
      <c r="B37" s="22">
        <v>6</v>
      </c>
      <c r="C37" s="23" t="s">
        <v>51</v>
      </c>
      <c r="D37" s="26" t="s">
        <v>19</v>
      </c>
      <c r="E37" s="24">
        <f>15013.243-1000</f>
        <v>14013.243</v>
      </c>
      <c r="F37" s="24">
        <f>15013.243-1000</f>
        <v>14013.243</v>
      </c>
      <c r="G37" s="25">
        <f>0-0</f>
        <v>0</v>
      </c>
      <c r="H37" s="24">
        <f t="shared" si="4"/>
        <v>14013.239</v>
      </c>
      <c r="I37" s="24">
        <v>14013.239</v>
      </c>
      <c r="J37" s="25">
        <v>0</v>
      </c>
      <c r="K37" s="26">
        <v>1</v>
      </c>
      <c r="L37" s="26">
        <v>1</v>
      </c>
      <c r="M37" s="27" t="s">
        <v>48</v>
      </c>
    </row>
    <row r="38" spans="1:13" ht="48">
      <c r="A38" s="1">
        <v>3</v>
      </c>
      <c r="B38" s="22">
        <v>7</v>
      </c>
      <c r="C38" s="23" t="s">
        <v>52</v>
      </c>
      <c r="D38" s="26" t="s">
        <v>21</v>
      </c>
      <c r="E38" s="24">
        <v>7538.3620000000001</v>
      </c>
      <c r="F38" s="24">
        <v>7538.3620000000001</v>
      </c>
      <c r="G38" s="25">
        <v>0</v>
      </c>
      <c r="H38" s="24">
        <f t="shared" si="4"/>
        <v>7332.9660000000003</v>
      </c>
      <c r="I38" s="24">
        <v>7332.9660000000003</v>
      </c>
      <c r="J38" s="25">
        <v>0</v>
      </c>
      <c r="K38" s="26">
        <v>1</v>
      </c>
      <c r="L38" s="26">
        <v>1</v>
      </c>
      <c r="M38" s="27"/>
    </row>
    <row r="39" spans="1:13" ht="64">
      <c r="A39" s="1">
        <v>3</v>
      </c>
      <c r="B39" s="22">
        <v>8</v>
      </c>
      <c r="C39" s="23" t="s">
        <v>53</v>
      </c>
      <c r="D39" s="26" t="s">
        <v>19</v>
      </c>
      <c r="E39" s="24">
        <f>4245.5-1000</f>
        <v>3245.5</v>
      </c>
      <c r="F39" s="24">
        <f>4245.5-1000</f>
        <v>3245.5</v>
      </c>
      <c r="G39" s="25">
        <f>0-0</f>
        <v>0</v>
      </c>
      <c r="H39" s="24">
        <f t="shared" si="4"/>
        <v>2823.5619999999999</v>
      </c>
      <c r="I39" s="24">
        <v>2823.5619999999999</v>
      </c>
      <c r="J39" s="25">
        <v>0</v>
      </c>
      <c r="K39" s="26">
        <v>1</v>
      </c>
      <c r="L39" s="26">
        <v>1</v>
      </c>
      <c r="M39" s="27" t="s">
        <v>48</v>
      </c>
    </row>
    <row r="40" spans="1:13" ht="64">
      <c r="A40" s="1">
        <v>3</v>
      </c>
      <c r="B40" s="22">
        <v>9</v>
      </c>
      <c r="C40" s="23" t="s">
        <v>54</v>
      </c>
      <c r="D40" s="26" t="s">
        <v>19</v>
      </c>
      <c r="E40" s="24">
        <v>3423.5189999999998</v>
      </c>
      <c r="F40" s="24">
        <v>3423.5189999999998</v>
      </c>
      <c r="G40" s="25">
        <v>0</v>
      </c>
      <c r="H40" s="24">
        <f t="shared" si="4"/>
        <v>3423.5189999999998</v>
      </c>
      <c r="I40" s="24">
        <v>3423.5189999999998</v>
      </c>
      <c r="J40" s="25">
        <v>0</v>
      </c>
      <c r="K40" s="26">
        <v>1</v>
      </c>
      <c r="L40" s="26">
        <v>1</v>
      </c>
      <c r="M40" s="27"/>
    </row>
    <row r="41" spans="1:13" ht="32">
      <c r="A41" s="1">
        <v>3</v>
      </c>
      <c r="B41" s="22">
        <v>10</v>
      </c>
      <c r="C41" s="23" t="s">
        <v>55</v>
      </c>
      <c r="D41" s="26" t="s">
        <v>16</v>
      </c>
      <c r="E41" s="24">
        <f>14556.173-6050</f>
        <v>8506.1730000000007</v>
      </c>
      <c r="F41" s="24">
        <f>8000-6050</f>
        <v>1950</v>
      </c>
      <c r="G41" s="25">
        <f>6556.173-0</f>
        <v>6556.1729999999998</v>
      </c>
      <c r="H41" s="24">
        <f t="shared" si="4"/>
        <v>5894.6670000000004</v>
      </c>
      <c r="I41" s="24">
        <v>90.406000000000006</v>
      </c>
      <c r="J41" s="25">
        <v>5804.2610000000004</v>
      </c>
      <c r="K41" s="26">
        <v>1</v>
      </c>
      <c r="L41" s="26"/>
      <c r="M41" s="27" t="s">
        <v>48</v>
      </c>
    </row>
    <row r="42" spans="1:13" ht="32">
      <c r="A42" s="1">
        <v>3</v>
      </c>
      <c r="B42" s="22">
        <v>11</v>
      </c>
      <c r="C42" s="23" t="s">
        <v>56</v>
      </c>
      <c r="D42" s="26" t="s">
        <v>16</v>
      </c>
      <c r="E42" s="24">
        <v>26083.833999999999</v>
      </c>
      <c r="F42" s="24">
        <v>20000</v>
      </c>
      <c r="G42" s="25">
        <v>6083.8339999999998</v>
      </c>
      <c r="H42" s="24">
        <f t="shared" si="4"/>
        <v>18963.785</v>
      </c>
      <c r="I42" s="24">
        <v>13864.297</v>
      </c>
      <c r="J42" s="25">
        <v>5099.4880000000003</v>
      </c>
      <c r="K42" s="26">
        <v>1</v>
      </c>
      <c r="L42" s="26"/>
      <c r="M42" s="27"/>
    </row>
    <row r="43" spans="1:13" ht="48">
      <c r="A43" s="1">
        <v>3</v>
      </c>
      <c r="B43" s="22">
        <v>12</v>
      </c>
      <c r="C43" s="23" t="s">
        <v>57</v>
      </c>
      <c r="D43" s="26" t="s">
        <v>19</v>
      </c>
      <c r="E43" s="24">
        <v>2114.5439999999999</v>
      </c>
      <c r="F43" s="24">
        <v>2114.5439999999999</v>
      </c>
      <c r="G43" s="25">
        <v>0</v>
      </c>
      <c r="H43" s="24">
        <f t="shared" si="4"/>
        <v>2114.5443</v>
      </c>
      <c r="I43" s="24">
        <v>2114.5443</v>
      </c>
      <c r="J43" s="25">
        <v>0</v>
      </c>
      <c r="K43" s="26">
        <v>1</v>
      </c>
      <c r="L43" s="26">
        <v>1</v>
      </c>
      <c r="M43" s="27"/>
    </row>
    <row r="44" spans="1:13" ht="32">
      <c r="A44" s="1">
        <v>3</v>
      </c>
      <c r="B44" s="22">
        <v>13</v>
      </c>
      <c r="C44" s="23" t="s">
        <v>58</v>
      </c>
      <c r="D44" s="26" t="s">
        <v>21</v>
      </c>
      <c r="E44" s="24">
        <v>21190.195</v>
      </c>
      <c r="F44" s="24">
        <v>21190.195</v>
      </c>
      <c r="G44" s="25">
        <v>0</v>
      </c>
      <c r="H44" s="24">
        <f t="shared" si="4"/>
        <v>17753.227999999999</v>
      </c>
      <c r="I44" s="24">
        <v>17753.227999999999</v>
      </c>
      <c r="J44" s="25">
        <v>0</v>
      </c>
      <c r="K44" s="26">
        <v>1</v>
      </c>
      <c r="L44" s="26">
        <v>1</v>
      </c>
      <c r="M44" s="27"/>
    </row>
    <row r="45" spans="1:13" ht="48">
      <c r="A45" s="1">
        <v>3</v>
      </c>
      <c r="B45" s="22">
        <v>14</v>
      </c>
      <c r="C45" s="23" t="s">
        <v>59</v>
      </c>
      <c r="D45" s="26" t="s">
        <v>16</v>
      </c>
      <c r="E45" s="24">
        <v>9193.5</v>
      </c>
      <c r="F45" s="24">
        <v>3193.5</v>
      </c>
      <c r="G45" s="25">
        <v>6000</v>
      </c>
      <c r="H45" s="24">
        <f t="shared" si="4"/>
        <v>8002.2690000000002</v>
      </c>
      <c r="I45" s="24">
        <v>2002.269</v>
      </c>
      <c r="J45" s="25">
        <v>6000</v>
      </c>
      <c r="K45" s="26">
        <v>1</v>
      </c>
      <c r="L45" s="26"/>
      <c r="M45" s="27"/>
    </row>
    <row r="46" spans="1:13" ht="48">
      <c r="A46" s="1">
        <v>3</v>
      </c>
      <c r="B46" s="22">
        <v>15</v>
      </c>
      <c r="C46" s="23" t="s">
        <v>60</v>
      </c>
      <c r="D46" s="26" t="s">
        <v>61</v>
      </c>
      <c r="E46" s="24">
        <v>20000</v>
      </c>
      <c r="F46" s="24">
        <v>16000</v>
      </c>
      <c r="G46" s="25">
        <v>4000</v>
      </c>
      <c r="H46" s="24">
        <f t="shared" si="4"/>
        <v>18823.962</v>
      </c>
      <c r="I46" s="24">
        <v>14823.962</v>
      </c>
      <c r="J46" s="25">
        <v>4000</v>
      </c>
      <c r="K46" s="26">
        <v>1</v>
      </c>
      <c r="L46" s="26"/>
      <c r="M46" s="27"/>
    </row>
    <row r="47" spans="1:13" ht="32">
      <c r="A47" s="1">
        <v>3</v>
      </c>
      <c r="B47" s="22">
        <v>16</v>
      </c>
      <c r="C47" s="23" t="s">
        <v>62</v>
      </c>
      <c r="D47" s="26" t="s">
        <v>21</v>
      </c>
      <c r="E47" s="24">
        <f>23600.005+1050</f>
        <v>24650.005000000001</v>
      </c>
      <c r="F47" s="24">
        <f>23600.005+1050</f>
        <v>24650.005000000001</v>
      </c>
      <c r="G47" s="25">
        <f>0+0</f>
        <v>0</v>
      </c>
      <c r="H47" s="24">
        <f t="shared" si="4"/>
        <v>19306.873</v>
      </c>
      <c r="I47" s="24">
        <v>19306.873</v>
      </c>
      <c r="J47" s="25">
        <v>0</v>
      </c>
      <c r="K47" s="26">
        <v>1</v>
      </c>
      <c r="L47" s="26">
        <v>1</v>
      </c>
      <c r="M47" s="27" t="s">
        <v>23</v>
      </c>
    </row>
    <row r="48" spans="1:13" ht="48">
      <c r="A48" s="1">
        <v>3</v>
      </c>
      <c r="B48" s="22">
        <v>17</v>
      </c>
      <c r="C48" s="23" t="s">
        <v>63</v>
      </c>
      <c r="D48" s="26" t="s">
        <v>16</v>
      </c>
      <c r="E48" s="24">
        <f>20031.728-2650</f>
        <v>17381.727999999999</v>
      </c>
      <c r="F48" s="24">
        <f>20031.728-2650</f>
        <v>17381.727999999999</v>
      </c>
      <c r="G48" s="25">
        <f>0-0</f>
        <v>0</v>
      </c>
      <c r="H48" s="24">
        <f t="shared" si="4"/>
        <v>9144.8150000000005</v>
      </c>
      <c r="I48" s="24">
        <v>9144.8150000000005</v>
      </c>
      <c r="J48" s="25">
        <v>0</v>
      </c>
      <c r="K48" s="26">
        <v>1</v>
      </c>
      <c r="L48" s="26"/>
      <c r="M48" s="27" t="s">
        <v>48</v>
      </c>
    </row>
    <row r="49" spans="1:14" ht="64">
      <c r="A49" s="1">
        <v>3</v>
      </c>
      <c r="B49" s="22">
        <v>18</v>
      </c>
      <c r="C49" s="23" t="s">
        <v>64</v>
      </c>
      <c r="D49" s="26" t="s">
        <v>34</v>
      </c>
      <c r="E49" s="24">
        <f>3000+5100</f>
        <v>8100</v>
      </c>
      <c r="F49" s="24">
        <f>2000+5100</f>
        <v>7100</v>
      </c>
      <c r="G49" s="25">
        <f>1000+0</f>
        <v>1000</v>
      </c>
      <c r="H49" s="24">
        <f t="shared" si="4"/>
        <v>8100</v>
      </c>
      <c r="I49" s="24">
        <v>7100</v>
      </c>
      <c r="J49" s="25">
        <v>1000</v>
      </c>
      <c r="K49" s="26">
        <v>1</v>
      </c>
      <c r="L49" s="26"/>
      <c r="M49" s="27" t="s">
        <v>23</v>
      </c>
    </row>
    <row r="50" spans="1:14" ht="80">
      <c r="A50" s="1">
        <v>3</v>
      </c>
      <c r="B50" s="22">
        <v>19</v>
      </c>
      <c r="C50" s="23" t="s">
        <v>65</v>
      </c>
      <c r="D50" s="26" t="s">
        <v>34</v>
      </c>
      <c r="E50" s="24">
        <f>3000+2550</f>
        <v>5550</v>
      </c>
      <c r="F50" s="24">
        <f>2000+2550</f>
        <v>4550</v>
      </c>
      <c r="G50" s="25">
        <f>1000+0</f>
        <v>1000</v>
      </c>
      <c r="H50" s="24">
        <f t="shared" si="4"/>
        <v>4412.643</v>
      </c>
      <c r="I50" s="24">
        <v>3412.643</v>
      </c>
      <c r="J50" s="25">
        <v>1000</v>
      </c>
      <c r="K50" s="26">
        <v>1</v>
      </c>
      <c r="L50" s="26"/>
      <c r="M50" s="27" t="s">
        <v>23</v>
      </c>
    </row>
    <row r="51" spans="1:14" ht="48">
      <c r="A51" s="1">
        <v>3</v>
      </c>
      <c r="B51" s="22">
        <v>20</v>
      </c>
      <c r="C51" s="23" t="s">
        <v>66</v>
      </c>
      <c r="D51" s="26" t="s">
        <v>32</v>
      </c>
      <c r="E51" s="24">
        <v>3000</v>
      </c>
      <c r="F51" s="24">
        <v>2000</v>
      </c>
      <c r="G51" s="25">
        <v>1000</v>
      </c>
      <c r="H51" s="24">
        <f t="shared" si="4"/>
        <v>101.562</v>
      </c>
      <c r="I51" s="24">
        <v>0</v>
      </c>
      <c r="J51" s="25">
        <v>101.562</v>
      </c>
      <c r="K51" s="26">
        <v>1</v>
      </c>
      <c r="L51" s="26"/>
      <c r="M51" s="27"/>
    </row>
    <row r="52" spans="1:14" ht="32">
      <c r="A52" s="1">
        <v>3</v>
      </c>
      <c r="B52" s="30">
        <v>21</v>
      </c>
      <c r="C52" s="31" t="s">
        <v>67</v>
      </c>
      <c r="D52" s="34"/>
      <c r="E52" s="32">
        <f>3000-3000</f>
        <v>0</v>
      </c>
      <c r="F52" s="32">
        <f>2000-2000</f>
        <v>0</v>
      </c>
      <c r="G52" s="33">
        <f>1000-1000</f>
        <v>0</v>
      </c>
      <c r="H52" s="32">
        <f t="shared" si="4"/>
        <v>0</v>
      </c>
      <c r="I52" s="32"/>
      <c r="J52" s="33"/>
      <c r="K52" s="34">
        <f>1-1</f>
        <v>0</v>
      </c>
      <c r="L52" s="34">
        <f>1-1</f>
        <v>0</v>
      </c>
      <c r="M52" s="35" t="s">
        <v>28</v>
      </c>
      <c r="N52" s="28"/>
    </row>
    <row r="53" spans="1:14" ht="48">
      <c r="A53" s="1">
        <v>3</v>
      </c>
      <c r="B53" s="22">
        <v>22</v>
      </c>
      <c r="C53" s="23" t="s">
        <v>68</v>
      </c>
      <c r="D53" s="26" t="s">
        <v>69</v>
      </c>
      <c r="E53" s="24">
        <v>4513.7879999999996</v>
      </c>
      <c r="F53" s="24">
        <v>4435.5039999999999</v>
      </c>
      <c r="G53" s="25">
        <v>78.284000000000006</v>
      </c>
      <c r="H53" s="24">
        <f t="shared" si="4"/>
        <v>0</v>
      </c>
      <c r="I53" s="24">
        <v>0</v>
      </c>
      <c r="J53" s="25">
        <v>0</v>
      </c>
      <c r="K53" s="26">
        <v>1</v>
      </c>
      <c r="L53" s="26"/>
      <c r="M53" s="27"/>
    </row>
    <row r="54" spans="1:14" ht="64">
      <c r="A54" s="1">
        <v>3</v>
      </c>
      <c r="B54" s="22">
        <v>23</v>
      </c>
      <c r="C54" s="23" t="s">
        <v>70</v>
      </c>
      <c r="D54" s="26">
        <v>2019</v>
      </c>
      <c r="E54" s="24">
        <f>3000+2221.9</f>
        <v>5221.8999999999996</v>
      </c>
      <c r="F54" s="24">
        <f>2000+2221.9</f>
        <v>4221.8999999999996</v>
      </c>
      <c r="G54" s="25">
        <f>1000+0</f>
        <v>1000</v>
      </c>
      <c r="H54" s="24">
        <f t="shared" si="4"/>
        <v>5196.7380000000003</v>
      </c>
      <c r="I54" s="24">
        <v>4197.5640000000003</v>
      </c>
      <c r="J54" s="25">
        <v>999.17399999999998</v>
      </c>
      <c r="K54" s="26">
        <v>1</v>
      </c>
      <c r="L54" s="26">
        <v>1</v>
      </c>
      <c r="M54" s="27" t="s">
        <v>23</v>
      </c>
    </row>
    <row r="55" spans="1:14" ht="65" thickBot="1">
      <c r="A55" s="1">
        <v>3</v>
      </c>
      <c r="B55" s="36">
        <v>24</v>
      </c>
      <c r="C55" s="37" t="s">
        <v>71</v>
      </c>
      <c r="D55" s="40" t="s">
        <v>34</v>
      </c>
      <c r="E55" s="38">
        <v>3000</v>
      </c>
      <c r="F55" s="38">
        <v>2000</v>
      </c>
      <c r="G55" s="39">
        <v>1000</v>
      </c>
      <c r="H55" s="38">
        <f t="shared" si="4"/>
        <v>0</v>
      </c>
      <c r="I55" s="38">
        <v>0</v>
      </c>
      <c r="J55" s="39">
        <v>0</v>
      </c>
      <c r="K55" s="40">
        <v>1</v>
      </c>
      <c r="L55" s="40"/>
      <c r="M55" s="41"/>
    </row>
    <row r="56" spans="1:14" ht="64">
      <c r="A56" s="1">
        <v>4</v>
      </c>
      <c r="B56" s="15"/>
      <c r="C56" s="16" t="s">
        <v>72</v>
      </c>
      <c r="D56" s="16"/>
      <c r="E56" s="17">
        <f>SUM(E57:E71)</f>
        <v>436575.85700000002</v>
      </c>
      <c r="F56" s="17">
        <f t="shared" ref="F56:L56" si="7">SUM(F57:F71)</f>
        <v>379644.41700000002</v>
      </c>
      <c r="G56" s="18">
        <f t="shared" si="7"/>
        <v>56931.44</v>
      </c>
      <c r="H56" s="17">
        <f t="shared" si="4"/>
        <v>314171.549</v>
      </c>
      <c r="I56" s="17">
        <f t="shared" si="7"/>
        <v>279874.71000000002</v>
      </c>
      <c r="J56" s="18">
        <f t="shared" si="7"/>
        <v>34296.839</v>
      </c>
      <c r="K56" s="20">
        <f t="shared" si="7"/>
        <v>14</v>
      </c>
      <c r="L56" s="20">
        <f t="shared" si="7"/>
        <v>2</v>
      </c>
      <c r="M56" s="21"/>
    </row>
    <row r="57" spans="1:14" ht="64">
      <c r="A57" s="1">
        <v>4</v>
      </c>
      <c r="B57" s="22">
        <v>1</v>
      </c>
      <c r="C57" s="23" t="s">
        <v>73</v>
      </c>
      <c r="D57" s="23" t="s">
        <v>21</v>
      </c>
      <c r="E57" s="24">
        <v>15000</v>
      </c>
      <c r="F57" s="24">
        <v>15000</v>
      </c>
      <c r="G57" s="25">
        <v>0</v>
      </c>
      <c r="H57" s="24">
        <f t="shared" si="4"/>
        <v>14887.749</v>
      </c>
      <c r="I57" s="24">
        <v>14887.749</v>
      </c>
      <c r="J57" s="25">
        <v>0</v>
      </c>
      <c r="K57" s="26">
        <v>1</v>
      </c>
      <c r="L57" s="26"/>
      <c r="M57" s="27"/>
    </row>
    <row r="58" spans="1:14" ht="64">
      <c r="A58" s="1">
        <v>4</v>
      </c>
      <c r="B58" s="22">
        <v>2</v>
      </c>
      <c r="C58" s="23" t="s">
        <v>74</v>
      </c>
      <c r="D58" s="23" t="s">
        <v>19</v>
      </c>
      <c r="E58" s="24">
        <v>11000</v>
      </c>
      <c r="F58" s="24">
        <v>3000</v>
      </c>
      <c r="G58" s="25">
        <v>8000</v>
      </c>
      <c r="H58" s="24">
        <f t="shared" si="4"/>
        <v>3498.1350000000002</v>
      </c>
      <c r="I58" s="24">
        <v>2991.482</v>
      </c>
      <c r="J58" s="25">
        <v>506.65300000000002</v>
      </c>
      <c r="K58" s="26">
        <v>1</v>
      </c>
      <c r="L58" s="26"/>
      <c r="M58" s="27"/>
    </row>
    <row r="59" spans="1:14" ht="48">
      <c r="A59" s="1">
        <v>4</v>
      </c>
      <c r="B59" s="22">
        <v>3</v>
      </c>
      <c r="C59" s="23" t="s">
        <v>75</v>
      </c>
      <c r="D59" s="23" t="s">
        <v>19</v>
      </c>
      <c r="E59" s="24">
        <v>28533</v>
      </c>
      <c r="F59" s="24">
        <v>28533</v>
      </c>
      <c r="G59" s="25">
        <v>0</v>
      </c>
      <c r="H59" s="24">
        <f t="shared" si="4"/>
        <v>25283.108</v>
      </c>
      <c r="I59" s="24">
        <v>25283.108</v>
      </c>
      <c r="J59" s="25">
        <v>0</v>
      </c>
      <c r="K59" s="26">
        <v>1</v>
      </c>
      <c r="L59" s="26">
        <v>1</v>
      </c>
      <c r="M59" s="27"/>
    </row>
    <row r="60" spans="1:14" ht="48">
      <c r="A60" s="1">
        <v>4</v>
      </c>
      <c r="B60" s="22">
        <v>4</v>
      </c>
      <c r="C60" s="23" t="s">
        <v>76</v>
      </c>
      <c r="D60" s="23" t="s">
        <v>19</v>
      </c>
      <c r="E60" s="24">
        <v>28266</v>
      </c>
      <c r="F60" s="24">
        <v>28266</v>
      </c>
      <c r="G60" s="25">
        <v>0</v>
      </c>
      <c r="H60" s="24">
        <f t="shared" si="4"/>
        <v>14520.334999999999</v>
      </c>
      <c r="I60" s="24">
        <v>14520.334999999999</v>
      </c>
      <c r="J60" s="25">
        <v>0</v>
      </c>
      <c r="K60" s="26">
        <v>1</v>
      </c>
      <c r="L60" s="26"/>
      <c r="M60" s="27"/>
    </row>
    <row r="61" spans="1:14" ht="64">
      <c r="A61" s="1">
        <v>4</v>
      </c>
      <c r="B61" s="22">
        <v>5</v>
      </c>
      <c r="C61" s="23" t="s">
        <v>77</v>
      </c>
      <c r="D61" s="23" t="s">
        <v>19</v>
      </c>
      <c r="E61" s="24">
        <v>20000</v>
      </c>
      <c r="F61" s="24">
        <v>15000</v>
      </c>
      <c r="G61" s="25">
        <v>5000</v>
      </c>
      <c r="H61" s="24">
        <f t="shared" si="4"/>
        <v>0</v>
      </c>
      <c r="I61" s="24">
        <v>0</v>
      </c>
      <c r="J61" s="25">
        <v>0</v>
      </c>
      <c r="K61" s="26">
        <v>1</v>
      </c>
      <c r="L61" s="26"/>
      <c r="M61" s="27"/>
    </row>
    <row r="62" spans="1:14" ht="64">
      <c r="A62" s="1">
        <v>4</v>
      </c>
      <c r="B62" s="22">
        <v>6</v>
      </c>
      <c r="C62" s="23" t="s">
        <v>78</v>
      </c>
      <c r="D62" s="23" t="s">
        <v>21</v>
      </c>
      <c r="E62" s="24">
        <f>23040+8729.546</f>
        <v>31769.546000000002</v>
      </c>
      <c r="F62" s="24">
        <f>23040+8729.546</f>
        <v>31769.546000000002</v>
      </c>
      <c r="G62" s="25">
        <f>0+0</f>
        <v>0</v>
      </c>
      <c r="H62" s="24">
        <f t="shared" si="4"/>
        <v>11853.385</v>
      </c>
      <c r="I62" s="24">
        <v>11853.385</v>
      </c>
      <c r="J62" s="25">
        <v>0</v>
      </c>
      <c r="K62" s="26">
        <v>1</v>
      </c>
      <c r="L62" s="26"/>
      <c r="M62" s="27" t="s">
        <v>23</v>
      </c>
    </row>
    <row r="63" spans="1:14" ht="64">
      <c r="A63" s="1">
        <v>4</v>
      </c>
      <c r="B63" s="22">
        <v>7</v>
      </c>
      <c r="C63" s="23" t="s">
        <v>79</v>
      </c>
      <c r="D63" s="23" t="s">
        <v>19</v>
      </c>
      <c r="E63" s="24">
        <v>30931.439999999999</v>
      </c>
      <c r="F63" s="24">
        <v>12000</v>
      </c>
      <c r="G63" s="25">
        <v>18931.439999999999</v>
      </c>
      <c r="H63" s="24">
        <f t="shared" si="4"/>
        <v>30789.113000000001</v>
      </c>
      <c r="I63" s="24">
        <v>11860.376</v>
      </c>
      <c r="J63" s="25">
        <v>18928.737000000001</v>
      </c>
      <c r="K63" s="26">
        <v>1</v>
      </c>
      <c r="L63" s="26"/>
      <c r="M63" s="27"/>
    </row>
    <row r="64" spans="1:14" ht="80">
      <c r="A64" s="1">
        <v>4</v>
      </c>
      <c r="B64" s="22">
        <v>8</v>
      </c>
      <c r="C64" s="23" t="s">
        <v>80</v>
      </c>
      <c r="D64" s="23" t="s">
        <v>81</v>
      </c>
      <c r="E64" s="24">
        <v>21777</v>
      </c>
      <c r="F64" s="24">
        <v>21777</v>
      </c>
      <c r="G64" s="25">
        <v>0</v>
      </c>
      <c r="H64" s="24">
        <f t="shared" si="4"/>
        <v>11243.846</v>
      </c>
      <c r="I64" s="24">
        <v>11243.846</v>
      </c>
      <c r="J64" s="25">
        <v>0</v>
      </c>
      <c r="K64" s="26">
        <v>1</v>
      </c>
      <c r="L64" s="26"/>
      <c r="M64" s="27"/>
    </row>
    <row r="65" spans="1:13" ht="48">
      <c r="A65" s="1">
        <v>4</v>
      </c>
      <c r="B65" s="22">
        <v>9</v>
      </c>
      <c r="C65" s="23" t="s">
        <v>82</v>
      </c>
      <c r="D65" s="23" t="s">
        <v>81</v>
      </c>
      <c r="E65" s="24">
        <v>44444</v>
      </c>
      <c r="F65" s="24">
        <v>44444</v>
      </c>
      <c r="G65" s="25">
        <v>0</v>
      </c>
      <c r="H65" s="24">
        <f t="shared" si="4"/>
        <v>37912.256999999998</v>
      </c>
      <c r="I65" s="24">
        <v>37912.256999999998</v>
      </c>
      <c r="J65" s="25">
        <v>0</v>
      </c>
      <c r="K65" s="26">
        <v>1</v>
      </c>
      <c r="L65" s="26"/>
      <c r="M65" s="27"/>
    </row>
    <row r="66" spans="1:13" ht="48">
      <c r="A66" s="1">
        <v>4</v>
      </c>
      <c r="B66" s="22">
        <v>10</v>
      </c>
      <c r="C66" s="23" t="s">
        <v>83</v>
      </c>
      <c r="D66" s="23" t="s">
        <v>81</v>
      </c>
      <c r="E66" s="24">
        <f>16160+10000</f>
        <v>26160</v>
      </c>
      <c r="F66" s="24">
        <f>16160+5000</f>
        <v>21160</v>
      </c>
      <c r="G66" s="25">
        <f>0+5000</f>
        <v>5000</v>
      </c>
      <c r="H66" s="24">
        <f t="shared" si="4"/>
        <v>22182.400999999998</v>
      </c>
      <c r="I66" s="24">
        <v>21159.903999999999</v>
      </c>
      <c r="J66" s="25">
        <v>1022.497</v>
      </c>
      <c r="K66" s="26">
        <v>1</v>
      </c>
      <c r="L66" s="26">
        <v>1</v>
      </c>
      <c r="M66" s="27" t="s">
        <v>23</v>
      </c>
    </row>
    <row r="67" spans="1:13" ht="64">
      <c r="A67" s="1">
        <v>4</v>
      </c>
      <c r="B67" s="22">
        <v>11</v>
      </c>
      <c r="C67" s="23" t="s">
        <v>84</v>
      </c>
      <c r="D67" s="23">
        <v>2019</v>
      </c>
      <c r="E67" s="24">
        <f>58239.492+25000</f>
        <v>83239.491999999998</v>
      </c>
      <c r="F67" s="24">
        <f>58239.492+15000</f>
        <v>73239.491999999998</v>
      </c>
      <c r="G67" s="25">
        <f>0+10000</f>
        <v>10000</v>
      </c>
      <c r="H67" s="24">
        <f t="shared" si="4"/>
        <v>78601.937999999995</v>
      </c>
      <c r="I67" s="24">
        <v>68601.937999999995</v>
      </c>
      <c r="J67" s="25">
        <v>10000</v>
      </c>
      <c r="K67" s="26">
        <v>1</v>
      </c>
      <c r="L67" s="26"/>
      <c r="M67" s="27" t="s">
        <v>23</v>
      </c>
    </row>
    <row r="68" spans="1:13" ht="48">
      <c r="A68" s="1">
        <v>4</v>
      </c>
      <c r="B68" s="30">
        <v>12</v>
      </c>
      <c r="C68" s="31" t="s">
        <v>85</v>
      </c>
      <c r="D68" s="31"/>
      <c r="E68" s="32">
        <f>58729.546-58729.546</f>
        <v>0</v>
      </c>
      <c r="F68" s="32">
        <f>43729.546-43729.546</f>
        <v>0</v>
      </c>
      <c r="G68" s="33">
        <f>15000-15000</f>
        <v>0</v>
      </c>
      <c r="H68" s="32">
        <f t="shared" si="4"/>
        <v>0</v>
      </c>
      <c r="I68" s="32"/>
      <c r="J68" s="33"/>
      <c r="K68" s="34">
        <f>1-1</f>
        <v>0</v>
      </c>
      <c r="L68" s="34">
        <v>0</v>
      </c>
      <c r="M68" s="35" t="s">
        <v>28</v>
      </c>
    </row>
    <row r="69" spans="1:13" ht="32">
      <c r="A69" s="1">
        <v>4</v>
      </c>
      <c r="B69" s="22">
        <v>13</v>
      </c>
      <c r="C69" s="23" t="s">
        <v>86</v>
      </c>
      <c r="D69" s="23">
        <v>2019</v>
      </c>
      <c r="E69" s="24">
        <v>34300</v>
      </c>
      <c r="F69" s="24">
        <v>34300</v>
      </c>
      <c r="G69" s="25">
        <v>0</v>
      </c>
      <c r="H69" s="24">
        <f t="shared" si="4"/>
        <v>8416.32</v>
      </c>
      <c r="I69" s="24">
        <v>8416.32</v>
      </c>
      <c r="J69" s="25">
        <v>0</v>
      </c>
      <c r="K69" s="26">
        <v>1</v>
      </c>
      <c r="L69" s="26"/>
      <c r="M69" s="27"/>
    </row>
    <row r="70" spans="1:13" ht="48">
      <c r="A70" s="1">
        <v>4</v>
      </c>
      <c r="B70" s="22">
        <v>14</v>
      </c>
      <c r="C70" s="23" t="s">
        <v>87</v>
      </c>
      <c r="D70" s="23">
        <v>2019</v>
      </c>
      <c r="E70" s="24">
        <f>40000+15000</f>
        <v>55000</v>
      </c>
      <c r="F70" s="24">
        <f>36155.379+15000</f>
        <v>51155.379000000001</v>
      </c>
      <c r="G70" s="25">
        <f>3844.621+0</f>
        <v>3844.6210000000001</v>
      </c>
      <c r="H70" s="24">
        <f t="shared" si="4"/>
        <v>54982.962</v>
      </c>
      <c r="I70" s="24">
        <v>51144.01</v>
      </c>
      <c r="J70" s="25">
        <v>3838.9520000000002</v>
      </c>
      <c r="K70" s="26">
        <v>1</v>
      </c>
      <c r="L70" s="26"/>
      <c r="M70" s="27" t="s">
        <v>23</v>
      </c>
    </row>
    <row r="71" spans="1:13" ht="33" thickBot="1">
      <c r="A71" s="1">
        <v>4</v>
      </c>
      <c r="B71" s="36">
        <v>15</v>
      </c>
      <c r="C71" s="37" t="s">
        <v>88</v>
      </c>
      <c r="D71" s="37">
        <v>2019</v>
      </c>
      <c r="E71" s="38">
        <v>6155.3789999999999</v>
      </c>
      <c r="F71" s="38">
        <v>0</v>
      </c>
      <c r="G71" s="39">
        <v>6155.3789999999999</v>
      </c>
      <c r="H71" s="38">
        <f t="shared" si="4"/>
        <v>0</v>
      </c>
      <c r="I71" s="38">
        <v>0</v>
      </c>
      <c r="J71" s="39">
        <v>0</v>
      </c>
      <c r="K71" s="40">
        <v>1</v>
      </c>
      <c r="L71" s="40"/>
      <c r="M71" s="41"/>
    </row>
    <row r="72" spans="1:13" ht="64">
      <c r="A72" s="1">
        <v>5</v>
      </c>
      <c r="B72" s="15"/>
      <c r="C72" s="16" t="s">
        <v>89</v>
      </c>
      <c r="D72" s="16"/>
      <c r="E72" s="17">
        <f>SUM(E73:E124)</f>
        <v>754595.29399999999</v>
      </c>
      <c r="F72" s="17">
        <f t="shared" ref="F72:L72" si="8">SUM(F73:F124)</f>
        <v>674655.99400000006</v>
      </c>
      <c r="G72" s="18">
        <f t="shared" si="8"/>
        <v>79939.3</v>
      </c>
      <c r="H72" s="17">
        <f t="shared" si="4"/>
        <v>519187.163</v>
      </c>
      <c r="I72" s="17">
        <f t="shared" si="8"/>
        <v>485368.24900000001</v>
      </c>
      <c r="J72" s="18">
        <f t="shared" si="8"/>
        <v>33818.913999999997</v>
      </c>
      <c r="K72" s="20">
        <f t="shared" si="8"/>
        <v>49</v>
      </c>
      <c r="L72" s="20">
        <f t="shared" si="8"/>
        <v>20</v>
      </c>
      <c r="M72" s="21"/>
    </row>
    <row r="73" spans="1:13" ht="48">
      <c r="A73" s="1">
        <v>5</v>
      </c>
      <c r="B73" s="22">
        <v>1</v>
      </c>
      <c r="C73" s="23" t="s">
        <v>90</v>
      </c>
      <c r="D73" s="26" t="s">
        <v>19</v>
      </c>
      <c r="E73" s="24">
        <v>265.76299999999998</v>
      </c>
      <c r="F73" s="24">
        <v>265.76299999999998</v>
      </c>
      <c r="G73" s="25">
        <v>0</v>
      </c>
      <c r="H73" s="24">
        <f t="shared" si="4"/>
        <v>265.76299999999998</v>
      </c>
      <c r="I73" s="24">
        <v>265.76299999999998</v>
      </c>
      <c r="J73" s="25">
        <v>0</v>
      </c>
      <c r="K73" s="26">
        <v>1</v>
      </c>
      <c r="L73" s="26">
        <v>1</v>
      </c>
      <c r="M73" s="27"/>
    </row>
    <row r="74" spans="1:13" ht="48">
      <c r="A74" s="1">
        <v>5</v>
      </c>
      <c r="B74" s="22">
        <v>2</v>
      </c>
      <c r="C74" s="23" t="s">
        <v>91</v>
      </c>
      <c r="D74" s="26" t="s">
        <v>21</v>
      </c>
      <c r="E74" s="24">
        <v>1639.548</v>
      </c>
      <c r="F74" s="24">
        <v>1639.548</v>
      </c>
      <c r="G74" s="25">
        <v>0</v>
      </c>
      <c r="H74" s="24">
        <f t="shared" ref="H74:H137" si="9">I74+J74</f>
        <v>845.15599999999995</v>
      </c>
      <c r="I74" s="24">
        <v>845.15599999999995</v>
      </c>
      <c r="J74" s="25">
        <v>0</v>
      </c>
      <c r="K74" s="26">
        <v>1</v>
      </c>
      <c r="L74" s="26"/>
      <c r="M74" s="27"/>
    </row>
    <row r="75" spans="1:13" ht="48">
      <c r="A75" s="1">
        <v>5</v>
      </c>
      <c r="B75" s="22">
        <v>3</v>
      </c>
      <c r="C75" s="23" t="s">
        <v>92</v>
      </c>
      <c r="D75" s="26" t="s">
        <v>21</v>
      </c>
      <c r="E75" s="24">
        <v>14590.084000000001</v>
      </c>
      <c r="F75" s="24">
        <v>14590.084000000001</v>
      </c>
      <c r="G75" s="25">
        <v>0</v>
      </c>
      <c r="H75" s="24">
        <f t="shared" si="9"/>
        <v>5977.817</v>
      </c>
      <c r="I75" s="24">
        <v>5977.817</v>
      </c>
      <c r="J75" s="25">
        <v>0</v>
      </c>
      <c r="K75" s="26">
        <v>1</v>
      </c>
      <c r="L75" s="26"/>
      <c r="M75" s="27"/>
    </row>
    <row r="76" spans="1:13" ht="64">
      <c r="A76" s="1">
        <v>5</v>
      </c>
      <c r="B76" s="22">
        <v>4</v>
      </c>
      <c r="C76" s="23" t="s">
        <v>93</v>
      </c>
      <c r="D76" s="26" t="s">
        <v>21</v>
      </c>
      <c r="E76" s="24">
        <v>6908.8919999999998</v>
      </c>
      <c r="F76" s="24">
        <v>6908.8919999999998</v>
      </c>
      <c r="G76" s="25">
        <v>0</v>
      </c>
      <c r="H76" s="24">
        <f t="shared" si="9"/>
        <v>6753.8649999999998</v>
      </c>
      <c r="I76" s="24">
        <v>6753.8649999999998</v>
      </c>
      <c r="J76" s="25">
        <v>0</v>
      </c>
      <c r="K76" s="26">
        <v>1</v>
      </c>
      <c r="L76" s="26"/>
      <c r="M76" s="27"/>
    </row>
    <row r="77" spans="1:13" ht="48">
      <c r="A77" s="1">
        <v>5</v>
      </c>
      <c r="B77" s="22">
        <v>5</v>
      </c>
      <c r="C77" s="23" t="s">
        <v>94</v>
      </c>
      <c r="D77" s="26" t="s">
        <v>21</v>
      </c>
      <c r="E77" s="24">
        <v>2185.7579999999998</v>
      </c>
      <c r="F77" s="24">
        <v>2185.7579999999998</v>
      </c>
      <c r="G77" s="25">
        <v>0</v>
      </c>
      <c r="H77" s="24">
        <f t="shared" si="9"/>
        <v>2185.7339999999999</v>
      </c>
      <c r="I77" s="24">
        <v>2185.7339999999999</v>
      </c>
      <c r="J77" s="25">
        <v>0</v>
      </c>
      <c r="K77" s="26">
        <v>1</v>
      </c>
      <c r="L77" s="26">
        <v>1</v>
      </c>
      <c r="M77" s="27"/>
    </row>
    <row r="78" spans="1:13" ht="64">
      <c r="A78" s="1">
        <v>5</v>
      </c>
      <c r="B78" s="22">
        <v>6</v>
      </c>
      <c r="C78" s="23" t="s">
        <v>95</v>
      </c>
      <c r="D78" s="26" t="s">
        <v>21</v>
      </c>
      <c r="E78" s="24">
        <v>20778.194</v>
      </c>
      <c r="F78" s="24">
        <v>20778.194</v>
      </c>
      <c r="G78" s="25">
        <v>0</v>
      </c>
      <c r="H78" s="24">
        <f t="shared" si="9"/>
        <v>20406.796999999999</v>
      </c>
      <c r="I78" s="24">
        <v>20406.796999999999</v>
      </c>
      <c r="J78" s="25">
        <v>0</v>
      </c>
      <c r="K78" s="26">
        <v>1</v>
      </c>
      <c r="L78" s="26"/>
      <c r="M78" s="27"/>
    </row>
    <row r="79" spans="1:13" ht="48">
      <c r="A79" s="1">
        <v>5</v>
      </c>
      <c r="B79" s="22">
        <v>7</v>
      </c>
      <c r="C79" s="23" t="s">
        <v>96</v>
      </c>
      <c r="D79" s="26" t="s">
        <v>21</v>
      </c>
      <c r="E79" s="24">
        <v>7591.2969999999996</v>
      </c>
      <c r="F79" s="24">
        <v>7591.2969999999996</v>
      </c>
      <c r="G79" s="25">
        <v>0</v>
      </c>
      <c r="H79" s="24">
        <f t="shared" si="9"/>
        <v>7575.3779999999997</v>
      </c>
      <c r="I79" s="24">
        <v>7575.3779999999997</v>
      </c>
      <c r="J79" s="25">
        <v>0</v>
      </c>
      <c r="K79" s="26">
        <v>1</v>
      </c>
      <c r="L79" s="26"/>
      <c r="M79" s="27" t="s">
        <v>97</v>
      </c>
    </row>
    <row r="80" spans="1:13" ht="32">
      <c r="A80" s="1">
        <v>5</v>
      </c>
      <c r="B80" s="22">
        <v>8</v>
      </c>
      <c r="C80" s="23" t="s">
        <v>98</v>
      </c>
      <c r="D80" s="26" t="s">
        <v>19</v>
      </c>
      <c r="E80" s="24">
        <v>479.02199999999999</v>
      </c>
      <c r="F80" s="24">
        <v>479.02199999999999</v>
      </c>
      <c r="G80" s="25">
        <v>0</v>
      </c>
      <c r="H80" s="24">
        <f t="shared" si="9"/>
        <v>479.02199999999999</v>
      </c>
      <c r="I80" s="24">
        <v>479.02199999999999</v>
      </c>
      <c r="J80" s="25">
        <v>0</v>
      </c>
      <c r="K80" s="26">
        <v>1</v>
      </c>
      <c r="L80" s="26">
        <v>1</v>
      </c>
      <c r="M80" s="27" t="s">
        <v>99</v>
      </c>
    </row>
    <row r="81" spans="1:13" ht="32">
      <c r="A81" s="1">
        <v>5</v>
      </c>
      <c r="B81" s="22">
        <v>9</v>
      </c>
      <c r="C81" s="23" t="s">
        <v>100</v>
      </c>
      <c r="D81" s="26" t="s">
        <v>19</v>
      </c>
      <c r="E81" s="24">
        <v>905.4</v>
      </c>
      <c r="F81" s="24">
        <v>905.4</v>
      </c>
      <c r="G81" s="25">
        <v>0</v>
      </c>
      <c r="H81" s="24">
        <f t="shared" si="9"/>
        <v>864.20600000000002</v>
      </c>
      <c r="I81" s="24">
        <v>864.20600000000002</v>
      </c>
      <c r="J81" s="25">
        <v>0</v>
      </c>
      <c r="K81" s="26">
        <v>1</v>
      </c>
      <c r="L81" s="26">
        <v>1</v>
      </c>
      <c r="M81" s="27" t="s">
        <v>99</v>
      </c>
    </row>
    <row r="82" spans="1:13" ht="64">
      <c r="A82" s="1">
        <v>5</v>
      </c>
      <c r="B82" s="22">
        <v>10</v>
      </c>
      <c r="C82" s="23" t="s">
        <v>101</v>
      </c>
      <c r="D82" s="26" t="s">
        <v>19</v>
      </c>
      <c r="E82" s="24">
        <v>4105.3130000000001</v>
      </c>
      <c r="F82" s="24">
        <v>4105.3130000000001</v>
      </c>
      <c r="G82" s="25">
        <v>0</v>
      </c>
      <c r="H82" s="24">
        <f t="shared" si="9"/>
        <v>3408.991</v>
      </c>
      <c r="I82" s="24">
        <v>3408.991</v>
      </c>
      <c r="J82" s="25">
        <v>0</v>
      </c>
      <c r="K82" s="26">
        <v>1</v>
      </c>
      <c r="L82" s="26">
        <v>1</v>
      </c>
      <c r="M82" s="27"/>
    </row>
    <row r="83" spans="1:13" ht="32">
      <c r="A83" s="1">
        <v>5</v>
      </c>
      <c r="B83" s="22">
        <v>11</v>
      </c>
      <c r="C83" s="23" t="s">
        <v>102</v>
      </c>
      <c r="D83" s="26" t="s">
        <v>19</v>
      </c>
      <c r="E83" s="24">
        <v>7767.8980000000001</v>
      </c>
      <c r="F83" s="24">
        <v>7767.8980000000001</v>
      </c>
      <c r="G83" s="25">
        <v>0</v>
      </c>
      <c r="H83" s="24">
        <f t="shared" si="9"/>
        <v>5638.4870000000001</v>
      </c>
      <c r="I83" s="24">
        <v>5638.4870000000001</v>
      </c>
      <c r="J83" s="25">
        <v>0</v>
      </c>
      <c r="K83" s="26">
        <v>1</v>
      </c>
      <c r="L83" s="26"/>
      <c r="M83" s="27"/>
    </row>
    <row r="84" spans="1:13" ht="48">
      <c r="A84" s="1">
        <v>5</v>
      </c>
      <c r="B84" s="22">
        <v>12</v>
      </c>
      <c r="C84" s="23" t="s">
        <v>103</v>
      </c>
      <c r="D84" s="26" t="s">
        <v>19</v>
      </c>
      <c r="E84" s="24">
        <v>6010.19</v>
      </c>
      <c r="F84" s="24">
        <v>6010.19</v>
      </c>
      <c r="G84" s="25">
        <v>0</v>
      </c>
      <c r="H84" s="24">
        <f t="shared" si="9"/>
        <v>6010.19</v>
      </c>
      <c r="I84" s="24">
        <v>6010.19</v>
      </c>
      <c r="J84" s="25">
        <v>0</v>
      </c>
      <c r="K84" s="26">
        <v>1</v>
      </c>
      <c r="L84" s="26">
        <v>1</v>
      </c>
      <c r="M84" s="27"/>
    </row>
    <row r="85" spans="1:13" ht="48">
      <c r="A85" s="1">
        <v>5</v>
      </c>
      <c r="B85" s="22">
        <v>13</v>
      </c>
      <c r="C85" s="23" t="s">
        <v>104</v>
      </c>
      <c r="D85" s="26" t="s">
        <v>19</v>
      </c>
      <c r="E85" s="24">
        <v>8.3629999999999995</v>
      </c>
      <c r="F85" s="24">
        <v>8.3629999999999995</v>
      </c>
      <c r="G85" s="25">
        <v>0</v>
      </c>
      <c r="H85" s="24">
        <f t="shared" si="9"/>
        <v>8.3629999999999995</v>
      </c>
      <c r="I85" s="24">
        <v>8.3629999999999995</v>
      </c>
      <c r="J85" s="25">
        <v>0</v>
      </c>
      <c r="K85" s="26">
        <v>1</v>
      </c>
      <c r="L85" s="26">
        <v>1</v>
      </c>
      <c r="M85" s="27"/>
    </row>
    <row r="86" spans="1:13" ht="64">
      <c r="A86" s="1">
        <v>5</v>
      </c>
      <c r="B86" s="22">
        <v>14</v>
      </c>
      <c r="C86" s="23" t="s">
        <v>105</v>
      </c>
      <c r="D86" s="26" t="s">
        <v>19</v>
      </c>
      <c r="E86" s="24">
        <v>2057.817</v>
      </c>
      <c r="F86" s="24">
        <v>2057.817</v>
      </c>
      <c r="G86" s="25">
        <v>0</v>
      </c>
      <c r="H86" s="24">
        <f t="shared" si="9"/>
        <v>2006.2059999999999</v>
      </c>
      <c r="I86" s="24">
        <v>2006.2059999999999</v>
      </c>
      <c r="J86" s="25">
        <v>0</v>
      </c>
      <c r="K86" s="26">
        <v>1</v>
      </c>
      <c r="L86" s="26">
        <v>1</v>
      </c>
      <c r="M86" s="27"/>
    </row>
    <row r="87" spans="1:13" ht="32">
      <c r="A87" s="1">
        <v>5</v>
      </c>
      <c r="B87" s="22">
        <v>15</v>
      </c>
      <c r="C87" s="23" t="s">
        <v>106</v>
      </c>
      <c r="D87" s="26" t="s">
        <v>19</v>
      </c>
      <c r="E87" s="24">
        <v>5852.7</v>
      </c>
      <c r="F87" s="24">
        <v>5852.7</v>
      </c>
      <c r="G87" s="25">
        <v>0</v>
      </c>
      <c r="H87" s="24">
        <f t="shared" si="9"/>
        <v>4986.4539999999997</v>
      </c>
      <c r="I87" s="24">
        <v>4986.4539999999997</v>
      </c>
      <c r="J87" s="25">
        <v>0</v>
      </c>
      <c r="K87" s="26">
        <v>1</v>
      </c>
      <c r="L87" s="26"/>
      <c r="M87" s="27"/>
    </row>
    <row r="88" spans="1:13" ht="48">
      <c r="A88" s="1">
        <v>5</v>
      </c>
      <c r="B88" s="22">
        <v>16</v>
      </c>
      <c r="C88" s="23" t="s">
        <v>107</v>
      </c>
      <c r="D88" s="26" t="s">
        <v>19</v>
      </c>
      <c r="E88" s="24">
        <v>17456.701000000001</v>
      </c>
      <c r="F88" s="24">
        <v>17456.701000000001</v>
      </c>
      <c r="G88" s="25">
        <v>0</v>
      </c>
      <c r="H88" s="24">
        <f t="shared" si="9"/>
        <v>900</v>
      </c>
      <c r="I88" s="24">
        <v>900</v>
      </c>
      <c r="J88" s="25">
        <v>0</v>
      </c>
      <c r="K88" s="26">
        <v>1</v>
      </c>
      <c r="L88" s="26"/>
      <c r="M88" s="27"/>
    </row>
    <row r="89" spans="1:13" ht="32">
      <c r="A89" s="1">
        <v>5</v>
      </c>
      <c r="B89" s="22">
        <v>17</v>
      </c>
      <c r="C89" s="23" t="s">
        <v>108</v>
      </c>
      <c r="D89" s="26" t="s">
        <v>19</v>
      </c>
      <c r="E89" s="24">
        <v>758.08199999999999</v>
      </c>
      <c r="F89" s="24">
        <v>758.08199999999999</v>
      </c>
      <c r="G89" s="25">
        <v>0</v>
      </c>
      <c r="H89" s="24">
        <f t="shared" si="9"/>
        <v>740.91700000000003</v>
      </c>
      <c r="I89" s="24">
        <v>740.91700000000003</v>
      </c>
      <c r="J89" s="25">
        <v>0</v>
      </c>
      <c r="K89" s="26">
        <v>1</v>
      </c>
      <c r="L89" s="26">
        <v>1</v>
      </c>
      <c r="M89" s="27" t="s">
        <v>97</v>
      </c>
    </row>
    <row r="90" spans="1:13" ht="32">
      <c r="A90" s="1">
        <v>5</v>
      </c>
      <c r="B90" s="22">
        <v>18</v>
      </c>
      <c r="C90" s="23" t="s">
        <v>109</v>
      </c>
      <c r="D90" s="26" t="s">
        <v>19</v>
      </c>
      <c r="E90" s="24">
        <v>1665.9770000000001</v>
      </c>
      <c r="F90" s="24">
        <v>1665.9770000000001</v>
      </c>
      <c r="G90" s="25">
        <v>0</v>
      </c>
      <c r="H90" s="24">
        <f t="shared" si="9"/>
        <v>1576.6959999999999</v>
      </c>
      <c r="I90" s="24">
        <v>1576.6959999999999</v>
      </c>
      <c r="J90" s="25">
        <v>0</v>
      </c>
      <c r="K90" s="26">
        <v>1</v>
      </c>
      <c r="L90" s="26">
        <v>1</v>
      </c>
      <c r="M90" s="27"/>
    </row>
    <row r="91" spans="1:13" ht="32">
      <c r="A91" s="1">
        <v>5</v>
      </c>
      <c r="B91" s="22">
        <v>19</v>
      </c>
      <c r="C91" s="23" t="s">
        <v>110</v>
      </c>
      <c r="D91" s="26" t="s">
        <v>19</v>
      </c>
      <c r="E91" s="24">
        <v>2423.279</v>
      </c>
      <c r="F91" s="24">
        <v>2423.279</v>
      </c>
      <c r="G91" s="25">
        <v>0</v>
      </c>
      <c r="H91" s="24">
        <f t="shared" si="9"/>
        <v>2371.2130000000002</v>
      </c>
      <c r="I91" s="24">
        <v>2371.2130000000002</v>
      </c>
      <c r="J91" s="25">
        <v>0</v>
      </c>
      <c r="K91" s="26">
        <v>1</v>
      </c>
      <c r="L91" s="26">
        <v>1</v>
      </c>
      <c r="M91" s="27" t="s">
        <v>97</v>
      </c>
    </row>
    <row r="92" spans="1:13" ht="48">
      <c r="A92" s="1">
        <v>5</v>
      </c>
      <c r="B92" s="22">
        <v>20</v>
      </c>
      <c r="C92" s="23" t="s">
        <v>111</v>
      </c>
      <c r="D92" s="26" t="s">
        <v>19</v>
      </c>
      <c r="E92" s="24">
        <v>1142.135</v>
      </c>
      <c r="F92" s="24">
        <v>1142.135</v>
      </c>
      <c r="G92" s="25">
        <v>0</v>
      </c>
      <c r="H92" s="24">
        <f t="shared" si="9"/>
        <v>1142.134</v>
      </c>
      <c r="I92" s="24">
        <v>1142.134</v>
      </c>
      <c r="J92" s="25">
        <v>0</v>
      </c>
      <c r="K92" s="26">
        <v>1</v>
      </c>
      <c r="L92" s="26">
        <v>1</v>
      </c>
      <c r="M92" s="27"/>
    </row>
    <row r="93" spans="1:13" ht="48">
      <c r="A93" s="1">
        <v>5</v>
      </c>
      <c r="B93" s="22">
        <v>21</v>
      </c>
      <c r="C93" s="23" t="s">
        <v>112</v>
      </c>
      <c r="D93" s="26" t="s">
        <v>19</v>
      </c>
      <c r="E93" s="24">
        <v>2081.0259999999998</v>
      </c>
      <c r="F93" s="24">
        <v>2081.0259999999998</v>
      </c>
      <c r="G93" s="25">
        <v>0</v>
      </c>
      <c r="H93" s="24">
        <f t="shared" si="9"/>
        <v>2081.0250000000001</v>
      </c>
      <c r="I93" s="24">
        <v>2081.0250000000001</v>
      </c>
      <c r="J93" s="25">
        <v>0</v>
      </c>
      <c r="K93" s="26">
        <v>1</v>
      </c>
      <c r="L93" s="26">
        <v>1</v>
      </c>
      <c r="M93" s="27"/>
    </row>
    <row r="94" spans="1:13" ht="48">
      <c r="A94" s="1">
        <v>5</v>
      </c>
      <c r="B94" s="22">
        <v>22</v>
      </c>
      <c r="C94" s="23" t="s">
        <v>113</v>
      </c>
      <c r="D94" s="26" t="s">
        <v>19</v>
      </c>
      <c r="E94" s="24">
        <v>28000</v>
      </c>
      <c r="F94" s="24">
        <v>28000</v>
      </c>
      <c r="G94" s="25">
        <v>0</v>
      </c>
      <c r="H94" s="24">
        <f t="shared" si="9"/>
        <v>27920.876</v>
      </c>
      <c r="I94" s="24">
        <v>27920.876</v>
      </c>
      <c r="J94" s="25">
        <v>0</v>
      </c>
      <c r="K94" s="26">
        <v>1</v>
      </c>
      <c r="L94" s="26"/>
      <c r="M94" s="27"/>
    </row>
    <row r="95" spans="1:13" ht="48">
      <c r="A95" s="1">
        <v>5</v>
      </c>
      <c r="B95" s="22">
        <v>23</v>
      </c>
      <c r="C95" s="23" t="s">
        <v>114</v>
      </c>
      <c r="D95" s="26" t="s">
        <v>19</v>
      </c>
      <c r="E95" s="24">
        <v>16187.11</v>
      </c>
      <c r="F95" s="24">
        <v>16187.11</v>
      </c>
      <c r="G95" s="25">
        <v>0</v>
      </c>
      <c r="H95" s="24">
        <f t="shared" si="9"/>
        <v>88.222999999999999</v>
      </c>
      <c r="I95" s="24">
        <v>88.222999999999999</v>
      </c>
      <c r="J95" s="25">
        <v>0</v>
      </c>
      <c r="K95" s="26">
        <v>1</v>
      </c>
      <c r="L95" s="26"/>
      <c r="M95" s="27"/>
    </row>
    <row r="96" spans="1:13" ht="48">
      <c r="A96" s="1">
        <v>5</v>
      </c>
      <c r="B96" s="22">
        <v>24</v>
      </c>
      <c r="C96" s="23" t="s">
        <v>115</v>
      </c>
      <c r="D96" s="26" t="s">
        <v>19</v>
      </c>
      <c r="E96" s="24">
        <v>11542.373</v>
      </c>
      <c r="F96" s="24">
        <v>11542.373</v>
      </c>
      <c r="G96" s="25">
        <v>0</v>
      </c>
      <c r="H96" s="24">
        <f t="shared" si="9"/>
        <v>11542.373</v>
      </c>
      <c r="I96" s="24">
        <v>11542.373</v>
      </c>
      <c r="J96" s="25">
        <v>0</v>
      </c>
      <c r="K96" s="26">
        <v>1</v>
      </c>
      <c r="L96" s="26"/>
      <c r="M96" s="27"/>
    </row>
    <row r="97" spans="1:13" ht="48">
      <c r="A97" s="1">
        <v>5</v>
      </c>
      <c r="B97" s="22">
        <v>25</v>
      </c>
      <c r="C97" s="23" t="s">
        <v>116</v>
      </c>
      <c r="D97" s="26" t="s">
        <v>19</v>
      </c>
      <c r="E97" s="24">
        <v>105217.255</v>
      </c>
      <c r="F97" s="24">
        <v>105217.255</v>
      </c>
      <c r="G97" s="25">
        <v>0</v>
      </c>
      <c r="H97" s="24">
        <f t="shared" si="9"/>
        <v>94638.731</v>
      </c>
      <c r="I97" s="24">
        <v>94638.731</v>
      </c>
      <c r="J97" s="25">
        <v>0</v>
      </c>
      <c r="K97" s="26">
        <v>1</v>
      </c>
      <c r="L97" s="26"/>
      <c r="M97" s="27"/>
    </row>
    <row r="98" spans="1:13" ht="48">
      <c r="A98" s="1">
        <v>5</v>
      </c>
      <c r="B98" s="22">
        <v>26</v>
      </c>
      <c r="C98" s="23" t="s">
        <v>117</v>
      </c>
      <c r="D98" s="26" t="s">
        <v>19</v>
      </c>
      <c r="E98" s="24">
        <v>11187.117</v>
      </c>
      <c r="F98" s="24">
        <v>11187.117</v>
      </c>
      <c r="G98" s="25">
        <v>0</v>
      </c>
      <c r="H98" s="24">
        <f t="shared" si="9"/>
        <v>11174.72</v>
      </c>
      <c r="I98" s="24">
        <v>11174.72</v>
      </c>
      <c r="J98" s="25">
        <v>0</v>
      </c>
      <c r="K98" s="26">
        <v>1</v>
      </c>
      <c r="L98" s="26"/>
      <c r="M98" s="27"/>
    </row>
    <row r="99" spans="1:13" ht="80">
      <c r="A99" s="1">
        <v>5</v>
      </c>
      <c r="B99" s="22">
        <v>27</v>
      </c>
      <c r="C99" s="23" t="s">
        <v>118</v>
      </c>
      <c r="D99" s="26" t="s">
        <v>19</v>
      </c>
      <c r="E99" s="24">
        <v>60767.962</v>
      </c>
      <c r="F99" s="24">
        <v>60767.962</v>
      </c>
      <c r="G99" s="25">
        <v>0</v>
      </c>
      <c r="H99" s="24">
        <f t="shared" si="9"/>
        <v>58614.696000000004</v>
      </c>
      <c r="I99" s="24">
        <v>58614.696000000004</v>
      </c>
      <c r="J99" s="25">
        <v>0</v>
      </c>
      <c r="K99" s="26">
        <v>1</v>
      </c>
      <c r="L99" s="26">
        <v>1</v>
      </c>
      <c r="M99" s="27"/>
    </row>
    <row r="100" spans="1:13" ht="48">
      <c r="A100" s="1">
        <v>5</v>
      </c>
      <c r="B100" s="22">
        <v>28</v>
      </c>
      <c r="C100" s="23" t="s">
        <v>119</v>
      </c>
      <c r="D100" s="26" t="s">
        <v>19</v>
      </c>
      <c r="E100" s="24">
        <v>17416.009999999998</v>
      </c>
      <c r="F100" s="24">
        <v>17416.009999999998</v>
      </c>
      <c r="G100" s="25">
        <v>0</v>
      </c>
      <c r="H100" s="24">
        <f t="shared" si="9"/>
        <v>16023.103999999999</v>
      </c>
      <c r="I100" s="24">
        <v>16023.103999999999</v>
      </c>
      <c r="J100" s="25">
        <v>0</v>
      </c>
      <c r="K100" s="26">
        <v>1</v>
      </c>
      <c r="L100" s="26">
        <v>1</v>
      </c>
      <c r="M100" s="27"/>
    </row>
    <row r="101" spans="1:13" ht="64">
      <c r="A101" s="1">
        <v>5</v>
      </c>
      <c r="B101" s="22">
        <v>29</v>
      </c>
      <c r="C101" s="23" t="s">
        <v>120</v>
      </c>
      <c r="D101" s="26" t="s">
        <v>19</v>
      </c>
      <c r="E101" s="24">
        <v>4043.4580000000001</v>
      </c>
      <c r="F101" s="24">
        <v>4043.4580000000001</v>
      </c>
      <c r="G101" s="25">
        <v>0</v>
      </c>
      <c r="H101" s="24">
        <f t="shared" si="9"/>
        <v>4004.7860000000001</v>
      </c>
      <c r="I101" s="24">
        <v>4004.7860000000001</v>
      </c>
      <c r="J101" s="25">
        <v>0</v>
      </c>
      <c r="K101" s="26">
        <v>1</v>
      </c>
      <c r="L101" s="26">
        <v>1</v>
      </c>
      <c r="M101" s="27" t="s">
        <v>97</v>
      </c>
    </row>
    <row r="102" spans="1:13" ht="48">
      <c r="A102" s="1">
        <v>5</v>
      </c>
      <c r="B102" s="22">
        <v>30</v>
      </c>
      <c r="C102" s="23" t="s">
        <v>121</v>
      </c>
      <c r="D102" s="26" t="s">
        <v>19</v>
      </c>
      <c r="E102" s="24">
        <v>26677.972000000002</v>
      </c>
      <c r="F102" s="24">
        <v>26677.972000000002</v>
      </c>
      <c r="G102" s="25">
        <v>0</v>
      </c>
      <c r="H102" s="24">
        <f t="shared" si="9"/>
        <v>26654.924999999999</v>
      </c>
      <c r="I102" s="24">
        <v>26654.924999999999</v>
      </c>
      <c r="J102" s="25">
        <v>0</v>
      </c>
      <c r="K102" s="26">
        <v>1</v>
      </c>
      <c r="L102" s="26"/>
      <c r="M102" s="27"/>
    </row>
    <row r="103" spans="1:13" ht="32">
      <c r="A103" s="1">
        <v>5</v>
      </c>
      <c r="B103" s="30">
        <v>31</v>
      </c>
      <c r="C103" s="31" t="s">
        <v>122</v>
      </c>
      <c r="D103" s="34"/>
      <c r="E103" s="32">
        <f>51852.836-51852.836</f>
        <v>0</v>
      </c>
      <c r="F103" s="32">
        <f>51852.836-51852.836</f>
        <v>0</v>
      </c>
      <c r="G103" s="33">
        <f>0-0</f>
        <v>0</v>
      </c>
      <c r="H103" s="32">
        <f t="shared" si="9"/>
        <v>0</v>
      </c>
      <c r="I103" s="32"/>
      <c r="J103" s="33"/>
      <c r="K103" s="34">
        <f>1-1</f>
        <v>0</v>
      </c>
      <c r="L103" s="34">
        <f>1-1</f>
        <v>0</v>
      </c>
      <c r="M103" s="35" t="s">
        <v>28</v>
      </c>
    </row>
    <row r="104" spans="1:13" ht="64">
      <c r="A104" s="1">
        <v>5</v>
      </c>
      <c r="B104" s="22">
        <v>32</v>
      </c>
      <c r="C104" s="23" t="s">
        <v>123</v>
      </c>
      <c r="D104" s="26" t="s">
        <v>19</v>
      </c>
      <c r="E104" s="24">
        <v>6477.6679999999997</v>
      </c>
      <c r="F104" s="24">
        <v>6477.6679999999997</v>
      </c>
      <c r="G104" s="25">
        <v>0</v>
      </c>
      <c r="H104" s="24">
        <f t="shared" si="9"/>
        <v>1054.2570000000001</v>
      </c>
      <c r="I104" s="24">
        <v>1054.2570000000001</v>
      </c>
      <c r="J104" s="25">
        <v>0</v>
      </c>
      <c r="K104" s="26">
        <v>1</v>
      </c>
      <c r="L104" s="26">
        <v>1</v>
      </c>
      <c r="M104" s="27"/>
    </row>
    <row r="105" spans="1:13" ht="48">
      <c r="A105" s="1">
        <v>5</v>
      </c>
      <c r="B105" s="30">
        <v>33</v>
      </c>
      <c r="C105" s="31" t="s">
        <v>124</v>
      </c>
      <c r="D105" s="34"/>
      <c r="E105" s="32">
        <f>2992.249-2992.249</f>
        <v>0</v>
      </c>
      <c r="F105" s="32">
        <f>2992.249-2992.249</f>
        <v>0</v>
      </c>
      <c r="G105" s="33">
        <f>0-0</f>
        <v>0</v>
      </c>
      <c r="H105" s="32">
        <f t="shared" si="9"/>
        <v>0</v>
      </c>
      <c r="I105" s="32"/>
      <c r="J105" s="33"/>
      <c r="K105" s="34">
        <f>1-1</f>
        <v>0</v>
      </c>
      <c r="L105" s="34">
        <f>1-1</f>
        <v>0</v>
      </c>
      <c r="M105" s="35" t="s">
        <v>28</v>
      </c>
    </row>
    <row r="106" spans="1:13" ht="48">
      <c r="A106" s="1">
        <v>5</v>
      </c>
      <c r="B106" s="22">
        <v>34</v>
      </c>
      <c r="C106" s="23" t="s">
        <v>125</v>
      </c>
      <c r="D106" s="26" t="s">
        <v>19</v>
      </c>
      <c r="E106" s="24">
        <v>6729.4440000000004</v>
      </c>
      <c r="F106" s="24">
        <v>6729.4440000000004</v>
      </c>
      <c r="G106" s="25">
        <v>0</v>
      </c>
      <c r="H106" s="24">
        <f t="shared" si="9"/>
        <v>1989.6690000000001</v>
      </c>
      <c r="I106" s="24">
        <v>1989.6690000000001</v>
      </c>
      <c r="J106" s="25">
        <v>0</v>
      </c>
      <c r="K106" s="26">
        <v>1</v>
      </c>
      <c r="L106" s="26">
        <v>1</v>
      </c>
      <c r="M106" s="27"/>
    </row>
    <row r="107" spans="1:13" ht="64">
      <c r="A107" s="1">
        <v>5</v>
      </c>
      <c r="B107" s="30">
        <v>35</v>
      </c>
      <c r="C107" s="31" t="s">
        <v>126</v>
      </c>
      <c r="D107" s="34"/>
      <c r="E107" s="32">
        <f>4226.725-4226.725</f>
        <v>0</v>
      </c>
      <c r="F107" s="32">
        <f>4226.725-4226.725</f>
        <v>0</v>
      </c>
      <c r="G107" s="33">
        <f>0-0</f>
        <v>0</v>
      </c>
      <c r="H107" s="32">
        <f t="shared" si="9"/>
        <v>0</v>
      </c>
      <c r="I107" s="32"/>
      <c r="J107" s="33"/>
      <c r="K107" s="34">
        <v>0</v>
      </c>
      <c r="L107" s="34">
        <v>0</v>
      </c>
      <c r="M107" s="35" t="s">
        <v>127</v>
      </c>
    </row>
    <row r="108" spans="1:13" ht="32">
      <c r="A108" s="1">
        <v>5</v>
      </c>
      <c r="B108" s="22">
        <v>36</v>
      </c>
      <c r="C108" s="23" t="s">
        <v>128</v>
      </c>
      <c r="D108" s="26" t="s">
        <v>19</v>
      </c>
      <c r="E108" s="24">
        <v>19962.055</v>
      </c>
      <c r="F108" s="24">
        <v>19962.055</v>
      </c>
      <c r="G108" s="25">
        <v>0</v>
      </c>
      <c r="H108" s="24">
        <f t="shared" si="9"/>
        <v>19714.981</v>
      </c>
      <c r="I108" s="24">
        <v>19714.981</v>
      </c>
      <c r="J108" s="25">
        <v>0</v>
      </c>
      <c r="K108" s="26">
        <v>1</v>
      </c>
      <c r="L108" s="26"/>
      <c r="M108" s="27"/>
    </row>
    <row r="109" spans="1:13" ht="48">
      <c r="A109" s="1">
        <v>5</v>
      </c>
      <c r="B109" s="22">
        <v>37</v>
      </c>
      <c r="C109" s="23" t="s">
        <v>129</v>
      </c>
      <c r="D109" s="26" t="s">
        <v>19</v>
      </c>
      <c r="E109" s="24">
        <v>5157.0709999999999</v>
      </c>
      <c r="F109" s="24">
        <v>5157.0709999999999</v>
      </c>
      <c r="G109" s="25">
        <v>0</v>
      </c>
      <c r="H109" s="24">
        <f t="shared" si="9"/>
        <v>5157.0709999999999</v>
      </c>
      <c r="I109" s="24">
        <v>5157.0709999999999</v>
      </c>
      <c r="J109" s="25">
        <v>0</v>
      </c>
      <c r="K109" s="26">
        <v>1</v>
      </c>
      <c r="L109" s="26"/>
      <c r="M109" s="27"/>
    </row>
    <row r="110" spans="1:13" ht="48">
      <c r="A110" s="1">
        <v>5</v>
      </c>
      <c r="B110" s="22">
        <v>38</v>
      </c>
      <c r="C110" s="23" t="s">
        <v>130</v>
      </c>
      <c r="D110" s="26" t="s">
        <v>19</v>
      </c>
      <c r="E110" s="24">
        <v>8859.0480000000007</v>
      </c>
      <c r="F110" s="24">
        <v>8859.0480000000007</v>
      </c>
      <c r="G110" s="25">
        <v>0</v>
      </c>
      <c r="H110" s="24">
        <f t="shared" si="9"/>
        <v>8794.5959999999995</v>
      </c>
      <c r="I110" s="24">
        <v>8794.5959999999995</v>
      </c>
      <c r="J110" s="25">
        <v>0</v>
      </c>
      <c r="K110" s="26">
        <v>1</v>
      </c>
      <c r="L110" s="26"/>
      <c r="M110" s="27"/>
    </row>
    <row r="111" spans="1:13" ht="32">
      <c r="A111" s="1">
        <v>5</v>
      </c>
      <c r="B111" s="22">
        <v>39</v>
      </c>
      <c r="C111" s="23" t="s">
        <v>131</v>
      </c>
      <c r="D111" s="26" t="s">
        <v>19</v>
      </c>
      <c r="E111" s="24">
        <v>4720.223</v>
      </c>
      <c r="F111" s="24">
        <v>4720.223</v>
      </c>
      <c r="G111" s="25">
        <v>0</v>
      </c>
      <c r="H111" s="24">
        <f t="shared" si="9"/>
        <v>3935.8649999999998</v>
      </c>
      <c r="I111" s="24">
        <v>3935.8649999999998</v>
      </c>
      <c r="J111" s="25">
        <v>0</v>
      </c>
      <c r="K111" s="26">
        <v>1</v>
      </c>
      <c r="L111" s="26"/>
      <c r="M111" s="27"/>
    </row>
    <row r="112" spans="1:13" ht="48">
      <c r="A112" s="1">
        <v>5</v>
      </c>
      <c r="B112" s="22">
        <v>40</v>
      </c>
      <c r="C112" s="23" t="s">
        <v>132</v>
      </c>
      <c r="D112" s="26" t="s">
        <v>19</v>
      </c>
      <c r="E112" s="24">
        <v>4759.29</v>
      </c>
      <c r="F112" s="24">
        <v>4759.29</v>
      </c>
      <c r="G112" s="25">
        <v>0</v>
      </c>
      <c r="H112" s="24">
        <f t="shared" si="9"/>
        <v>4707.5230000000001</v>
      </c>
      <c r="I112" s="24">
        <v>4707.5230000000001</v>
      </c>
      <c r="J112" s="25">
        <v>0</v>
      </c>
      <c r="K112" s="26">
        <v>1</v>
      </c>
      <c r="L112" s="26">
        <v>1</v>
      </c>
      <c r="M112" s="27"/>
    </row>
    <row r="113" spans="1:13" ht="48">
      <c r="A113" s="1">
        <v>5</v>
      </c>
      <c r="B113" s="22">
        <v>41</v>
      </c>
      <c r="C113" s="23" t="s">
        <v>133</v>
      </c>
      <c r="D113" s="26" t="s">
        <v>21</v>
      </c>
      <c r="E113" s="24">
        <v>43736.593000000001</v>
      </c>
      <c r="F113" s="24">
        <v>43736.593000000001</v>
      </c>
      <c r="G113" s="25">
        <v>0</v>
      </c>
      <c r="H113" s="24">
        <f t="shared" si="9"/>
        <v>34981.457999999999</v>
      </c>
      <c r="I113" s="24">
        <v>34981.457999999999</v>
      </c>
      <c r="J113" s="25">
        <v>0</v>
      </c>
      <c r="K113" s="26">
        <v>1</v>
      </c>
      <c r="L113" s="26"/>
      <c r="M113" s="27"/>
    </row>
    <row r="114" spans="1:13" ht="48">
      <c r="A114" s="1">
        <v>5</v>
      </c>
      <c r="B114" s="22">
        <v>42</v>
      </c>
      <c r="C114" s="23" t="s">
        <v>134</v>
      </c>
      <c r="D114" s="26" t="s">
        <v>21</v>
      </c>
      <c r="E114" s="24">
        <v>27494.767</v>
      </c>
      <c r="F114" s="24">
        <v>27494.767</v>
      </c>
      <c r="G114" s="25">
        <v>0</v>
      </c>
      <c r="H114" s="24">
        <f t="shared" si="9"/>
        <v>25051.344000000001</v>
      </c>
      <c r="I114" s="24">
        <v>25051.344000000001</v>
      </c>
      <c r="J114" s="25">
        <v>0</v>
      </c>
      <c r="K114" s="26">
        <v>1</v>
      </c>
      <c r="L114" s="26">
        <v>1</v>
      </c>
      <c r="M114" s="27"/>
    </row>
    <row r="115" spans="1:13" ht="48">
      <c r="A115" s="1">
        <v>5</v>
      </c>
      <c r="B115" s="22">
        <v>43</v>
      </c>
      <c r="C115" s="23" t="s">
        <v>135</v>
      </c>
      <c r="D115" s="26">
        <v>2019</v>
      </c>
      <c r="E115" s="24">
        <v>15494.174000000001</v>
      </c>
      <c r="F115" s="24">
        <v>15494.174000000001</v>
      </c>
      <c r="G115" s="25">
        <v>0</v>
      </c>
      <c r="H115" s="24">
        <f t="shared" si="9"/>
        <v>4053.2579999999998</v>
      </c>
      <c r="I115" s="24">
        <v>4053.2579999999998</v>
      </c>
      <c r="J115" s="25">
        <v>0</v>
      </c>
      <c r="K115" s="26">
        <v>1</v>
      </c>
      <c r="L115" s="26"/>
      <c r="M115" s="27"/>
    </row>
    <row r="116" spans="1:13" ht="48">
      <c r="A116" s="1">
        <v>5</v>
      </c>
      <c r="B116" s="22">
        <v>44</v>
      </c>
      <c r="C116" s="23" t="s">
        <v>136</v>
      </c>
      <c r="D116" s="26">
        <v>2019</v>
      </c>
      <c r="E116" s="24">
        <v>38308.341</v>
      </c>
      <c r="F116" s="24">
        <v>20000</v>
      </c>
      <c r="G116" s="25">
        <v>18308.341</v>
      </c>
      <c r="H116" s="24">
        <f t="shared" si="9"/>
        <v>9976.74</v>
      </c>
      <c r="I116" s="24">
        <v>4504.433</v>
      </c>
      <c r="J116" s="25">
        <v>5472.3069999999998</v>
      </c>
      <c r="K116" s="26">
        <v>1</v>
      </c>
      <c r="L116" s="26"/>
      <c r="M116" s="27"/>
    </row>
    <row r="117" spans="1:13" ht="48">
      <c r="A117" s="1">
        <v>5</v>
      </c>
      <c r="B117" s="22">
        <v>45</v>
      </c>
      <c r="C117" s="23" t="s">
        <v>137</v>
      </c>
      <c r="D117" s="26">
        <v>2019</v>
      </c>
      <c r="E117" s="24">
        <v>33370.535000000003</v>
      </c>
      <c r="F117" s="24">
        <v>33370.535000000003</v>
      </c>
      <c r="G117" s="25">
        <v>0</v>
      </c>
      <c r="H117" s="24">
        <f t="shared" si="9"/>
        <v>19603.167000000001</v>
      </c>
      <c r="I117" s="24">
        <v>19603.167000000001</v>
      </c>
      <c r="J117" s="25">
        <v>0</v>
      </c>
      <c r="K117" s="26">
        <v>1</v>
      </c>
      <c r="L117" s="26"/>
      <c r="M117" s="27"/>
    </row>
    <row r="118" spans="1:13" ht="64">
      <c r="A118" s="1">
        <v>5</v>
      </c>
      <c r="B118" s="22">
        <v>46</v>
      </c>
      <c r="C118" s="23" t="s">
        <v>138</v>
      </c>
      <c r="D118" s="26">
        <v>2019</v>
      </c>
      <c r="E118" s="24">
        <v>8719.6229999999996</v>
      </c>
      <c r="F118" s="24">
        <v>8719.6229999999996</v>
      </c>
      <c r="G118" s="25">
        <v>0</v>
      </c>
      <c r="H118" s="24">
        <f t="shared" si="9"/>
        <v>6042.9210000000003</v>
      </c>
      <c r="I118" s="24">
        <v>6042.9210000000003</v>
      </c>
      <c r="J118" s="25">
        <v>0</v>
      </c>
      <c r="K118" s="26">
        <v>1</v>
      </c>
      <c r="L118" s="26"/>
      <c r="M118" s="27"/>
    </row>
    <row r="119" spans="1:13" ht="32">
      <c r="A119" s="1">
        <v>5</v>
      </c>
      <c r="B119" s="22">
        <v>47</v>
      </c>
      <c r="C119" s="23" t="s">
        <v>139</v>
      </c>
      <c r="D119" s="26">
        <v>2019</v>
      </c>
      <c r="E119" s="24">
        <v>7986.0169999999998</v>
      </c>
      <c r="F119" s="24">
        <v>7986.0169999999998</v>
      </c>
      <c r="G119" s="25">
        <v>0</v>
      </c>
      <c r="H119" s="24">
        <f t="shared" si="9"/>
        <v>2834.6129999999998</v>
      </c>
      <c r="I119" s="24">
        <v>2834.6129999999998</v>
      </c>
      <c r="J119" s="25">
        <v>0</v>
      </c>
      <c r="K119" s="26">
        <v>1</v>
      </c>
      <c r="L119" s="26"/>
      <c r="M119" s="27" t="s">
        <v>97</v>
      </c>
    </row>
    <row r="120" spans="1:13" ht="48">
      <c r="A120" s="1">
        <v>5</v>
      </c>
      <c r="B120" s="22">
        <v>48</v>
      </c>
      <c r="C120" s="23" t="s">
        <v>140</v>
      </c>
      <c r="D120" s="26">
        <v>2019</v>
      </c>
      <c r="E120" s="24">
        <v>11251.950999999999</v>
      </c>
      <c r="F120" s="24">
        <v>11251.950999999999</v>
      </c>
      <c r="G120" s="25">
        <v>0</v>
      </c>
      <c r="H120" s="24">
        <f t="shared" si="9"/>
        <v>2933.2640000000001</v>
      </c>
      <c r="I120" s="24">
        <v>2933.2640000000001</v>
      </c>
      <c r="J120" s="25">
        <v>0</v>
      </c>
      <c r="K120" s="26">
        <v>1</v>
      </c>
      <c r="L120" s="26"/>
      <c r="M120" s="27"/>
    </row>
    <row r="121" spans="1:13" ht="64">
      <c r="A121" s="1">
        <v>5</v>
      </c>
      <c r="B121" s="22">
        <v>49</v>
      </c>
      <c r="C121" s="23" t="s">
        <v>141</v>
      </c>
      <c r="D121" s="26">
        <v>2019</v>
      </c>
      <c r="E121" s="24">
        <f>54188.665-44188.665</f>
        <v>10000</v>
      </c>
      <c r="F121" s="24">
        <f>21977.086-16977.086</f>
        <v>5000</v>
      </c>
      <c r="G121" s="25">
        <f>32211.579-27211.579</f>
        <v>5000</v>
      </c>
      <c r="H121" s="24">
        <f t="shared" si="9"/>
        <v>0</v>
      </c>
      <c r="I121" s="24">
        <v>0</v>
      </c>
      <c r="J121" s="25">
        <v>0</v>
      </c>
      <c r="K121" s="26">
        <v>1</v>
      </c>
      <c r="L121" s="26"/>
      <c r="M121" s="27" t="s">
        <v>142</v>
      </c>
    </row>
    <row r="122" spans="1:13" ht="48">
      <c r="A122" s="1">
        <v>5</v>
      </c>
      <c r="B122" s="22">
        <v>50</v>
      </c>
      <c r="C122" s="23" t="s">
        <v>143</v>
      </c>
      <c r="D122" s="26">
        <v>2019</v>
      </c>
      <c r="E122" s="24">
        <v>37800.271999999997</v>
      </c>
      <c r="F122" s="24">
        <v>19000</v>
      </c>
      <c r="G122" s="25">
        <v>18800.272000000001</v>
      </c>
      <c r="H122" s="24">
        <f t="shared" si="9"/>
        <v>18649.186000000002</v>
      </c>
      <c r="I122" s="24">
        <v>5422.7690000000002</v>
      </c>
      <c r="J122" s="25">
        <v>13226.416999999999</v>
      </c>
      <c r="K122" s="26">
        <v>1</v>
      </c>
      <c r="L122" s="26"/>
      <c r="M122" s="27"/>
    </row>
    <row r="123" spans="1:13" ht="64">
      <c r="A123" s="1">
        <v>5</v>
      </c>
      <c r="B123" s="22">
        <v>51</v>
      </c>
      <c r="C123" s="23" t="s">
        <v>144</v>
      </c>
      <c r="D123" s="26">
        <v>2019</v>
      </c>
      <c r="E123" s="24">
        <v>45320.906000000003</v>
      </c>
      <c r="F123" s="24">
        <v>19000</v>
      </c>
      <c r="G123" s="25">
        <v>26320.905999999999</v>
      </c>
      <c r="H123" s="24">
        <f t="shared" si="9"/>
        <v>22820.402000000002</v>
      </c>
      <c r="I123" s="24">
        <v>7700.2120000000004</v>
      </c>
      <c r="J123" s="25">
        <v>15120.19</v>
      </c>
      <c r="K123" s="26">
        <v>1</v>
      </c>
      <c r="L123" s="26"/>
      <c r="M123" s="27" t="s">
        <v>97</v>
      </c>
    </row>
    <row r="124" spans="1:13" ht="65" thickBot="1">
      <c r="A124" s="1">
        <v>5</v>
      </c>
      <c r="B124" s="36">
        <v>52</v>
      </c>
      <c r="C124" s="37" t="s">
        <v>145</v>
      </c>
      <c r="D124" s="40" t="s">
        <v>69</v>
      </c>
      <c r="E124" s="38">
        <v>30734.62</v>
      </c>
      <c r="F124" s="38">
        <v>19224.839</v>
      </c>
      <c r="G124" s="39">
        <v>11509.781000000001</v>
      </c>
      <c r="H124" s="38">
        <f t="shared" si="9"/>
        <v>0</v>
      </c>
      <c r="I124" s="38">
        <v>0</v>
      </c>
      <c r="J124" s="39">
        <v>0</v>
      </c>
      <c r="K124" s="40">
        <v>1</v>
      </c>
      <c r="L124" s="40"/>
      <c r="M124" s="41"/>
    </row>
    <row r="125" spans="1:13" ht="64">
      <c r="A125" s="1">
        <v>6</v>
      </c>
      <c r="B125" s="15"/>
      <c r="C125" s="16" t="s">
        <v>146</v>
      </c>
      <c r="D125" s="16"/>
      <c r="E125" s="17">
        <f>SUM(E126:E168)</f>
        <v>259817.14999999997</v>
      </c>
      <c r="F125" s="17">
        <f t="shared" ref="F125:L125" si="10">SUM(F126:F168)</f>
        <v>223580.448</v>
      </c>
      <c r="G125" s="18">
        <f t="shared" si="10"/>
        <v>36236.701999999997</v>
      </c>
      <c r="H125" s="17">
        <f t="shared" si="9"/>
        <v>214109.53899999996</v>
      </c>
      <c r="I125" s="17">
        <f t="shared" si="10"/>
        <v>180228.22299999997</v>
      </c>
      <c r="J125" s="18">
        <f t="shared" si="10"/>
        <v>33881.315999999999</v>
      </c>
      <c r="K125" s="19">
        <f t="shared" si="10"/>
        <v>42</v>
      </c>
      <c r="L125" s="20">
        <f t="shared" si="10"/>
        <v>17</v>
      </c>
      <c r="M125" s="21"/>
    </row>
    <row r="126" spans="1:13" ht="48">
      <c r="A126" s="1">
        <v>6</v>
      </c>
      <c r="B126" s="22">
        <v>1</v>
      </c>
      <c r="C126" s="23" t="s">
        <v>147</v>
      </c>
      <c r="D126" s="98" t="s">
        <v>148</v>
      </c>
      <c r="E126" s="24">
        <v>13120.605</v>
      </c>
      <c r="F126" s="24">
        <v>13120.605</v>
      </c>
      <c r="G126" s="25">
        <v>0</v>
      </c>
      <c r="H126" s="24">
        <f t="shared" si="9"/>
        <v>7346.7150000000001</v>
      </c>
      <c r="I126" s="24">
        <v>7346.7150000000001</v>
      </c>
      <c r="J126" s="25">
        <v>0</v>
      </c>
      <c r="K126" s="26">
        <v>1</v>
      </c>
      <c r="L126" s="26"/>
      <c r="M126" s="27"/>
    </row>
    <row r="127" spans="1:13" ht="64">
      <c r="A127" s="1">
        <v>6</v>
      </c>
      <c r="B127" s="22">
        <v>2</v>
      </c>
      <c r="C127" s="23" t="s">
        <v>149</v>
      </c>
      <c r="D127" s="98" t="s">
        <v>81</v>
      </c>
      <c r="E127" s="24">
        <v>15666.129000000001</v>
      </c>
      <c r="F127" s="24">
        <v>15666.129000000001</v>
      </c>
      <c r="G127" s="25">
        <v>0</v>
      </c>
      <c r="H127" s="24">
        <f t="shared" si="9"/>
        <v>7726.9319999999998</v>
      </c>
      <c r="I127" s="24">
        <v>7726.9319999999998</v>
      </c>
      <c r="J127" s="25">
        <v>0</v>
      </c>
      <c r="K127" s="26">
        <v>1</v>
      </c>
      <c r="L127" s="26"/>
      <c r="M127" s="27"/>
    </row>
    <row r="128" spans="1:13" ht="32">
      <c r="A128" s="1">
        <v>6</v>
      </c>
      <c r="B128" s="22">
        <v>3</v>
      </c>
      <c r="C128" s="23" t="s">
        <v>150</v>
      </c>
      <c r="D128" s="98" t="s">
        <v>151</v>
      </c>
      <c r="E128" s="24">
        <v>11245.959000000001</v>
      </c>
      <c r="F128" s="24">
        <v>0</v>
      </c>
      <c r="G128" s="25">
        <v>11245.959000000001</v>
      </c>
      <c r="H128" s="24">
        <f t="shared" si="9"/>
        <v>11245.959000000001</v>
      </c>
      <c r="I128" s="24">
        <v>0</v>
      </c>
      <c r="J128" s="25">
        <v>11245.959000000001</v>
      </c>
      <c r="K128" s="26">
        <v>1</v>
      </c>
      <c r="L128" s="26">
        <v>1</v>
      </c>
      <c r="M128" s="27"/>
    </row>
    <row r="129" spans="1:13" ht="48">
      <c r="A129" s="1">
        <v>6</v>
      </c>
      <c r="B129" s="22">
        <v>4</v>
      </c>
      <c r="C129" s="23" t="s">
        <v>152</v>
      </c>
      <c r="D129" s="99" t="s">
        <v>153</v>
      </c>
      <c r="E129" s="24">
        <v>804.375</v>
      </c>
      <c r="F129" s="24">
        <v>804.375</v>
      </c>
      <c r="G129" s="25">
        <v>0</v>
      </c>
      <c r="H129" s="24">
        <f t="shared" si="9"/>
        <v>781.86500000000001</v>
      </c>
      <c r="I129" s="24">
        <v>781.86500000000001</v>
      </c>
      <c r="J129" s="25">
        <v>0</v>
      </c>
      <c r="K129" s="26">
        <v>1</v>
      </c>
      <c r="L129" s="26">
        <v>1</v>
      </c>
      <c r="M129" s="27"/>
    </row>
    <row r="130" spans="1:13" ht="32">
      <c r="A130" s="1">
        <v>6</v>
      </c>
      <c r="B130" s="22">
        <v>5</v>
      </c>
      <c r="C130" s="23" t="s">
        <v>154</v>
      </c>
      <c r="D130" s="98" t="s">
        <v>148</v>
      </c>
      <c r="E130" s="24">
        <v>1383.5309999999999</v>
      </c>
      <c r="F130" s="24">
        <v>1383.5309999999999</v>
      </c>
      <c r="G130" s="25">
        <v>0</v>
      </c>
      <c r="H130" s="24">
        <f t="shared" si="9"/>
        <v>0</v>
      </c>
      <c r="I130" s="24">
        <v>0</v>
      </c>
      <c r="J130" s="25">
        <v>0</v>
      </c>
      <c r="K130" s="26">
        <v>1</v>
      </c>
      <c r="L130" s="26"/>
      <c r="M130" s="27"/>
    </row>
    <row r="131" spans="1:13" ht="32">
      <c r="A131" s="1">
        <v>6</v>
      </c>
      <c r="B131" s="22">
        <v>6</v>
      </c>
      <c r="C131" s="23" t="s">
        <v>155</v>
      </c>
      <c r="D131" s="98" t="s">
        <v>21</v>
      </c>
      <c r="E131" s="24">
        <v>6772.9589999999998</v>
      </c>
      <c r="F131" s="24">
        <v>6772.9589999999998</v>
      </c>
      <c r="G131" s="25">
        <v>0</v>
      </c>
      <c r="H131" s="24">
        <f t="shared" si="9"/>
        <v>6175.835</v>
      </c>
      <c r="I131" s="24">
        <v>6175.835</v>
      </c>
      <c r="J131" s="25">
        <v>0</v>
      </c>
      <c r="K131" s="26">
        <v>1</v>
      </c>
      <c r="L131" s="26">
        <v>1</v>
      </c>
      <c r="M131" s="27"/>
    </row>
    <row r="132" spans="1:13" ht="48">
      <c r="A132" s="1">
        <v>6</v>
      </c>
      <c r="B132" s="22">
        <v>7</v>
      </c>
      <c r="C132" s="23" t="s">
        <v>156</v>
      </c>
      <c r="D132" s="98" t="s">
        <v>81</v>
      </c>
      <c r="E132" s="24">
        <v>686.47299999999996</v>
      </c>
      <c r="F132" s="24">
        <v>686.47299999999996</v>
      </c>
      <c r="G132" s="25">
        <v>0</v>
      </c>
      <c r="H132" s="24">
        <f t="shared" si="9"/>
        <v>300</v>
      </c>
      <c r="I132" s="24">
        <v>300</v>
      </c>
      <c r="J132" s="25">
        <v>0</v>
      </c>
      <c r="K132" s="26">
        <v>1</v>
      </c>
      <c r="L132" s="26"/>
      <c r="M132" s="27"/>
    </row>
    <row r="133" spans="1:13" ht="48">
      <c r="A133" s="1">
        <v>6</v>
      </c>
      <c r="B133" s="22">
        <v>8</v>
      </c>
      <c r="C133" s="23" t="s">
        <v>157</v>
      </c>
      <c r="D133" s="98" t="s">
        <v>21</v>
      </c>
      <c r="E133" s="24">
        <v>3111.5810000000001</v>
      </c>
      <c r="F133" s="24">
        <v>3111.5810000000001</v>
      </c>
      <c r="G133" s="25">
        <v>0</v>
      </c>
      <c r="H133" s="24">
        <f t="shared" si="9"/>
        <v>2980.5549999999998</v>
      </c>
      <c r="I133" s="24">
        <v>2980.5549999999998</v>
      </c>
      <c r="J133" s="25">
        <v>0</v>
      </c>
      <c r="K133" s="26">
        <v>1</v>
      </c>
      <c r="L133" s="26">
        <v>1</v>
      </c>
      <c r="M133" s="27"/>
    </row>
    <row r="134" spans="1:13" ht="32">
      <c r="A134" s="1">
        <v>6</v>
      </c>
      <c r="B134" s="22">
        <v>9</v>
      </c>
      <c r="C134" s="23" t="s">
        <v>158</v>
      </c>
      <c r="D134" s="98" t="s">
        <v>151</v>
      </c>
      <c r="E134" s="24">
        <v>333</v>
      </c>
      <c r="F134" s="24">
        <v>333</v>
      </c>
      <c r="G134" s="25">
        <v>0</v>
      </c>
      <c r="H134" s="24">
        <f t="shared" si="9"/>
        <v>333</v>
      </c>
      <c r="I134" s="24">
        <v>333</v>
      </c>
      <c r="J134" s="25">
        <v>0</v>
      </c>
      <c r="K134" s="26">
        <v>1</v>
      </c>
      <c r="L134" s="26">
        <v>1</v>
      </c>
      <c r="M134" s="27"/>
    </row>
    <row r="135" spans="1:13" ht="48">
      <c r="A135" s="1">
        <v>6</v>
      </c>
      <c r="B135" s="22">
        <v>10</v>
      </c>
      <c r="C135" s="23" t="s">
        <v>159</v>
      </c>
      <c r="D135" s="98" t="s">
        <v>21</v>
      </c>
      <c r="E135" s="24">
        <v>298.767</v>
      </c>
      <c r="F135" s="24">
        <v>298.767</v>
      </c>
      <c r="G135" s="25">
        <v>0</v>
      </c>
      <c r="H135" s="24">
        <f t="shared" si="9"/>
        <v>273.51299999999998</v>
      </c>
      <c r="I135" s="24">
        <v>273.51299999999998</v>
      </c>
      <c r="J135" s="25">
        <v>0</v>
      </c>
      <c r="K135" s="26">
        <v>1</v>
      </c>
      <c r="L135" s="26">
        <v>1</v>
      </c>
      <c r="M135" s="27"/>
    </row>
    <row r="136" spans="1:13" ht="48">
      <c r="A136" s="1">
        <v>6</v>
      </c>
      <c r="B136" s="22">
        <v>11</v>
      </c>
      <c r="C136" s="23" t="s">
        <v>160</v>
      </c>
      <c r="D136" s="98" t="s">
        <v>81</v>
      </c>
      <c r="E136" s="24">
        <f>1341.485+5418.238</f>
        <v>6759.723</v>
      </c>
      <c r="F136" s="24">
        <f>1341.485+5418.238</f>
        <v>6759.723</v>
      </c>
      <c r="G136" s="25">
        <f>0+0</f>
        <v>0</v>
      </c>
      <c r="H136" s="24">
        <f t="shared" si="9"/>
        <v>1096.2280000000001</v>
      </c>
      <c r="I136" s="24">
        <v>1096.2280000000001</v>
      </c>
      <c r="J136" s="25">
        <v>0</v>
      </c>
      <c r="K136" s="26">
        <v>1</v>
      </c>
      <c r="L136" s="26"/>
      <c r="M136" s="27" t="s">
        <v>23</v>
      </c>
    </row>
    <row r="137" spans="1:13" ht="96">
      <c r="A137" s="1">
        <v>6</v>
      </c>
      <c r="B137" s="22">
        <v>12</v>
      </c>
      <c r="C137" s="23" t="s">
        <v>161</v>
      </c>
      <c r="D137" s="98" t="s">
        <v>21</v>
      </c>
      <c r="E137" s="24">
        <f>1697.352+1172.383</f>
        <v>2869.7350000000001</v>
      </c>
      <c r="F137" s="24">
        <f>1697.352+1172.383</f>
        <v>2869.7350000000001</v>
      </c>
      <c r="G137" s="25">
        <v>0</v>
      </c>
      <c r="H137" s="24">
        <f t="shared" si="9"/>
        <v>2795.299</v>
      </c>
      <c r="I137" s="24">
        <v>2795.299</v>
      </c>
      <c r="J137" s="25">
        <v>0</v>
      </c>
      <c r="K137" s="26">
        <v>1</v>
      </c>
      <c r="L137" s="26">
        <v>1</v>
      </c>
      <c r="M137" s="27" t="s">
        <v>23</v>
      </c>
    </row>
    <row r="138" spans="1:13" ht="48">
      <c r="A138" s="1">
        <v>6</v>
      </c>
      <c r="B138" s="22">
        <v>13</v>
      </c>
      <c r="C138" s="23" t="s">
        <v>162</v>
      </c>
      <c r="D138" s="98" t="s">
        <v>151</v>
      </c>
      <c r="E138" s="24">
        <v>1219.5999999999999</v>
      </c>
      <c r="F138" s="24">
        <v>1219.5999999999999</v>
      </c>
      <c r="G138" s="25">
        <v>0</v>
      </c>
      <c r="H138" s="24">
        <f t="shared" ref="H138:H201" si="11">I138+J138</f>
        <v>849.46100000000001</v>
      </c>
      <c r="I138" s="24">
        <v>849.46100000000001</v>
      </c>
      <c r="J138" s="25">
        <v>0</v>
      </c>
      <c r="K138" s="26">
        <v>1</v>
      </c>
      <c r="L138" s="26">
        <v>1</v>
      </c>
      <c r="M138" s="27"/>
    </row>
    <row r="139" spans="1:13" ht="48">
      <c r="A139" s="1">
        <v>6</v>
      </c>
      <c r="B139" s="22">
        <v>14</v>
      </c>
      <c r="C139" s="23" t="s">
        <v>163</v>
      </c>
      <c r="D139" s="98" t="s">
        <v>81</v>
      </c>
      <c r="E139" s="24">
        <f>1563.265+9532.295</f>
        <v>11095.56</v>
      </c>
      <c r="F139" s="24">
        <f>1563.265+9532.295</f>
        <v>11095.56</v>
      </c>
      <c r="G139" s="25">
        <f>0+0</f>
        <v>0</v>
      </c>
      <c r="H139" s="24">
        <f t="shared" si="11"/>
        <v>5977.8469999999998</v>
      </c>
      <c r="I139" s="24">
        <v>5977.8469999999998</v>
      </c>
      <c r="J139" s="25">
        <v>0</v>
      </c>
      <c r="K139" s="26">
        <v>1</v>
      </c>
      <c r="L139" s="26"/>
      <c r="M139" s="27" t="s">
        <v>23</v>
      </c>
    </row>
    <row r="140" spans="1:13" ht="48">
      <c r="A140" s="1">
        <v>6</v>
      </c>
      <c r="B140" s="22">
        <v>15</v>
      </c>
      <c r="C140" s="23" t="s">
        <v>164</v>
      </c>
      <c r="D140" s="98" t="s">
        <v>153</v>
      </c>
      <c r="E140" s="24">
        <v>847.05799999999999</v>
      </c>
      <c r="F140" s="24">
        <v>0</v>
      </c>
      <c r="G140" s="25">
        <v>847.05799999999999</v>
      </c>
      <c r="H140" s="24">
        <f t="shared" si="11"/>
        <v>847.05799999999999</v>
      </c>
      <c r="I140" s="24">
        <v>0</v>
      </c>
      <c r="J140" s="25">
        <v>847.05799999999999</v>
      </c>
      <c r="K140" s="26">
        <v>1</v>
      </c>
      <c r="L140" s="26">
        <v>1</v>
      </c>
      <c r="M140" s="27"/>
    </row>
    <row r="141" spans="1:13" ht="48">
      <c r="A141" s="1">
        <v>6</v>
      </c>
      <c r="B141" s="22">
        <v>16</v>
      </c>
      <c r="C141" s="23" t="s">
        <v>165</v>
      </c>
      <c r="D141" s="98" t="s">
        <v>151</v>
      </c>
      <c r="E141" s="24">
        <v>733.58799999999997</v>
      </c>
      <c r="F141" s="24">
        <v>0</v>
      </c>
      <c r="G141" s="25">
        <v>733.58799999999997</v>
      </c>
      <c r="H141" s="24">
        <f t="shared" si="11"/>
        <v>733.58799999999997</v>
      </c>
      <c r="I141" s="24">
        <v>0</v>
      </c>
      <c r="J141" s="25">
        <v>733.58799999999997</v>
      </c>
      <c r="K141" s="26">
        <v>1</v>
      </c>
      <c r="L141" s="26">
        <v>1</v>
      </c>
      <c r="M141" s="27"/>
    </row>
    <row r="142" spans="1:13" ht="32">
      <c r="A142" s="1">
        <v>6</v>
      </c>
      <c r="B142" s="22">
        <v>17</v>
      </c>
      <c r="C142" s="23" t="s">
        <v>166</v>
      </c>
      <c r="D142" s="98" t="s">
        <v>19</v>
      </c>
      <c r="E142" s="24">
        <v>10078.716</v>
      </c>
      <c r="F142" s="24">
        <v>0</v>
      </c>
      <c r="G142" s="25">
        <v>10078.716</v>
      </c>
      <c r="H142" s="24">
        <f t="shared" si="11"/>
        <v>10078.716</v>
      </c>
      <c r="I142" s="24">
        <v>0</v>
      </c>
      <c r="J142" s="25">
        <v>10078.716</v>
      </c>
      <c r="K142" s="26">
        <v>1</v>
      </c>
      <c r="L142" s="26"/>
      <c r="M142" s="27"/>
    </row>
    <row r="143" spans="1:13" ht="48">
      <c r="A143" s="1">
        <v>6</v>
      </c>
      <c r="B143" s="22">
        <v>18</v>
      </c>
      <c r="C143" s="23" t="s">
        <v>167</v>
      </c>
      <c r="D143" s="98" t="s">
        <v>16</v>
      </c>
      <c r="E143" s="24">
        <v>5654.51</v>
      </c>
      <c r="F143" s="24">
        <v>5654.51</v>
      </c>
      <c r="G143" s="25">
        <v>0</v>
      </c>
      <c r="H143" s="24">
        <f t="shared" si="11"/>
        <v>5507.3040000000001</v>
      </c>
      <c r="I143" s="24">
        <v>5507.3040000000001</v>
      </c>
      <c r="J143" s="25">
        <v>0</v>
      </c>
      <c r="K143" s="26">
        <v>1</v>
      </c>
      <c r="L143" s="26"/>
      <c r="M143" s="27"/>
    </row>
    <row r="144" spans="1:13" ht="64">
      <c r="A144" s="1">
        <v>6</v>
      </c>
      <c r="B144" s="22">
        <v>19</v>
      </c>
      <c r="C144" s="23" t="s">
        <v>168</v>
      </c>
      <c r="D144" s="99" t="s">
        <v>16</v>
      </c>
      <c r="E144" s="24">
        <v>1416.4870000000001</v>
      </c>
      <c r="F144" s="24">
        <v>1416.4870000000001</v>
      </c>
      <c r="G144" s="25">
        <v>0</v>
      </c>
      <c r="H144" s="24">
        <f t="shared" si="11"/>
        <v>1404.213</v>
      </c>
      <c r="I144" s="24">
        <v>1404.213</v>
      </c>
      <c r="J144" s="25">
        <v>0</v>
      </c>
      <c r="K144" s="26">
        <v>1</v>
      </c>
      <c r="L144" s="26"/>
      <c r="M144" s="27"/>
    </row>
    <row r="145" spans="1:13" ht="48">
      <c r="A145" s="1">
        <v>6</v>
      </c>
      <c r="B145" s="22">
        <v>20</v>
      </c>
      <c r="C145" s="23" t="s">
        <v>169</v>
      </c>
      <c r="D145" s="99" t="s">
        <v>16</v>
      </c>
      <c r="E145" s="24">
        <v>2347.8890000000001</v>
      </c>
      <c r="F145" s="24">
        <v>2347.8890000000001</v>
      </c>
      <c r="G145" s="25">
        <v>0</v>
      </c>
      <c r="H145" s="24">
        <f t="shared" si="11"/>
        <v>1445.4860000000001</v>
      </c>
      <c r="I145" s="24">
        <v>1445.4860000000001</v>
      </c>
      <c r="J145" s="25">
        <v>0</v>
      </c>
      <c r="K145" s="26">
        <v>1</v>
      </c>
      <c r="L145" s="26"/>
      <c r="M145" s="27"/>
    </row>
    <row r="146" spans="1:13" ht="48">
      <c r="A146" s="1">
        <v>6</v>
      </c>
      <c r="B146" s="22">
        <v>21</v>
      </c>
      <c r="C146" s="23" t="s">
        <v>170</v>
      </c>
      <c r="D146" s="98" t="s">
        <v>19</v>
      </c>
      <c r="E146" s="24">
        <v>940.19799999999998</v>
      </c>
      <c r="F146" s="24">
        <v>940.19799999999998</v>
      </c>
      <c r="G146" s="25">
        <v>0</v>
      </c>
      <c r="H146" s="24">
        <f t="shared" si="11"/>
        <v>940.19799999999998</v>
      </c>
      <c r="I146" s="24">
        <v>940.19799999999998</v>
      </c>
      <c r="J146" s="25">
        <v>0</v>
      </c>
      <c r="K146" s="26">
        <v>1</v>
      </c>
      <c r="L146" s="26">
        <v>1</v>
      </c>
      <c r="M146" s="27"/>
    </row>
    <row r="147" spans="1:13" ht="48">
      <c r="A147" s="1">
        <v>6</v>
      </c>
      <c r="B147" s="22">
        <v>22</v>
      </c>
      <c r="C147" s="23" t="s">
        <v>171</v>
      </c>
      <c r="D147" s="99" t="s">
        <v>16</v>
      </c>
      <c r="E147" s="24">
        <v>5040.7479999999996</v>
      </c>
      <c r="F147" s="24">
        <v>5040.7479999999996</v>
      </c>
      <c r="G147" s="25">
        <v>0</v>
      </c>
      <c r="H147" s="24">
        <f t="shared" si="11"/>
        <v>5040.7470000000003</v>
      </c>
      <c r="I147" s="24">
        <v>5040.7470000000003</v>
      </c>
      <c r="J147" s="25">
        <v>0</v>
      </c>
      <c r="K147" s="26">
        <v>1</v>
      </c>
      <c r="L147" s="26"/>
      <c r="M147" s="27"/>
    </row>
    <row r="148" spans="1:13" ht="48">
      <c r="A148" s="1">
        <v>6</v>
      </c>
      <c r="B148" s="22">
        <v>23</v>
      </c>
      <c r="C148" s="23" t="s">
        <v>172</v>
      </c>
      <c r="D148" s="99" t="s">
        <v>16</v>
      </c>
      <c r="E148" s="24">
        <f>1032.438+2000</f>
        <v>3032.4380000000001</v>
      </c>
      <c r="F148" s="24">
        <f>1032.438+2000</f>
        <v>3032.4380000000001</v>
      </c>
      <c r="G148" s="25">
        <f>0+0</f>
        <v>0</v>
      </c>
      <c r="H148" s="24">
        <f t="shared" si="11"/>
        <v>2973.7739999999999</v>
      </c>
      <c r="I148" s="24">
        <v>2973.7739999999999</v>
      </c>
      <c r="J148" s="25">
        <v>0</v>
      </c>
      <c r="K148" s="26">
        <v>1</v>
      </c>
      <c r="L148" s="26"/>
      <c r="M148" s="27" t="s">
        <v>23</v>
      </c>
    </row>
    <row r="149" spans="1:13" ht="48">
      <c r="A149" s="1">
        <v>6</v>
      </c>
      <c r="B149" s="22">
        <v>24</v>
      </c>
      <c r="C149" s="23" t="s">
        <v>173</v>
      </c>
      <c r="D149" s="98" t="s">
        <v>16</v>
      </c>
      <c r="E149" s="24">
        <f>759.063+9240.937</f>
        <v>10000</v>
      </c>
      <c r="F149" s="24">
        <f>759.063+9240.937</f>
        <v>10000</v>
      </c>
      <c r="G149" s="25">
        <v>0</v>
      </c>
      <c r="H149" s="24">
        <f t="shared" si="11"/>
        <v>8368.0570000000007</v>
      </c>
      <c r="I149" s="24">
        <v>8368.0570000000007</v>
      </c>
      <c r="J149" s="25">
        <v>0</v>
      </c>
      <c r="K149" s="26">
        <v>1</v>
      </c>
      <c r="L149" s="26"/>
      <c r="M149" s="27" t="s">
        <v>23</v>
      </c>
    </row>
    <row r="150" spans="1:13" ht="48">
      <c r="A150" s="1">
        <v>6</v>
      </c>
      <c r="B150" s="22">
        <v>25</v>
      </c>
      <c r="C150" s="23" t="s">
        <v>174</v>
      </c>
      <c r="D150" s="98" t="s">
        <v>153</v>
      </c>
      <c r="E150" s="24">
        <v>2249.152</v>
      </c>
      <c r="F150" s="24">
        <v>2249.152</v>
      </c>
      <c r="G150" s="25">
        <v>0</v>
      </c>
      <c r="H150" s="24">
        <f t="shared" si="11"/>
        <v>2249.152</v>
      </c>
      <c r="I150" s="24">
        <v>2249.152</v>
      </c>
      <c r="J150" s="25">
        <v>0</v>
      </c>
      <c r="K150" s="26">
        <v>1</v>
      </c>
      <c r="L150" s="26">
        <v>1</v>
      </c>
      <c r="M150" s="27"/>
    </row>
    <row r="151" spans="1:13" ht="32">
      <c r="A151" s="1">
        <v>6</v>
      </c>
      <c r="B151" s="22">
        <v>26</v>
      </c>
      <c r="C151" s="23" t="s">
        <v>175</v>
      </c>
      <c r="D151" s="98" t="s">
        <v>81</v>
      </c>
      <c r="E151" s="24">
        <v>4142.6819999999998</v>
      </c>
      <c r="F151" s="24">
        <v>4142.6819999999998</v>
      </c>
      <c r="G151" s="25">
        <v>0</v>
      </c>
      <c r="H151" s="24">
        <f t="shared" si="11"/>
        <v>754.17899999999997</v>
      </c>
      <c r="I151" s="24">
        <v>754.17899999999997</v>
      </c>
      <c r="J151" s="25">
        <v>0</v>
      </c>
      <c r="K151" s="26">
        <v>1</v>
      </c>
      <c r="L151" s="26"/>
      <c r="M151" s="27"/>
    </row>
    <row r="152" spans="1:13" ht="48">
      <c r="A152" s="1">
        <v>6</v>
      </c>
      <c r="B152" s="22">
        <v>27</v>
      </c>
      <c r="C152" s="23" t="s">
        <v>176</v>
      </c>
      <c r="D152" s="98" t="s">
        <v>61</v>
      </c>
      <c r="E152" s="24">
        <v>10000</v>
      </c>
      <c r="F152" s="24">
        <v>10000</v>
      </c>
      <c r="G152" s="25">
        <v>0</v>
      </c>
      <c r="H152" s="24">
        <f t="shared" si="11"/>
        <v>10000</v>
      </c>
      <c r="I152" s="24">
        <v>10000</v>
      </c>
      <c r="J152" s="25">
        <v>0</v>
      </c>
      <c r="K152" s="26">
        <v>1</v>
      </c>
      <c r="L152" s="26"/>
      <c r="M152" s="27"/>
    </row>
    <row r="153" spans="1:13" ht="48">
      <c r="A153" s="1">
        <v>6</v>
      </c>
      <c r="B153" s="22">
        <v>28</v>
      </c>
      <c r="C153" s="23" t="s">
        <v>177</v>
      </c>
      <c r="D153" s="98" t="s">
        <v>19</v>
      </c>
      <c r="E153" s="24">
        <v>4000.096</v>
      </c>
      <c r="F153" s="24">
        <v>4000.096</v>
      </c>
      <c r="G153" s="25">
        <v>0</v>
      </c>
      <c r="H153" s="24">
        <f t="shared" si="11"/>
        <v>4000</v>
      </c>
      <c r="I153" s="24">
        <v>4000</v>
      </c>
      <c r="J153" s="25">
        <v>0</v>
      </c>
      <c r="K153" s="26">
        <v>1</v>
      </c>
      <c r="L153" s="26">
        <v>1</v>
      </c>
      <c r="M153" s="27"/>
    </row>
    <row r="154" spans="1:13" ht="32">
      <c r="A154" s="1">
        <v>6</v>
      </c>
      <c r="B154" s="22">
        <v>29</v>
      </c>
      <c r="C154" s="23" t="s">
        <v>178</v>
      </c>
      <c r="D154" s="98" t="s">
        <v>19</v>
      </c>
      <c r="E154" s="24">
        <v>170.52699999999999</v>
      </c>
      <c r="F154" s="24">
        <v>170.52699999999999</v>
      </c>
      <c r="G154" s="25">
        <v>0</v>
      </c>
      <c r="H154" s="24">
        <f t="shared" si="11"/>
        <v>170.52699999999999</v>
      </c>
      <c r="I154" s="24">
        <v>170.52699999999999</v>
      </c>
      <c r="J154" s="25">
        <v>0</v>
      </c>
      <c r="K154" s="26">
        <v>1</v>
      </c>
      <c r="L154" s="26">
        <v>1</v>
      </c>
      <c r="M154" s="27"/>
    </row>
    <row r="155" spans="1:13" ht="64">
      <c r="A155" s="1">
        <v>6</v>
      </c>
      <c r="B155" s="22">
        <v>30</v>
      </c>
      <c r="C155" s="23" t="s">
        <v>179</v>
      </c>
      <c r="D155" s="99" t="s">
        <v>16</v>
      </c>
      <c r="E155" s="24">
        <f>4205.885+2327.617</f>
        <v>6533.5020000000004</v>
      </c>
      <c r="F155" s="24">
        <f>4205.885-27.769</f>
        <v>4178.116</v>
      </c>
      <c r="G155" s="25">
        <f>0+2355.386</f>
        <v>2355.386</v>
      </c>
      <c r="H155" s="24">
        <f t="shared" si="11"/>
        <v>3834.4650000000001</v>
      </c>
      <c r="I155" s="24">
        <v>3834.4650000000001</v>
      </c>
      <c r="J155" s="25">
        <v>0</v>
      </c>
      <c r="K155" s="26">
        <v>1</v>
      </c>
      <c r="L155" s="26"/>
      <c r="M155" s="27" t="s">
        <v>23</v>
      </c>
    </row>
    <row r="156" spans="1:13" ht="32">
      <c r="A156" s="1">
        <v>6</v>
      </c>
      <c r="B156" s="22">
        <v>31</v>
      </c>
      <c r="C156" s="23" t="s">
        <v>180</v>
      </c>
      <c r="D156" s="98" t="s">
        <v>16</v>
      </c>
      <c r="E156" s="24">
        <v>2909.846</v>
      </c>
      <c r="F156" s="24">
        <v>2909.846</v>
      </c>
      <c r="G156" s="25">
        <v>0</v>
      </c>
      <c r="H156" s="24">
        <f t="shared" si="11"/>
        <v>2790.7080000000001</v>
      </c>
      <c r="I156" s="24">
        <v>2790.7080000000001</v>
      </c>
      <c r="J156" s="25">
        <v>0</v>
      </c>
      <c r="K156" s="26">
        <v>1</v>
      </c>
      <c r="L156" s="26"/>
      <c r="M156" s="27"/>
    </row>
    <row r="157" spans="1:13" ht="32">
      <c r="A157" s="1">
        <v>6</v>
      </c>
      <c r="B157" s="22">
        <v>32</v>
      </c>
      <c r="C157" s="23" t="s">
        <v>181</v>
      </c>
      <c r="D157" s="98" t="s">
        <v>16</v>
      </c>
      <c r="E157" s="24">
        <v>25911.411</v>
      </c>
      <c r="F157" s="24">
        <v>25911.411</v>
      </c>
      <c r="G157" s="25">
        <v>0</v>
      </c>
      <c r="H157" s="24">
        <f t="shared" si="11"/>
        <v>19440.327000000001</v>
      </c>
      <c r="I157" s="24">
        <v>19440.327000000001</v>
      </c>
      <c r="J157" s="25">
        <v>0</v>
      </c>
      <c r="K157" s="26">
        <v>1</v>
      </c>
      <c r="L157" s="26"/>
      <c r="M157" s="27"/>
    </row>
    <row r="158" spans="1:13" ht="32">
      <c r="A158" s="1">
        <v>6</v>
      </c>
      <c r="B158" s="22">
        <v>33</v>
      </c>
      <c r="C158" s="23" t="s">
        <v>182</v>
      </c>
      <c r="D158" s="99" t="s">
        <v>16</v>
      </c>
      <c r="E158" s="24">
        <v>5000</v>
      </c>
      <c r="F158" s="24">
        <v>5000</v>
      </c>
      <c r="G158" s="25">
        <v>0</v>
      </c>
      <c r="H158" s="24">
        <f t="shared" si="11"/>
        <v>3937.078</v>
      </c>
      <c r="I158" s="24">
        <v>3937.078</v>
      </c>
      <c r="J158" s="25">
        <v>0</v>
      </c>
      <c r="K158" s="26">
        <v>1</v>
      </c>
      <c r="L158" s="26"/>
      <c r="M158" s="27"/>
    </row>
    <row r="159" spans="1:13" ht="48">
      <c r="A159" s="1">
        <v>6</v>
      </c>
      <c r="B159" s="22">
        <v>34</v>
      </c>
      <c r="C159" s="23" t="s">
        <v>183</v>
      </c>
      <c r="D159" s="98" t="s">
        <v>21</v>
      </c>
      <c r="E159" s="24">
        <v>1302.9000000000001</v>
      </c>
      <c r="F159" s="24">
        <v>1302.9000000000001</v>
      </c>
      <c r="G159" s="25">
        <v>0</v>
      </c>
      <c r="H159" s="24">
        <f t="shared" si="11"/>
        <v>1302.9000000000001</v>
      </c>
      <c r="I159" s="24">
        <v>1302.9000000000001</v>
      </c>
      <c r="J159" s="25">
        <v>0</v>
      </c>
      <c r="K159" s="26">
        <v>1</v>
      </c>
      <c r="L159" s="26">
        <v>1</v>
      </c>
      <c r="M159" s="27"/>
    </row>
    <row r="160" spans="1:13" ht="48">
      <c r="A160" s="1">
        <v>6</v>
      </c>
      <c r="B160" s="22">
        <v>35</v>
      </c>
      <c r="C160" s="23" t="s">
        <v>184</v>
      </c>
      <c r="D160" s="98" t="s">
        <v>34</v>
      </c>
      <c r="E160" s="24">
        <v>4743.7619999999997</v>
      </c>
      <c r="F160" s="24">
        <v>4743.7619999999997</v>
      </c>
      <c r="G160" s="25">
        <v>0</v>
      </c>
      <c r="H160" s="24">
        <f t="shared" si="11"/>
        <v>4743.7619999999997</v>
      </c>
      <c r="I160" s="24">
        <v>4743.7619999999997</v>
      </c>
      <c r="J160" s="25">
        <v>0</v>
      </c>
      <c r="K160" s="26">
        <v>1</v>
      </c>
      <c r="L160" s="26"/>
      <c r="M160" s="27"/>
    </row>
    <row r="161" spans="1:13" ht="48">
      <c r="A161" s="1">
        <v>6</v>
      </c>
      <c r="B161" s="22">
        <v>36</v>
      </c>
      <c r="C161" s="23" t="s">
        <v>185</v>
      </c>
      <c r="D161" s="98" t="s">
        <v>148</v>
      </c>
      <c r="E161" s="24">
        <v>7875.741</v>
      </c>
      <c r="F161" s="24">
        <v>5797.0889999999999</v>
      </c>
      <c r="G161" s="25">
        <v>2078.652</v>
      </c>
      <c r="H161" s="24">
        <f t="shared" si="11"/>
        <v>7875.741</v>
      </c>
      <c r="I161" s="24">
        <v>5797.0889999999999</v>
      </c>
      <c r="J161" s="25">
        <v>2078.652</v>
      </c>
      <c r="K161" s="26">
        <v>1</v>
      </c>
      <c r="L161" s="26"/>
      <c r="M161" s="27"/>
    </row>
    <row r="162" spans="1:13" ht="48">
      <c r="A162" s="1">
        <v>6</v>
      </c>
      <c r="B162" s="30">
        <v>37</v>
      </c>
      <c r="C162" s="31" t="s">
        <v>186</v>
      </c>
      <c r="D162" s="31"/>
      <c r="E162" s="32">
        <f>3500-3500</f>
        <v>0</v>
      </c>
      <c r="F162" s="32">
        <f>3500-3500</f>
        <v>0</v>
      </c>
      <c r="G162" s="33">
        <f>0-0</f>
        <v>0</v>
      </c>
      <c r="H162" s="32">
        <f t="shared" si="11"/>
        <v>0</v>
      </c>
      <c r="I162" s="32"/>
      <c r="J162" s="33"/>
      <c r="K162" s="34">
        <f>1-1</f>
        <v>0</v>
      </c>
      <c r="L162" s="34">
        <f>1-1</f>
        <v>0</v>
      </c>
      <c r="M162" s="35" t="s">
        <v>28</v>
      </c>
    </row>
    <row r="163" spans="1:13" ht="48">
      <c r="A163" s="1">
        <v>6</v>
      </c>
      <c r="B163" s="22">
        <v>38</v>
      </c>
      <c r="C163" s="23" t="s">
        <v>187</v>
      </c>
      <c r="D163" s="98" t="s">
        <v>81</v>
      </c>
      <c r="E163" s="24">
        <v>1442.799</v>
      </c>
      <c r="F163" s="24">
        <v>1442.799</v>
      </c>
      <c r="G163" s="25">
        <v>0</v>
      </c>
      <c r="H163" s="24">
        <f t="shared" si="11"/>
        <v>1008.074</v>
      </c>
      <c r="I163" s="24">
        <v>1008.074</v>
      </c>
      <c r="J163" s="25">
        <v>0</v>
      </c>
      <c r="K163" s="26">
        <v>1</v>
      </c>
      <c r="L163" s="26"/>
      <c r="M163" s="27"/>
    </row>
    <row r="164" spans="1:13" ht="96">
      <c r="A164" s="1">
        <v>6</v>
      </c>
      <c r="B164" s="22">
        <v>39</v>
      </c>
      <c r="C164" s="23" t="s">
        <v>188</v>
      </c>
      <c r="D164" s="98">
        <v>2019</v>
      </c>
      <c r="E164" s="24">
        <v>24724.914000000001</v>
      </c>
      <c r="F164" s="24">
        <v>17307.440999999999</v>
      </c>
      <c r="G164" s="25">
        <v>7417.473</v>
      </c>
      <c r="H164" s="24">
        <f t="shared" si="11"/>
        <v>24724.913999999997</v>
      </c>
      <c r="I164" s="24">
        <v>17307.440999999999</v>
      </c>
      <c r="J164" s="25">
        <v>7417.473</v>
      </c>
      <c r="K164" s="26">
        <v>1</v>
      </c>
      <c r="L164" s="26">
        <v>1</v>
      </c>
      <c r="M164" s="27"/>
    </row>
    <row r="165" spans="1:13" ht="48">
      <c r="A165" s="1">
        <v>6</v>
      </c>
      <c r="B165" s="22">
        <v>40</v>
      </c>
      <c r="C165" s="23" t="s">
        <v>189</v>
      </c>
      <c r="D165" s="98" t="s">
        <v>34</v>
      </c>
      <c r="E165" s="24">
        <v>10741.42</v>
      </c>
      <c r="F165" s="24">
        <v>10741.42</v>
      </c>
      <c r="G165" s="25">
        <v>0</v>
      </c>
      <c r="H165" s="24">
        <f t="shared" si="11"/>
        <v>9773.7690000000002</v>
      </c>
      <c r="I165" s="24">
        <v>9773.7690000000002</v>
      </c>
      <c r="J165" s="25">
        <v>0</v>
      </c>
      <c r="K165" s="26">
        <v>1</v>
      </c>
      <c r="L165" s="26"/>
      <c r="M165" s="27"/>
    </row>
    <row r="166" spans="1:13" ht="64">
      <c r="A166" s="1">
        <v>6</v>
      </c>
      <c r="B166" s="22">
        <v>41</v>
      </c>
      <c r="C166" s="23" t="s">
        <v>190</v>
      </c>
      <c r="D166" s="98" t="s">
        <v>34</v>
      </c>
      <c r="E166" s="24">
        <v>7399.3459999999995</v>
      </c>
      <c r="F166" s="24">
        <v>5919.4759999999997</v>
      </c>
      <c r="G166" s="25">
        <v>1479.87</v>
      </c>
      <c r="H166" s="24">
        <f t="shared" si="11"/>
        <v>7399.3459999999995</v>
      </c>
      <c r="I166" s="24">
        <v>5919.4759999999997</v>
      </c>
      <c r="J166" s="25">
        <v>1479.87</v>
      </c>
      <c r="K166" s="26">
        <v>1</v>
      </c>
      <c r="L166" s="26"/>
      <c r="M166" s="27"/>
    </row>
    <row r="167" spans="1:13" ht="48">
      <c r="A167" s="1">
        <v>6</v>
      </c>
      <c r="B167" s="22">
        <v>42</v>
      </c>
      <c r="C167" s="23" t="s">
        <v>191</v>
      </c>
      <c r="D167" s="98" t="s">
        <v>34</v>
      </c>
      <c r="E167" s="24">
        <v>7430.7650000000003</v>
      </c>
      <c r="F167" s="24">
        <v>7430.7650000000003</v>
      </c>
      <c r="G167" s="25">
        <v>0</v>
      </c>
      <c r="H167" s="24">
        <f t="shared" si="11"/>
        <v>7401.73</v>
      </c>
      <c r="I167" s="24">
        <v>7401.73</v>
      </c>
      <c r="J167" s="25">
        <v>0</v>
      </c>
      <c r="K167" s="26">
        <v>1</v>
      </c>
      <c r="L167" s="26"/>
      <c r="M167" s="27"/>
    </row>
    <row r="168" spans="1:13" ht="49" thickBot="1">
      <c r="A168" s="1">
        <v>6</v>
      </c>
      <c r="B168" s="36">
        <v>43</v>
      </c>
      <c r="C168" s="37" t="s">
        <v>192</v>
      </c>
      <c r="D168" s="98" t="s">
        <v>151</v>
      </c>
      <c r="E168" s="38">
        <v>17778.657999999999</v>
      </c>
      <c r="F168" s="38">
        <v>17778.657999999999</v>
      </c>
      <c r="G168" s="39">
        <v>0</v>
      </c>
      <c r="H168" s="38">
        <f t="shared" si="11"/>
        <v>17480.517</v>
      </c>
      <c r="I168" s="38">
        <v>17480.517</v>
      </c>
      <c r="J168" s="39">
        <v>0</v>
      </c>
      <c r="K168" s="40">
        <v>1</v>
      </c>
      <c r="L168" s="40">
        <v>1</v>
      </c>
      <c r="M168" s="41"/>
    </row>
    <row r="169" spans="1:13" ht="64">
      <c r="A169" s="1">
        <v>7</v>
      </c>
      <c r="B169" s="15"/>
      <c r="C169" s="16" t="s">
        <v>193</v>
      </c>
      <c r="D169" s="16"/>
      <c r="E169" s="17">
        <f>SUM(E170:E219)</f>
        <v>267167.88399999996</v>
      </c>
      <c r="F169" s="17">
        <f t="shared" ref="F169:L169" si="12">SUM(F170:F219)</f>
        <v>229905.97600000002</v>
      </c>
      <c r="G169" s="18">
        <f t="shared" si="12"/>
        <v>37261.907999999996</v>
      </c>
      <c r="H169" s="17">
        <f t="shared" si="11"/>
        <v>234151.03099999999</v>
      </c>
      <c r="I169" s="17">
        <f t="shared" si="12"/>
        <v>201726.83199999999</v>
      </c>
      <c r="J169" s="18">
        <f t="shared" si="12"/>
        <v>32424.199000000001</v>
      </c>
      <c r="K169" s="20">
        <f t="shared" si="12"/>
        <v>48</v>
      </c>
      <c r="L169" s="20">
        <f t="shared" si="12"/>
        <v>40</v>
      </c>
      <c r="M169" s="21"/>
    </row>
    <row r="170" spans="1:13" ht="32">
      <c r="A170" s="1">
        <v>7</v>
      </c>
      <c r="B170" s="22">
        <v>1</v>
      </c>
      <c r="C170" s="23" t="s">
        <v>194</v>
      </c>
      <c r="D170" s="26" t="s">
        <v>19</v>
      </c>
      <c r="E170" s="24">
        <v>4880.43</v>
      </c>
      <c r="F170" s="24">
        <v>4880.43</v>
      </c>
      <c r="G170" s="25">
        <v>0</v>
      </c>
      <c r="H170" s="24">
        <f t="shared" si="11"/>
        <v>4880.43</v>
      </c>
      <c r="I170" s="24">
        <v>4880.43</v>
      </c>
      <c r="J170" s="25">
        <v>0</v>
      </c>
      <c r="K170" s="26">
        <v>1</v>
      </c>
      <c r="L170" s="26">
        <v>1</v>
      </c>
      <c r="M170" s="27"/>
    </row>
    <row r="171" spans="1:13" ht="32">
      <c r="A171" s="1">
        <v>7</v>
      </c>
      <c r="B171" s="22">
        <v>2</v>
      </c>
      <c r="C171" s="23" t="s">
        <v>195</v>
      </c>
      <c r="D171" s="26" t="s">
        <v>16</v>
      </c>
      <c r="E171" s="24">
        <v>5000</v>
      </c>
      <c r="F171" s="24">
        <v>5000</v>
      </c>
      <c r="G171" s="25">
        <v>0</v>
      </c>
      <c r="H171" s="24">
        <f t="shared" si="11"/>
        <v>5000</v>
      </c>
      <c r="I171" s="24">
        <v>5000</v>
      </c>
      <c r="J171" s="25">
        <v>0</v>
      </c>
      <c r="K171" s="26">
        <v>1</v>
      </c>
      <c r="L171" s="26"/>
      <c r="M171" s="27"/>
    </row>
    <row r="172" spans="1:13" ht="64">
      <c r="A172" s="1">
        <v>7</v>
      </c>
      <c r="B172" s="22">
        <v>3</v>
      </c>
      <c r="C172" s="23" t="s">
        <v>196</v>
      </c>
      <c r="D172" s="26" t="s">
        <v>197</v>
      </c>
      <c r="E172" s="24">
        <v>3000</v>
      </c>
      <c r="F172" s="24">
        <v>3000</v>
      </c>
      <c r="G172" s="25">
        <v>0</v>
      </c>
      <c r="H172" s="24">
        <f t="shared" si="11"/>
        <v>3000</v>
      </c>
      <c r="I172" s="24">
        <v>3000</v>
      </c>
      <c r="J172" s="25">
        <v>0</v>
      </c>
      <c r="K172" s="26">
        <v>1</v>
      </c>
      <c r="L172" s="26"/>
      <c r="M172" s="27"/>
    </row>
    <row r="173" spans="1:13" ht="32">
      <c r="A173" s="1">
        <v>7</v>
      </c>
      <c r="B173" s="22">
        <v>4</v>
      </c>
      <c r="C173" s="23" t="s">
        <v>198</v>
      </c>
      <c r="D173" s="26" t="s">
        <v>19</v>
      </c>
      <c r="E173" s="24">
        <f>1330.9-116.071</f>
        <v>1214.8290000000002</v>
      </c>
      <c r="F173" s="24">
        <f>1330.9-116.071</f>
        <v>1214.8290000000002</v>
      </c>
      <c r="G173" s="25">
        <v>0</v>
      </c>
      <c r="H173" s="24">
        <f t="shared" si="11"/>
        <v>1214.829</v>
      </c>
      <c r="I173" s="24">
        <v>1214.829</v>
      </c>
      <c r="J173" s="25">
        <v>0</v>
      </c>
      <c r="K173" s="26">
        <v>1</v>
      </c>
      <c r="L173" s="26">
        <v>1</v>
      </c>
      <c r="M173" s="27"/>
    </row>
    <row r="174" spans="1:13" ht="48">
      <c r="A174" s="1">
        <v>7</v>
      </c>
      <c r="B174" s="22">
        <v>5</v>
      </c>
      <c r="C174" s="23" t="s">
        <v>199</v>
      </c>
      <c r="D174" s="26" t="s">
        <v>61</v>
      </c>
      <c r="E174" s="24">
        <v>4000</v>
      </c>
      <c r="F174" s="24">
        <v>4000</v>
      </c>
      <c r="G174" s="25">
        <v>0</v>
      </c>
      <c r="H174" s="24">
        <f t="shared" si="11"/>
        <v>4000</v>
      </c>
      <c r="I174" s="24">
        <v>4000</v>
      </c>
      <c r="J174" s="25">
        <v>0</v>
      </c>
      <c r="K174" s="26">
        <v>1</v>
      </c>
      <c r="L174" s="26"/>
      <c r="M174" s="27" t="s">
        <v>48</v>
      </c>
    </row>
    <row r="175" spans="1:13" ht="48">
      <c r="A175" s="1">
        <v>7</v>
      </c>
      <c r="B175" s="22">
        <v>6</v>
      </c>
      <c r="C175" s="23" t="s">
        <v>200</v>
      </c>
      <c r="D175" s="26" t="s">
        <v>19</v>
      </c>
      <c r="E175" s="24">
        <v>3680.9</v>
      </c>
      <c r="F175" s="24">
        <v>3680.9</v>
      </c>
      <c r="G175" s="25">
        <v>0</v>
      </c>
      <c r="H175" s="24">
        <f t="shared" si="11"/>
        <v>3680.9</v>
      </c>
      <c r="I175" s="24">
        <v>3680.9</v>
      </c>
      <c r="J175" s="25">
        <v>0</v>
      </c>
      <c r="K175" s="26">
        <v>1</v>
      </c>
      <c r="L175" s="26">
        <v>1</v>
      </c>
      <c r="M175" s="27"/>
    </row>
    <row r="176" spans="1:13" ht="48">
      <c r="A176" s="1">
        <v>7</v>
      </c>
      <c r="B176" s="22">
        <v>7</v>
      </c>
      <c r="C176" s="23" t="s">
        <v>201</v>
      </c>
      <c r="D176" s="26" t="s">
        <v>19</v>
      </c>
      <c r="E176" s="24">
        <v>1998.748</v>
      </c>
      <c r="F176" s="24">
        <v>1998.748</v>
      </c>
      <c r="G176" s="25">
        <v>0</v>
      </c>
      <c r="H176" s="24">
        <f t="shared" si="11"/>
        <v>1958.7080000000001</v>
      </c>
      <c r="I176" s="24">
        <v>1958.7080000000001</v>
      </c>
      <c r="J176" s="25">
        <v>0</v>
      </c>
      <c r="K176" s="26">
        <v>1</v>
      </c>
      <c r="L176" s="26">
        <v>1</v>
      </c>
      <c r="M176" s="27"/>
    </row>
    <row r="177" spans="1:13" ht="32">
      <c r="A177" s="1">
        <v>7</v>
      </c>
      <c r="B177" s="22">
        <v>8</v>
      </c>
      <c r="C177" s="23" t="s">
        <v>202</v>
      </c>
      <c r="D177" s="26">
        <v>2019</v>
      </c>
      <c r="E177" s="24">
        <v>1511</v>
      </c>
      <c r="F177" s="24">
        <v>1511</v>
      </c>
      <c r="G177" s="25">
        <v>0</v>
      </c>
      <c r="H177" s="24">
        <f t="shared" si="11"/>
        <v>0</v>
      </c>
      <c r="I177" s="24">
        <v>0</v>
      </c>
      <c r="J177" s="25">
        <v>0</v>
      </c>
      <c r="K177" s="26">
        <v>1</v>
      </c>
      <c r="L177" s="26">
        <v>1</v>
      </c>
      <c r="M177" s="27"/>
    </row>
    <row r="178" spans="1:13" ht="32">
      <c r="A178" s="1">
        <v>7</v>
      </c>
      <c r="B178" s="22">
        <v>9</v>
      </c>
      <c r="C178" s="23" t="s">
        <v>203</v>
      </c>
      <c r="D178" s="26" t="s">
        <v>19</v>
      </c>
      <c r="E178" s="24">
        <v>5058.8850000000002</v>
      </c>
      <c r="F178" s="24">
        <v>5058.8850000000002</v>
      </c>
      <c r="G178" s="25">
        <v>0</v>
      </c>
      <c r="H178" s="24">
        <f t="shared" si="11"/>
        <v>5058.8850000000002</v>
      </c>
      <c r="I178" s="24">
        <v>5058.8850000000002</v>
      </c>
      <c r="J178" s="25">
        <v>0</v>
      </c>
      <c r="K178" s="26">
        <v>1</v>
      </c>
      <c r="L178" s="26">
        <v>1</v>
      </c>
      <c r="M178" s="27"/>
    </row>
    <row r="179" spans="1:13" ht="32">
      <c r="A179" s="1">
        <v>7</v>
      </c>
      <c r="B179" s="22">
        <v>10</v>
      </c>
      <c r="C179" s="23" t="s">
        <v>204</v>
      </c>
      <c r="D179" s="26" t="s">
        <v>19</v>
      </c>
      <c r="E179" s="24">
        <f>5102.366-31.655</f>
        <v>5070.7110000000002</v>
      </c>
      <c r="F179" s="24">
        <f>5102.366-31.655</f>
        <v>5070.7110000000002</v>
      </c>
      <c r="G179" s="25">
        <f>0+0</f>
        <v>0</v>
      </c>
      <c r="H179" s="24">
        <f t="shared" si="11"/>
        <v>5070.7110000000002</v>
      </c>
      <c r="I179" s="24">
        <v>5070.7110000000002</v>
      </c>
      <c r="J179" s="25">
        <v>0</v>
      </c>
      <c r="K179" s="26">
        <v>1</v>
      </c>
      <c r="L179" s="26">
        <v>1</v>
      </c>
      <c r="M179" s="27"/>
    </row>
    <row r="180" spans="1:13" ht="32">
      <c r="A180" s="1">
        <v>7</v>
      </c>
      <c r="B180" s="22">
        <v>11</v>
      </c>
      <c r="C180" s="23" t="s">
        <v>205</v>
      </c>
      <c r="D180" s="26" t="s">
        <v>19</v>
      </c>
      <c r="E180" s="24">
        <f>2000+1150</f>
        <v>3150</v>
      </c>
      <c r="F180" s="24">
        <f>2000+1150</f>
        <v>3150</v>
      </c>
      <c r="G180" s="25">
        <f>0+0</f>
        <v>0</v>
      </c>
      <c r="H180" s="24">
        <f t="shared" si="11"/>
        <v>3063.8249999999998</v>
      </c>
      <c r="I180" s="24">
        <v>3063.8249999999998</v>
      </c>
      <c r="J180" s="25">
        <v>0</v>
      </c>
      <c r="K180" s="26">
        <v>1</v>
      </c>
      <c r="L180" s="26">
        <v>1</v>
      </c>
      <c r="M180" s="27" t="s">
        <v>48</v>
      </c>
    </row>
    <row r="181" spans="1:13" ht="32">
      <c r="A181" s="1">
        <v>7</v>
      </c>
      <c r="B181" s="22">
        <v>12</v>
      </c>
      <c r="C181" s="23" t="s">
        <v>206</v>
      </c>
      <c r="D181" s="26" t="s">
        <v>19</v>
      </c>
      <c r="E181" s="24">
        <v>669.495</v>
      </c>
      <c r="F181" s="24">
        <v>669.495</v>
      </c>
      <c r="G181" s="25">
        <v>0</v>
      </c>
      <c r="H181" s="24">
        <f t="shared" si="11"/>
        <v>663.23299999999995</v>
      </c>
      <c r="I181" s="24">
        <v>663.23299999999995</v>
      </c>
      <c r="J181" s="25">
        <v>0</v>
      </c>
      <c r="K181" s="26">
        <v>1</v>
      </c>
      <c r="L181" s="26"/>
      <c r="M181" s="27" t="s">
        <v>23</v>
      </c>
    </row>
    <row r="182" spans="1:13" ht="32">
      <c r="A182" s="1">
        <v>7</v>
      </c>
      <c r="B182" s="22">
        <v>13</v>
      </c>
      <c r="C182" s="23" t="s">
        <v>207</v>
      </c>
      <c r="D182" s="26" t="s">
        <v>19</v>
      </c>
      <c r="E182" s="24">
        <v>1249.604</v>
      </c>
      <c r="F182" s="24">
        <v>1249.604</v>
      </c>
      <c r="G182" s="25">
        <v>0</v>
      </c>
      <c r="H182" s="24">
        <f t="shared" si="11"/>
        <v>1166.0540000000001</v>
      </c>
      <c r="I182" s="24">
        <v>1166.0540000000001</v>
      </c>
      <c r="J182" s="25">
        <v>0</v>
      </c>
      <c r="K182" s="26">
        <v>1</v>
      </c>
      <c r="L182" s="26"/>
      <c r="M182" s="27"/>
    </row>
    <row r="183" spans="1:13" ht="48">
      <c r="A183" s="1">
        <v>7</v>
      </c>
      <c r="B183" s="22">
        <v>14</v>
      </c>
      <c r="C183" s="23" t="s">
        <v>208</v>
      </c>
      <c r="D183" s="26" t="s">
        <v>19</v>
      </c>
      <c r="E183" s="24">
        <f>2250-270.558</f>
        <v>1979.442</v>
      </c>
      <c r="F183" s="24">
        <f>2250-270.558</f>
        <v>1979.442</v>
      </c>
      <c r="G183" s="25">
        <f>0-0</f>
        <v>0</v>
      </c>
      <c r="H183" s="24">
        <f t="shared" si="11"/>
        <v>1979.442</v>
      </c>
      <c r="I183" s="24">
        <v>1979.442</v>
      </c>
      <c r="J183" s="25">
        <v>0</v>
      </c>
      <c r="K183" s="26">
        <v>1</v>
      </c>
      <c r="L183" s="26">
        <v>1</v>
      </c>
      <c r="M183" s="27"/>
    </row>
    <row r="184" spans="1:13" ht="32">
      <c r="A184" s="1">
        <v>7</v>
      </c>
      <c r="B184" s="22">
        <v>15</v>
      </c>
      <c r="C184" s="23" t="s">
        <v>209</v>
      </c>
      <c r="D184" s="26" t="s">
        <v>19</v>
      </c>
      <c r="E184" s="24">
        <v>3966</v>
      </c>
      <c r="F184" s="24">
        <v>3966</v>
      </c>
      <c r="G184" s="25">
        <v>0</v>
      </c>
      <c r="H184" s="24">
        <f t="shared" si="11"/>
        <v>3966</v>
      </c>
      <c r="I184" s="24">
        <v>3966</v>
      </c>
      <c r="J184" s="25">
        <v>0</v>
      </c>
      <c r="K184" s="26">
        <v>1</v>
      </c>
      <c r="L184" s="26">
        <v>1</v>
      </c>
      <c r="M184" s="27" t="s">
        <v>48</v>
      </c>
    </row>
    <row r="185" spans="1:13" ht="48">
      <c r="A185" s="1">
        <v>7</v>
      </c>
      <c r="B185" s="22">
        <v>16</v>
      </c>
      <c r="C185" s="23" t="s">
        <v>210</v>
      </c>
      <c r="D185" s="26" t="s">
        <v>19</v>
      </c>
      <c r="E185" s="24">
        <v>1619.461</v>
      </c>
      <c r="F185" s="24">
        <v>1619.461</v>
      </c>
      <c r="G185" s="25">
        <v>0</v>
      </c>
      <c r="H185" s="24">
        <f t="shared" si="11"/>
        <v>1619.46</v>
      </c>
      <c r="I185" s="24">
        <v>1619.46</v>
      </c>
      <c r="J185" s="25">
        <v>0</v>
      </c>
      <c r="K185" s="26">
        <v>1</v>
      </c>
      <c r="L185" s="26">
        <v>1</v>
      </c>
      <c r="M185" s="27"/>
    </row>
    <row r="186" spans="1:13" ht="32">
      <c r="A186" s="1">
        <v>7</v>
      </c>
      <c r="B186" s="22">
        <v>17</v>
      </c>
      <c r="C186" s="23" t="s">
        <v>211</v>
      </c>
      <c r="D186" s="26">
        <v>2019</v>
      </c>
      <c r="E186" s="24">
        <f>3952.8-2000</f>
        <v>1952.8000000000002</v>
      </c>
      <c r="F186" s="24">
        <f>3952.8-2000</f>
        <v>1952.8000000000002</v>
      </c>
      <c r="G186" s="25">
        <f>0-0</f>
        <v>0</v>
      </c>
      <c r="H186" s="24">
        <f t="shared" si="11"/>
        <v>1952.8</v>
      </c>
      <c r="I186" s="24">
        <v>1952.8</v>
      </c>
      <c r="J186" s="25">
        <v>0</v>
      </c>
      <c r="K186" s="26">
        <v>1</v>
      </c>
      <c r="L186" s="26">
        <v>1</v>
      </c>
      <c r="M186" s="27"/>
    </row>
    <row r="187" spans="1:13" ht="48">
      <c r="A187" s="1">
        <v>7</v>
      </c>
      <c r="B187" s="22">
        <v>18</v>
      </c>
      <c r="C187" s="23" t="s">
        <v>212</v>
      </c>
      <c r="D187" s="26">
        <v>2019</v>
      </c>
      <c r="E187" s="24">
        <f>4000-317.262</f>
        <v>3682.7379999999998</v>
      </c>
      <c r="F187" s="24">
        <f>3000-317.262</f>
        <v>2682.7379999999998</v>
      </c>
      <c r="G187" s="25">
        <f>1000-0</f>
        <v>1000</v>
      </c>
      <c r="H187" s="24">
        <f t="shared" si="11"/>
        <v>3682.7379999999998</v>
      </c>
      <c r="I187" s="24">
        <v>2682.7379999999998</v>
      </c>
      <c r="J187" s="25">
        <v>1000</v>
      </c>
      <c r="K187" s="26">
        <v>1</v>
      </c>
      <c r="L187" s="26">
        <v>1</v>
      </c>
      <c r="M187" s="27" t="s">
        <v>48</v>
      </c>
    </row>
    <row r="188" spans="1:13" ht="48">
      <c r="A188" s="1">
        <v>7</v>
      </c>
      <c r="B188" s="22">
        <v>19</v>
      </c>
      <c r="C188" s="23" t="s">
        <v>213</v>
      </c>
      <c r="D188" s="26">
        <v>2019</v>
      </c>
      <c r="E188" s="24">
        <v>5454.3419999999996</v>
      </c>
      <c r="F188" s="24">
        <v>5454.3419999999996</v>
      </c>
      <c r="G188" s="25">
        <v>0</v>
      </c>
      <c r="H188" s="24">
        <f t="shared" si="11"/>
        <v>4547.7740000000003</v>
      </c>
      <c r="I188" s="24">
        <v>4547.7740000000003</v>
      </c>
      <c r="J188" s="25">
        <v>0</v>
      </c>
      <c r="K188" s="26">
        <v>1</v>
      </c>
      <c r="L188" s="26">
        <v>1</v>
      </c>
      <c r="M188" s="27" t="s">
        <v>48</v>
      </c>
    </row>
    <row r="189" spans="1:13" ht="48">
      <c r="A189" s="1">
        <v>7</v>
      </c>
      <c r="B189" s="22">
        <v>20</v>
      </c>
      <c r="C189" s="23" t="s">
        <v>214</v>
      </c>
      <c r="D189" s="26">
        <v>2019</v>
      </c>
      <c r="E189" s="24">
        <v>3050</v>
      </c>
      <c r="F189" s="24">
        <v>3050</v>
      </c>
      <c r="G189" s="25">
        <v>0</v>
      </c>
      <c r="H189" s="24">
        <f t="shared" si="11"/>
        <v>3050</v>
      </c>
      <c r="I189" s="24">
        <v>3050</v>
      </c>
      <c r="J189" s="25">
        <v>0</v>
      </c>
      <c r="K189" s="26">
        <v>1</v>
      </c>
      <c r="L189" s="26">
        <v>1</v>
      </c>
      <c r="M189" s="27" t="s">
        <v>97</v>
      </c>
    </row>
    <row r="190" spans="1:13" ht="32">
      <c r="A190" s="1">
        <v>7</v>
      </c>
      <c r="B190" s="22">
        <v>21</v>
      </c>
      <c r="C190" s="23" t="s">
        <v>215</v>
      </c>
      <c r="D190" s="26">
        <v>2019</v>
      </c>
      <c r="E190" s="24">
        <v>2000</v>
      </c>
      <c r="F190" s="24">
        <v>2000</v>
      </c>
      <c r="G190" s="25">
        <v>0</v>
      </c>
      <c r="H190" s="24">
        <f t="shared" si="11"/>
        <v>2000</v>
      </c>
      <c r="I190" s="24">
        <v>2000</v>
      </c>
      <c r="J190" s="25">
        <v>0</v>
      </c>
      <c r="K190" s="26">
        <v>1</v>
      </c>
      <c r="L190" s="26">
        <v>1</v>
      </c>
      <c r="M190" s="27"/>
    </row>
    <row r="191" spans="1:13" ht="32">
      <c r="A191" s="1">
        <v>7</v>
      </c>
      <c r="B191" s="22">
        <v>22</v>
      </c>
      <c r="C191" s="23" t="s">
        <v>216</v>
      </c>
      <c r="D191" s="26">
        <v>2019</v>
      </c>
      <c r="E191" s="24">
        <v>5385.91</v>
      </c>
      <c r="F191" s="24">
        <v>5385.91</v>
      </c>
      <c r="G191" s="25">
        <v>0</v>
      </c>
      <c r="H191" s="24">
        <f t="shared" si="11"/>
        <v>3640.2779999999998</v>
      </c>
      <c r="I191" s="24">
        <v>3640.2779999999998</v>
      </c>
      <c r="J191" s="25">
        <v>0</v>
      </c>
      <c r="K191" s="26">
        <v>1</v>
      </c>
      <c r="L191" s="26">
        <v>1</v>
      </c>
      <c r="M191" s="27"/>
    </row>
    <row r="192" spans="1:13" ht="32">
      <c r="A192" s="1">
        <v>7</v>
      </c>
      <c r="B192" s="22">
        <v>23</v>
      </c>
      <c r="C192" s="23" t="s">
        <v>217</v>
      </c>
      <c r="D192" s="26" t="s">
        <v>34</v>
      </c>
      <c r="E192" s="24">
        <v>5000</v>
      </c>
      <c r="F192" s="24">
        <v>5000</v>
      </c>
      <c r="G192" s="25">
        <v>0</v>
      </c>
      <c r="H192" s="24">
        <f t="shared" si="11"/>
        <v>5000</v>
      </c>
      <c r="I192" s="24">
        <v>5000</v>
      </c>
      <c r="J192" s="25">
        <v>0</v>
      </c>
      <c r="K192" s="26">
        <v>1</v>
      </c>
      <c r="L192" s="26">
        <v>1</v>
      </c>
      <c r="M192" s="27"/>
    </row>
    <row r="193" spans="1:13" ht="32">
      <c r="A193" s="1">
        <v>7</v>
      </c>
      <c r="B193" s="22">
        <v>24</v>
      </c>
      <c r="C193" s="23" t="s">
        <v>218</v>
      </c>
      <c r="D193" s="26" t="s">
        <v>34</v>
      </c>
      <c r="E193" s="24">
        <f>2000+1500</f>
        <v>3500</v>
      </c>
      <c r="F193" s="24">
        <f>2000+1500</f>
        <v>3500</v>
      </c>
      <c r="G193" s="25">
        <f>0+0</f>
        <v>0</v>
      </c>
      <c r="H193" s="24">
        <f t="shared" si="11"/>
        <v>3500</v>
      </c>
      <c r="I193" s="24">
        <v>3500</v>
      </c>
      <c r="J193" s="25">
        <v>0</v>
      </c>
      <c r="K193" s="26">
        <v>1</v>
      </c>
      <c r="L193" s="26">
        <v>1</v>
      </c>
      <c r="M193" s="27"/>
    </row>
    <row r="194" spans="1:13" ht="32">
      <c r="A194" s="1">
        <v>7</v>
      </c>
      <c r="B194" s="22">
        <v>25</v>
      </c>
      <c r="C194" s="23" t="s">
        <v>219</v>
      </c>
      <c r="D194" s="26">
        <v>2019</v>
      </c>
      <c r="E194" s="24">
        <f>20000+2000</f>
        <v>22000</v>
      </c>
      <c r="F194" s="24">
        <f>18000+0</f>
        <v>18000</v>
      </c>
      <c r="G194" s="25">
        <f>2000+2000</f>
        <v>4000</v>
      </c>
      <c r="H194" s="24">
        <f t="shared" si="11"/>
        <v>21999.444</v>
      </c>
      <c r="I194" s="24">
        <v>17999.444</v>
      </c>
      <c r="J194" s="25">
        <v>4000</v>
      </c>
      <c r="K194" s="26">
        <v>1</v>
      </c>
      <c r="L194" s="26">
        <v>1</v>
      </c>
      <c r="M194" s="27" t="s">
        <v>23</v>
      </c>
    </row>
    <row r="195" spans="1:13" ht="48">
      <c r="A195" s="1">
        <v>7</v>
      </c>
      <c r="B195" s="22">
        <v>26</v>
      </c>
      <c r="C195" s="23" t="s">
        <v>220</v>
      </c>
      <c r="D195" s="26">
        <v>2019</v>
      </c>
      <c r="E195" s="24">
        <v>2999.3159999999998</v>
      </c>
      <c r="F195" s="24">
        <v>2999.3159999999998</v>
      </c>
      <c r="G195" s="25">
        <v>0</v>
      </c>
      <c r="H195" s="24">
        <f t="shared" si="11"/>
        <v>2999.3159999999998</v>
      </c>
      <c r="I195" s="24">
        <v>2999.3159999999998</v>
      </c>
      <c r="J195" s="25">
        <v>0</v>
      </c>
      <c r="K195" s="26">
        <v>1</v>
      </c>
      <c r="L195" s="26">
        <v>1</v>
      </c>
      <c r="M195" s="27" t="s">
        <v>23</v>
      </c>
    </row>
    <row r="196" spans="1:13" ht="64">
      <c r="A196" s="1">
        <v>7</v>
      </c>
      <c r="B196" s="22">
        <v>27</v>
      </c>
      <c r="C196" s="23" t="s">
        <v>221</v>
      </c>
      <c r="D196" s="26" t="s">
        <v>34</v>
      </c>
      <c r="E196" s="24">
        <v>6000</v>
      </c>
      <c r="F196" s="24">
        <v>4000</v>
      </c>
      <c r="G196" s="25">
        <v>2000</v>
      </c>
      <c r="H196" s="24">
        <f t="shared" si="11"/>
        <v>6000</v>
      </c>
      <c r="I196" s="24">
        <v>4000</v>
      </c>
      <c r="J196" s="25">
        <v>2000</v>
      </c>
      <c r="K196" s="26">
        <v>1</v>
      </c>
      <c r="L196" s="26">
        <v>1</v>
      </c>
      <c r="M196" s="27"/>
    </row>
    <row r="197" spans="1:13" ht="48">
      <c r="A197" s="1">
        <v>7</v>
      </c>
      <c r="B197" s="22">
        <v>28</v>
      </c>
      <c r="C197" s="23" t="s">
        <v>222</v>
      </c>
      <c r="D197" s="26" t="s">
        <v>34</v>
      </c>
      <c r="E197" s="24">
        <v>8529.2999999999993</v>
      </c>
      <c r="F197" s="24">
        <v>5354.6220000000003</v>
      </c>
      <c r="G197" s="25">
        <v>3174.6779999999999</v>
      </c>
      <c r="H197" s="24">
        <f t="shared" si="11"/>
        <v>6271.8240000000005</v>
      </c>
      <c r="I197" s="24">
        <v>4597.9650000000001</v>
      </c>
      <c r="J197" s="25">
        <v>1673.8589999999999</v>
      </c>
      <c r="K197" s="26">
        <v>1</v>
      </c>
      <c r="L197" s="26">
        <v>1</v>
      </c>
      <c r="M197" s="27"/>
    </row>
    <row r="198" spans="1:13" ht="32">
      <c r="A198" s="1">
        <v>7</v>
      </c>
      <c r="B198" s="22">
        <v>29</v>
      </c>
      <c r="C198" s="23" t="s">
        <v>223</v>
      </c>
      <c r="D198" s="26" t="s">
        <v>34</v>
      </c>
      <c r="E198" s="24">
        <f>3000-192.952</f>
        <v>2807.0479999999998</v>
      </c>
      <c r="F198" s="24">
        <f>3000-192.952</f>
        <v>2807.0479999999998</v>
      </c>
      <c r="G198" s="25">
        <f>0+0</f>
        <v>0</v>
      </c>
      <c r="H198" s="24">
        <f t="shared" si="11"/>
        <v>2807.0479999999998</v>
      </c>
      <c r="I198" s="24">
        <v>2807.0479999999998</v>
      </c>
      <c r="J198" s="25">
        <v>0</v>
      </c>
      <c r="K198" s="26">
        <v>1</v>
      </c>
      <c r="L198" s="26">
        <v>1</v>
      </c>
      <c r="M198" s="27"/>
    </row>
    <row r="199" spans="1:13" ht="32">
      <c r="A199" s="1">
        <v>7</v>
      </c>
      <c r="B199" s="22">
        <v>30</v>
      </c>
      <c r="C199" s="23" t="s">
        <v>224</v>
      </c>
      <c r="D199" s="26">
        <v>2019</v>
      </c>
      <c r="E199" s="24">
        <v>5000</v>
      </c>
      <c r="F199" s="24">
        <v>5000</v>
      </c>
      <c r="G199" s="25">
        <v>0</v>
      </c>
      <c r="H199" s="24">
        <f t="shared" si="11"/>
        <v>4724.1149999999998</v>
      </c>
      <c r="I199" s="24">
        <v>4724.1149999999998</v>
      </c>
      <c r="J199" s="25">
        <v>0</v>
      </c>
      <c r="K199" s="26">
        <v>1</v>
      </c>
      <c r="L199" s="26">
        <v>1</v>
      </c>
      <c r="M199" s="27" t="s">
        <v>23</v>
      </c>
    </row>
    <row r="200" spans="1:13" ht="64">
      <c r="A200" s="1">
        <v>7</v>
      </c>
      <c r="B200" s="22">
        <v>31</v>
      </c>
      <c r="C200" s="23" t="s">
        <v>225</v>
      </c>
      <c r="D200" s="26" t="s">
        <v>34</v>
      </c>
      <c r="E200" s="24">
        <v>4950</v>
      </c>
      <c r="F200" s="24">
        <v>2950</v>
      </c>
      <c r="G200" s="25">
        <v>2000</v>
      </c>
      <c r="H200" s="24">
        <f t="shared" si="11"/>
        <v>4773.7950000000001</v>
      </c>
      <c r="I200" s="24">
        <v>2950</v>
      </c>
      <c r="J200" s="25">
        <v>1823.7950000000001</v>
      </c>
      <c r="K200" s="26">
        <v>1</v>
      </c>
      <c r="L200" s="26">
        <v>1</v>
      </c>
      <c r="M200" s="27"/>
    </row>
    <row r="201" spans="1:13" ht="64">
      <c r="A201" s="1">
        <v>7</v>
      </c>
      <c r="B201" s="30">
        <v>32</v>
      </c>
      <c r="C201" s="31" t="s">
        <v>226</v>
      </c>
      <c r="D201" s="42"/>
      <c r="E201" s="32">
        <f>5000-5000</f>
        <v>0</v>
      </c>
      <c r="F201" s="32">
        <f>3000-3000</f>
        <v>0</v>
      </c>
      <c r="G201" s="33">
        <f>2000-2000</f>
        <v>0</v>
      </c>
      <c r="H201" s="32">
        <f t="shared" si="11"/>
        <v>0</v>
      </c>
      <c r="I201" s="32"/>
      <c r="J201" s="33"/>
      <c r="K201" s="43">
        <f>1-1</f>
        <v>0</v>
      </c>
      <c r="L201" s="43">
        <f>1-1</f>
        <v>0</v>
      </c>
      <c r="M201" s="35"/>
    </row>
    <row r="202" spans="1:13" ht="64">
      <c r="A202" s="1">
        <v>7</v>
      </c>
      <c r="B202" s="22">
        <v>33</v>
      </c>
      <c r="C202" s="23" t="s">
        <v>227</v>
      </c>
      <c r="D202" s="26">
        <v>2019</v>
      </c>
      <c r="E202" s="24">
        <v>9621.8850000000002</v>
      </c>
      <c r="F202" s="24">
        <v>8000</v>
      </c>
      <c r="G202" s="25">
        <v>1621.885</v>
      </c>
      <c r="H202" s="24">
        <f t="shared" ref="H202:H265" si="13">I202+J202</f>
        <v>0</v>
      </c>
      <c r="I202" s="24">
        <v>0</v>
      </c>
      <c r="J202" s="25">
        <v>0</v>
      </c>
      <c r="K202" s="26">
        <v>1</v>
      </c>
      <c r="L202" s="26">
        <v>1</v>
      </c>
      <c r="M202" s="27" t="s">
        <v>28</v>
      </c>
    </row>
    <row r="203" spans="1:13" ht="48">
      <c r="A203" s="1">
        <v>7</v>
      </c>
      <c r="B203" s="22">
        <v>34</v>
      </c>
      <c r="C203" s="23" t="s">
        <v>228</v>
      </c>
      <c r="D203" s="44">
        <v>2019</v>
      </c>
      <c r="E203" s="24">
        <v>9034.7999999999993</v>
      </c>
      <c r="F203" s="24">
        <v>8269.5939999999991</v>
      </c>
      <c r="G203" s="25">
        <v>765.20600000000002</v>
      </c>
      <c r="H203" s="24">
        <f t="shared" si="13"/>
        <v>8413.3320000000003</v>
      </c>
      <c r="I203" s="24">
        <v>7648.1260000000002</v>
      </c>
      <c r="J203" s="25">
        <v>765.20600000000002</v>
      </c>
      <c r="K203" s="44">
        <v>1</v>
      </c>
      <c r="L203" s="44">
        <v>1</v>
      </c>
      <c r="M203" s="27"/>
    </row>
    <row r="204" spans="1:13" ht="48">
      <c r="A204" s="1">
        <v>7</v>
      </c>
      <c r="B204" s="22">
        <v>35</v>
      </c>
      <c r="C204" s="23" t="s">
        <v>229</v>
      </c>
      <c r="D204" s="26">
        <v>2019</v>
      </c>
      <c r="E204" s="24">
        <v>4400</v>
      </c>
      <c r="F204" s="24">
        <v>1621.885</v>
      </c>
      <c r="G204" s="25">
        <v>2778.1149999999998</v>
      </c>
      <c r="H204" s="24">
        <f t="shared" si="13"/>
        <v>4390.5230000000001</v>
      </c>
      <c r="I204" s="24">
        <v>1621.885</v>
      </c>
      <c r="J204" s="25">
        <v>2768.6379999999999</v>
      </c>
      <c r="K204" s="26">
        <v>1</v>
      </c>
      <c r="L204" s="26">
        <v>1</v>
      </c>
      <c r="M204" s="27" t="s">
        <v>97</v>
      </c>
    </row>
    <row r="205" spans="1:13" ht="32">
      <c r="A205" s="1">
        <v>7</v>
      </c>
      <c r="B205" s="22">
        <v>36</v>
      </c>
      <c r="C205" s="23" t="s">
        <v>230</v>
      </c>
      <c r="D205" s="26">
        <v>2019</v>
      </c>
      <c r="E205" s="24">
        <v>8026.55</v>
      </c>
      <c r="F205" s="24">
        <v>8026.55</v>
      </c>
      <c r="G205" s="25">
        <v>0</v>
      </c>
      <c r="H205" s="24">
        <f t="shared" si="13"/>
        <v>6526.55</v>
      </c>
      <c r="I205" s="24">
        <v>6526.55</v>
      </c>
      <c r="J205" s="25">
        <v>0</v>
      </c>
      <c r="K205" s="26">
        <v>1</v>
      </c>
      <c r="L205" s="26">
        <v>1</v>
      </c>
      <c r="M205" s="27"/>
    </row>
    <row r="206" spans="1:13" ht="32">
      <c r="A206" s="1">
        <v>7</v>
      </c>
      <c r="B206" s="22">
        <v>37</v>
      </c>
      <c r="C206" s="23" t="s">
        <v>231</v>
      </c>
      <c r="D206" s="26">
        <v>2019</v>
      </c>
      <c r="E206" s="24">
        <v>2065.3670000000002</v>
      </c>
      <c r="F206" s="24">
        <v>2065.3670000000002</v>
      </c>
      <c r="G206" s="25">
        <v>0</v>
      </c>
      <c r="H206" s="24">
        <f t="shared" si="13"/>
        <v>2048.61</v>
      </c>
      <c r="I206" s="24">
        <v>2048.61</v>
      </c>
      <c r="J206" s="25">
        <v>0</v>
      </c>
      <c r="K206" s="26">
        <v>1</v>
      </c>
      <c r="L206" s="26">
        <v>1</v>
      </c>
      <c r="M206" s="27"/>
    </row>
    <row r="207" spans="1:13" ht="48">
      <c r="A207" s="1">
        <v>7</v>
      </c>
      <c r="B207" s="22">
        <v>38</v>
      </c>
      <c r="C207" s="23" t="s">
        <v>232</v>
      </c>
      <c r="D207" s="26">
        <v>2019</v>
      </c>
      <c r="E207" s="24">
        <v>2050</v>
      </c>
      <c r="F207" s="24">
        <v>2050</v>
      </c>
      <c r="G207" s="25">
        <v>0</v>
      </c>
      <c r="H207" s="24">
        <f t="shared" si="13"/>
        <v>0</v>
      </c>
      <c r="I207" s="24">
        <v>0</v>
      </c>
      <c r="J207" s="25">
        <v>0</v>
      </c>
      <c r="K207" s="26">
        <v>1</v>
      </c>
      <c r="L207" s="26">
        <v>1</v>
      </c>
      <c r="M207" s="27"/>
    </row>
    <row r="208" spans="1:13" ht="48">
      <c r="A208" s="1">
        <v>7</v>
      </c>
      <c r="B208" s="22">
        <v>39</v>
      </c>
      <c r="C208" s="23" t="s">
        <v>233</v>
      </c>
      <c r="D208" s="26">
        <v>2019</v>
      </c>
      <c r="E208" s="24">
        <v>4337.607</v>
      </c>
      <c r="F208" s="24">
        <v>4337.607</v>
      </c>
      <c r="G208" s="25">
        <v>0</v>
      </c>
      <c r="H208" s="24">
        <f t="shared" si="13"/>
        <v>0</v>
      </c>
      <c r="I208" s="24">
        <v>0</v>
      </c>
      <c r="J208" s="25">
        <v>0</v>
      </c>
      <c r="K208" s="26">
        <v>1</v>
      </c>
      <c r="L208" s="26">
        <v>1</v>
      </c>
      <c r="M208" s="27"/>
    </row>
    <row r="209" spans="1:13" ht="48">
      <c r="A209" s="1">
        <v>7</v>
      </c>
      <c r="B209" s="22">
        <v>40</v>
      </c>
      <c r="C209" s="23" t="s">
        <v>234</v>
      </c>
      <c r="D209" s="26" t="s">
        <v>34</v>
      </c>
      <c r="E209" s="24">
        <v>3000</v>
      </c>
      <c r="F209" s="24">
        <v>2000</v>
      </c>
      <c r="G209" s="25">
        <v>1000</v>
      </c>
      <c r="H209" s="24">
        <f t="shared" si="13"/>
        <v>3000</v>
      </c>
      <c r="I209" s="24">
        <v>2000</v>
      </c>
      <c r="J209" s="25">
        <v>1000</v>
      </c>
      <c r="K209" s="26">
        <v>1</v>
      </c>
      <c r="L209" s="26"/>
      <c r="M209" s="27"/>
    </row>
    <row r="210" spans="1:13" ht="48">
      <c r="A210" s="1">
        <v>7</v>
      </c>
      <c r="B210" s="22">
        <v>41</v>
      </c>
      <c r="C210" s="23" t="s">
        <v>235</v>
      </c>
      <c r="D210" s="26">
        <v>2019</v>
      </c>
      <c r="E210" s="24">
        <v>4500</v>
      </c>
      <c r="F210" s="24">
        <v>2500</v>
      </c>
      <c r="G210" s="25">
        <v>2000</v>
      </c>
      <c r="H210" s="24">
        <f t="shared" si="13"/>
        <v>3180.1530000000002</v>
      </c>
      <c r="I210" s="24">
        <v>2500</v>
      </c>
      <c r="J210" s="25">
        <v>680.15300000000002</v>
      </c>
      <c r="K210" s="26">
        <v>1</v>
      </c>
      <c r="L210" s="26">
        <v>1</v>
      </c>
      <c r="M210" s="27"/>
    </row>
    <row r="211" spans="1:13" ht="32">
      <c r="A211" s="1">
        <v>7</v>
      </c>
      <c r="B211" s="22">
        <v>42</v>
      </c>
      <c r="C211" s="23" t="s">
        <v>236</v>
      </c>
      <c r="D211" s="26">
        <v>2019</v>
      </c>
      <c r="E211" s="24">
        <v>20000</v>
      </c>
      <c r="F211" s="24">
        <v>17500</v>
      </c>
      <c r="G211" s="25">
        <v>2500</v>
      </c>
      <c r="H211" s="24">
        <f t="shared" si="13"/>
        <v>14000</v>
      </c>
      <c r="I211" s="24">
        <v>11500</v>
      </c>
      <c r="J211" s="25">
        <v>2500</v>
      </c>
      <c r="K211" s="26">
        <v>1</v>
      </c>
      <c r="L211" s="26">
        <v>1</v>
      </c>
      <c r="M211" s="27"/>
    </row>
    <row r="212" spans="1:13" ht="64">
      <c r="A212" s="1">
        <v>7</v>
      </c>
      <c r="B212" s="22">
        <v>43</v>
      </c>
      <c r="C212" s="23" t="s">
        <v>237</v>
      </c>
      <c r="D212" s="26" t="s">
        <v>34</v>
      </c>
      <c r="E212" s="24">
        <f>5000+1100</f>
        <v>6100</v>
      </c>
      <c r="F212" s="24">
        <v>3500</v>
      </c>
      <c r="G212" s="25">
        <f>1500+1100</f>
        <v>2600</v>
      </c>
      <c r="H212" s="24">
        <f t="shared" si="13"/>
        <v>5890.5239999999994</v>
      </c>
      <c r="I212" s="24">
        <v>3500</v>
      </c>
      <c r="J212" s="25">
        <v>2390.5239999999999</v>
      </c>
      <c r="K212" s="26">
        <v>1</v>
      </c>
      <c r="L212" s="26">
        <v>1</v>
      </c>
      <c r="M212" s="27"/>
    </row>
    <row r="213" spans="1:13" ht="48">
      <c r="A213" s="1">
        <v>7</v>
      </c>
      <c r="B213" s="22">
        <v>44</v>
      </c>
      <c r="C213" s="23" t="s">
        <v>238</v>
      </c>
      <c r="D213" s="26" t="s">
        <v>32</v>
      </c>
      <c r="E213" s="24">
        <f>17500+3178.498</f>
        <v>20678.498</v>
      </c>
      <c r="F213" s="24">
        <f>17500+356.474</f>
        <v>17856.473999999998</v>
      </c>
      <c r="G213" s="25">
        <f>0+2822.024</f>
        <v>2822.0239999999999</v>
      </c>
      <c r="H213" s="24">
        <f t="shared" si="13"/>
        <v>20678.498</v>
      </c>
      <c r="I213" s="24">
        <v>17856.473999999998</v>
      </c>
      <c r="J213" s="25">
        <v>2822.0239999999999</v>
      </c>
      <c r="K213" s="26">
        <v>1</v>
      </c>
      <c r="L213" s="26">
        <v>1</v>
      </c>
      <c r="M213" s="27" t="s">
        <v>23</v>
      </c>
    </row>
    <row r="214" spans="1:13" ht="48">
      <c r="A214" s="1">
        <v>7</v>
      </c>
      <c r="B214" s="22">
        <v>45</v>
      </c>
      <c r="C214" s="23" t="s">
        <v>239</v>
      </c>
      <c r="D214" s="26">
        <v>2019</v>
      </c>
      <c r="E214" s="24">
        <v>7049.7030000000004</v>
      </c>
      <c r="F214" s="24">
        <v>1549.703</v>
      </c>
      <c r="G214" s="25">
        <v>5500</v>
      </c>
      <c r="H214" s="24">
        <f t="shared" si="13"/>
        <v>7049.7029999999995</v>
      </c>
      <c r="I214" s="24">
        <v>1549.703</v>
      </c>
      <c r="J214" s="25">
        <v>5500</v>
      </c>
      <c r="K214" s="26">
        <v>1</v>
      </c>
      <c r="L214" s="26">
        <v>1</v>
      </c>
      <c r="M214" s="27" t="s">
        <v>23</v>
      </c>
    </row>
    <row r="215" spans="1:13" ht="48">
      <c r="A215" s="1">
        <v>7</v>
      </c>
      <c r="B215" s="22">
        <v>46</v>
      </c>
      <c r="C215" s="23" t="s">
        <v>240</v>
      </c>
      <c r="D215" s="26" t="s">
        <v>34</v>
      </c>
      <c r="E215" s="24">
        <f>13500+4000</f>
        <v>17500</v>
      </c>
      <c r="F215" s="24">
        <f>13500+4000</f>
        <v>17500</v>
      </c>
      <c r="G215" s="25">
        <f>0+0</f>
        <v>0</v>
      </c>
      <c r="H215" s="24">
        <f t="shared" si="13"/>
        <v>17397.566999999999</v>
      </c>
      <c r="I215" s="24">
        <v>17397.566999999999</v>
      </c>
      <c r="J215" s="25">
        <v>0</v>
      </c>
      <c r="K215" s="26">
        <v>1</v>
      </c>
      <c r="L215" s="26">
        <v>1</v>
      </c>
      <c r="M215" s="27"/>
    </row>
    <row r="216" spans="1:13" ht="48">
      <c r="A216" s="1">
        <v>7</v>
      </c>
      <c r="B216" s="22">
        <v>47</v>
      </c>
      <c r="C216" s="23" t="s">
        <v>241</v>
      </c>
      <c r="D216" s="26">
        <v>2019</v>
      </c>
      <c r="E216" s="24">
        <v>6000</v>
      </c>
      <c r="F216" s="24">
        <v>6000</v>
      </c>
      <c r="G216" s="25">
        <v>0</v>
      </c>
      <c r="H216" s="24">
        <f t="shared" si="13"/>
        <v>5990.0820000000003</v>
      </c>
      <c r="I216" s="24">
        <v>5990.0820000000003</v>
      </c>
      <c r="J216" s="25">
        <v>0</v>
      </c>
      <c r="K216" s="26">
        <v>1</v>
      </c>
      <c r="L216" s="26"/>
      <c r="M216" s="27" t="s">
        <v>23</v>
      </c>
    </row>
    <row r="217" spans="1:13" ht="48">
      <c r="A217" s="1">
        <v>7</v>
      </c>
      <c r="B217" s="22">
        <v>48</v>
      </c>
      <c r="C217" s="23" t="s">
        <v>242</v>
      </c>
      <c r="D217" s="26">
        <v>2019</v>
      </c>
      <c r="E217" s="24">
        <v>9442.5149999999994</v>
      </c>
      <c r="F217" s="24">
        <v>5942.5150000000003</v>
      </c>
      <c r="G217" s="25">
        <v>3500</v>
      </c>
      <c r="H217" s="24">
        <f t="shared" si="13"/>
        <v>9313.880000000001</v>
      </c>
      <c r="I217" s="24">
        <v>5813.88</v>
      </c>
      <c r="J217" s="25">
        <v>3500</v>
      </c>
      <c r="K217" s="26">
        <v>1</v>
      </c>
      <c r="L217" s="26">
        <v>1</v>
      </c>
      <c r="M217" s="27"/>
    </row>
    <row r="218" spans="1:13" ht="32">
      <c r="A218" s="1">
        <v>7</v>
      </c>
      <c r="B218" s="30">
        <v>49</v>
      </c>
      <c r="C218" s="31" t="s">
        <v>243</v>
      </c>
      <c r="D218" s="42"/>
      <c r="E218" s="32">
        <f>5000-5000</f>
        <v>0</v>
      </c>
      <c r="F218" s="32">
        <f>3500-3500</f>
        <v>0</v>
      </c>
      <c r="G218" s="33">
        <f>1500-1500</f>
        <v>0</v>
      </c>
      <c r="H218" s="32">
        <f t="shared" si="13"/>
        <v>0</v>
      </c>
      <c r="I218" s="32"/>
      <c r="J218" s="33"/>
      <c r="K218" s="43">
        <f>1-1</f>
        <v>0</v>
      </c>
      <c r="L218" s="43">
        <f>1-1</f>
        <v>0</v>
      </c>
      <c r="M218" s="35"/>
    </row>
    <row r="219" spans="1:13" ht="33" thickBot="1">
      <c r="A219" s="1">
        <v>7</v>
      </c>
      <c r="B219" s="36">
        <v>50</v>
      </c>
      <c r="C219" s="37" t="s">
        <v>244</v>
      </c>
      <c r="D219" s="26">
        <v>2019</v>
      </c>
      <c r="E219" s="38">
        <v>3000</v>
      </c>
      <c r="F219" s="38">
        <v>3000</v>
      </c>
      <c r="G219" s="39">
        <v>0</v>
      </c>
      <c r="H219" s="38">
        <f t="shared" si="13"/>
        <v>3000</v>
      </c>
      <c r="I219" s="38">
        <v>3000</v>
      </c>
      <c r="J219" s="39">
        <v>0</v>
      </c>
      <c r="K219" s="40">
        <v>1</v>
      </c>
      <c r="L219" s="40"/>
      <c r="M219" s="41" t="s">
        <v>28</v>
      </c>
    </row>
    <row r="220" spans="1:13" ht="60" customHeight="1">
      <c r="A220" s="1">
        <v>8</v>
      </c>
      <c r="B220" s="15"/>
      <c r="C220" s="16" t="s">
        <v>245</v>
      </c>
      <c r="D220" s="16"/>
      <c r="E220" s="17">
        <f>SUM(E221:E244)</f>
        <v>232303.71000000002</v>
      </c>
      <c r="F220" s="17">
        <f t="shared" ref="F220:L220" si="14">SUM(F221:F244)</f>
        <v>202010.269</v>
      </c>
      <c r="G220" s="18">
        <f t="shared" si="14"/>
        <v>30293.440999999999</v>
      </c>
      <c r="H220" s="17">
        <f t="shared" si="13"/>
        <v>149377.97399999999</v>
      </c>
      <c r="I220" s="17">
        <f t="shared" si="14"/>
        <v>122708.53599999999</v>
      </c>
      <c r="J220" s="18">
        <f t="shared" si="14"/>
        <v>26669.437999999998</v>
      </c>
      <c r="K220" s="45">
        <f t="shared" si="14"/>
        <v>23</v>
      </c>
      <c r="L220" s="20">
        <f t="shared" si="14"/>
        <v>6</v>
      </c>
      <c r="M220" s="21"/>
    </row>
    <row r="221" spans="1:13" ht="48">
      <c r="A221" s="1">
        <v>8</v>
      </c>
      <c r="B221" s="22">
        <v>1</v>
      </c>
      <c r="C221" s="46" t="s">
        <v>246</v>
      </c>
      <c r="D221" s="29" t="s">
        <v>16</v>
      </c>
      <c r="E221" s="24">
        <v>26547.705000000002</v>
      </c>
      <c r="F221" s="24">
        <v>26547.705000000002</v>
      </c>
      <c r="G221" s="25">
        <v>0</v>
      </c>
      <c r="H221" s="24">
        <f t="shared" si="13"/>
        <v>6712.7479999999996</v>
      </c>
      <c r="I221" s="24">
        <v>6712.7479999999996</v>
      </c>
      <c r="J221" s="25">
        <v>0</v>
      </c>
      <c r="K221" s="26">
        <v>1</v>
      </c>
      <c r="L221" s="26"/>
      <c r="M221" s="27"/>
    </row>
    <row r="222" spans="1:13" ht="64">
      <c r="A222" s="1">
        <v>8</v>
      </c>
      <c r="B222" s="22">
        <v>2</v>
      </c>
      <c r="C222" s="23" t="s">
        <v>247</v>
      </c>
      <c r="D222" s="26" t="s">
        <v>16</v>
      </c>
      <c r="E222" s="24">
        <f>24300-18730.123</f>
        <v>5569.8770000000004</v>
      </c>
      <c r="F222" s="24">
        <f>24300-18730.123</f>
        <v>5569.8770000000004</v>
      </c>
      <c r="G222" s="25">
        <f>0-0</f>
        <v>0</v>
      </c>
      <c r="H222" s="24">
        <f t="shared" si="13"/>
        <v>5569.8760000000002</v>
      </c>
      <c r="I222" s="24">
        <v>5569.8760000000002</v>
      </c>
      <c r="J222" s="25">
        <v>0</v>
      </c>
      <c r="K222" s="26">
        <v>1</v>
      </c>
      <c r="L222" s="26"/>
      <c r="M222" s="27" t="s">
        <v>48</v>
      </c>
    </row>
    <row r="223" spans="1:13" ht="48">
      <c r="A223" s="1">
        <v>8</v>
      </c>
      <c r="B223" s="22">
        <v>3</v>
      </c>
      <c r="C223" s="23" t="s">
        <v>248</v>
      </c>
      <c r="D223" s="26" t="s">
        <v>19</v>
      </c>
      <c r="E223" s="24">
        <f>4659.275+3864.839</f>
        <v>8524.1139999999996</v>
      </c>
      <c r="F223" s="24">
        <f>4659.275+3864.839</f>
        <v>8524.1139999999996</v>
      </c>
      <c r="G223" s="25">
        <v>0</v>
      </c>
      <c r="H223" s="24">
        <f t="shared" si="13"/>
        <v>2769.9479999999999</v>
      </c>
      <c r="I223" s="24">
        <v>2769.9479999999999</v>
      </c>
      <c r="J223" s="25">
        <v>0</v>
      </c>
      <c r="K223" s="26">
        <v>1</v>
      </c>
      <c r="L223" s="26"/>
      <c r="M223" s="27" t="s">
        <v>23</v>
      </c>
    </row>
    <row r="224" spans="1:13" ht="80">
      <c r="A224" s="1">
        <v>8</v>
      </c>
      <c r="B224" s="22">
        <v>4</v>
      </c>
      <c r="C224" s="23" t="s">
        <v>249</v>
      </c>
      <c r="D224" s="26" t="s">
        <v>16</v>
      </c>
      <c r="E224" s="24">
        <f>12802.992+584.914</f>
        <v>13387.906000000001</v>
      </c>
      <c r="F224" s="24">
        <f>5130+584.914</f>
        <v>5714.9139999999998</v>
      </c>
      <c r="G224" s="25">
        <f>7672.992+0</f>
        <v>7672.9920000000002</v>
      </c>
      <c r="H224" s="24">
        <f t="shared" si="13"/>
        <v>9706.2340000000004</v>
      </c>
      <c r="I224" s="24">
        <v>2749.5859999999998</v>
      </c>
      <c r="J224" s="25">
        <v>6956.6480000000001</v>
      </c>
      <c r="K224" s="26">
        <v>1</v>
      </c>
      <c r="L224" s="26"/>
      <c r="M224" s="27" t="s">
        <v>23</v>
      </c>
    </row>
    <row r="225" spans="1:13" ht="96">
      <c r="A225" s="1">
        <v>8</v>
      </c>
      <c r="B225" s="22">
        <v>5</v>
      </c>
      <c r="C225" s="23" t="s">
        <v>250</v>
      </c>
      <c r="D225" s="26" t="s">
        <v>19</v>
      </c>
      <c r="E225" s="24">
        <f>11321.93+2700+7144.857</f>
        <v>21166.787</v>
      </c>
      <c r="F225" s="24">
        <f>4790.814+0+7144.857</f>
        <v>11935.671</v>
      </c>
      <c r="G225" s="25">
        <f>6531.116+2700+0</f>
        <v>9231.116</v>
      </c>
      <c r="H225" s="24">
        <f t="shared" si="13"/>
        <v>21166.781000000003</v>
      </c>
      <c r="I225" s="24">
        <v>11935.665000000001</v>
      </c>
      <c r="J225" s="25">
        <v>9231.116</v>
      </c>
      <c r="K225" s="26">
        <v>1</v>
      </c>
      <c r="L225" s="26">
        <v>1</v>
      </c>
      <c r="M225" s="27" t="s">
        <v>23</v>
      </c>
    </row>
    <row r="226" spans="1:13" ht="64">
      <c r="A226" s="1">
        <v>8</v>
      </c>
      <c r="B226" s="22">
        <v>6</v>
      </c>
      <c r="C226" s="23" t="s">
        <v>251</v>
      </c>
      <c r="D226" s="26" t="s">
        <v>16</v>
      </c>
      <c r="E226" s="24">
        <f>1264.745+222.003</f>
        <v>1486.7479999999998</v>
      </c>
      <c r="F226" s="24">
        <f>1264.745+222.003</f>
        <v>1486.7479999999998</v>
      </c>
      <c r="G226" s="25">
        <f>0+0</f>
        <v>0</v>
      </c>
      <c r="H226" s="24">
        <f t="shared" si="13"/>
        <v>1346.5440000000001</v>
      </c>
      <c r="I226" s="24">
        <v>1346.5440000000001</v>
      </c>
      <c r="J226" s="25">
        <v>0</v>
      </c>
      <c r="K226" s="26">
        <v>1</v>
      </c>
      <c r="L226" s="26"/>
      <c r="M226" s="27" t="s">
        <v>23</v>
      </c>
    </row>
    <row r="227" spans="1:13" ht="32">
      <c r="A227" s="1">
        <v>8</v>
      </c>
      <c r="B227" s="22">
        <v>7</v>
      </c>
      <c r="C227" s="46" t="s">
        <v>252</v>
      </c>
      <c r="D227" s="29" t="s">
        <v>151</v>
      </c>
      <c r="E227" s="24">
        <v>9325.1949999999997</v>
      </c>
      <c r="F227" s="24">
        <v>9325.1949999999997</v>
      </c>
      <c r="G227" s="25">
        <v>0</v>
      </c>
      <c r="H227" s="24">
        <f t="shared" si="13"/>
        <v>0</v>
      </c>
      <c r="I227" s="24">
        <v>0</v>
      </c>
      <c r="J227" s="25">
        <v>0</v>
      </c>
      <c r="K227" s="26">
        <v>1</v>
      </c>
      <c r="L227" s="26"/>
      <c r="M227" s="27"/>
    </row>
    <row r="228" spans="1:13" ht="32">
      <c r="A228" s="1">
        <v>8</v>
      </c>
      <c r="B228" s="22">
        <v>8</v>
      </c>
      <c r="C228" s="46" t="s">
        <v>253</v>
      </c>
      <c r="D228" s="29" t="s">
        <v>151</v>
      </c>
      <c r="E228" s="24">
        <v>5337.1530000000002</v>
      </c>
      <c r="F228" s="24">
        <v>5337.1530000000002</v>
      </c>
      <c r="G228" s="25">
        <v>0</v>
      </c>
      <c r="H228" s="24">
        <f t="shared" si="13"/>
        <v>3609.835</v>
      </c>
      <c r="I228" s="24">
        <v>3609.835</v>
      </c>
      <c r="J228" s="25">
        <v>0</v>
      </c>
      <c r="K228" s="26">
        <v>1</v>
      </c>
      <c r="L228" s="26"/>
      <c r="M228" s="27"/>
    </row>
    <row r="229" spans="1:13" ht="48">
      <c r="A229" s="1">
        <v>8</v>
      </c>
      <c r="B229" s="22">
        <v>9</v>
      </c>
      <c r="C229" s="46" t="s">
        <v>254</v>
      </c>
      <c r="D229" s="29" t="s">
        <v>81</v>
      </c>
      <c r="E229" s="24">
        <v>1162.1880000000001</v>
      </c>
      <c r="F229" s="24">
        <v>1162.1880000000001</v>
      </c>
      <c r="G229" s="25">
        <v>0</v>
      </c>
      <c r="H229" s="24">
        <f t="shared" si="13"/>
        <v>696.87300000000005</v>
      </c>
      <c r="I229" s="24">
        <v>696.87300000000005</v>
      </c>
      <c r="J229" s="25">
        <v>0</v>
      </c>
      <c r="K229" s="26">
        <v>1</v>
      </c>
      <c r="L229" s="26"/>
      <c r="M229" s="27"/>
    </row>
    <row r="230" spans="1:13" ht="64">
      <c r="A230" s="1">
        <v>8</v>
      </c>
      <c r="B230" s="22">
        <v>10</v>
      </c>
      <c r="C230" s="46" t="s">
        <v>255</v>
      </c>
      <c r="D230" s="29" t="s">
        <v>16</v>
      </c>
      <c r="E230" s="24">
        <v>11140.342000000001</v>
      </c>
      <c r="F230" s="24">
        <v>11140.342000000001</v>
      </c>
      <c r="G230" s="25">
        <v>0</v>
      </c>
      <c r="H230" s="24">
        <f t="shared" si="13"/>
        <v>5921.4750000000004</v>
      </c>
      <c r="I230" s="24">
        <v>5921.4750000000004</v>
      </c>
      <c r="J230" s="25">
        <v>0</v>
      </c>
      <c r="K230" s="26">
        <v>1</v>
      </c>
      <c r="L230" s="26"/>
      <c r="M230" s="27"/>
    </row>
    <row r="231" spans="1:13" ht="32">
      <c r="A231" s="1">
        <v>8</v>
      </c>
      <c r="B231" s="22">
        <v>11</v>
      </c>
      <c r="C231" s="23" t="s">
        <v>256</v>
      </c>
      <c r="D231" s="26" t="s">
        <v>16</v>
      </c>
      <c r="E231" s="24">
        <f>31500-19381.777</f>
        <v>12118.223000000002</v>
      </c>
      <c r="F231" s="24">
        <f>31500-19381.777</f>
        <v>12118.223000000002</v>
      </c>
      <c r="G231" s="25">
        <v>0</v>
      </c>
      <c r="H231" s="24">
        <f t="shared" si="13"/>
        <v>0</v>
      </c>
      <c r="I231" s="24">
        <v>0</v>
      </c>
      <c r="J231" s="25">
        <v>0</v>
      </c>
      <c r="K231" s="26">
        <v>1</v>
      </c>
      <c r="L231" s="26"/>
      <c r="M231" s="27" t="s">
        <v>48</v>
      </c>
    </row>
    <row r="232" spans="1:13" ht="64">
      <c r="A232" s="1">
        <v>8</v>
      </c>
      <c r="B232" s="22">
        <v>12</v>
      </c>
      <c r="C232" s="46" t="s">
        <v>257</v>
      </c>
      <c r="D232" s="29" t="s">
        <v>19</v>
      </c>
      <c r="E232" s="24">
        <v>14937.277</v>
      </c>
      <c r="F232" s="24">
        <v>14937.277</v>
      </c>
      <c r="G232" s="25">
        <v>0</v>
      </c>
      <c r="H232" s="24">
        <f t="shared" si="13"/>
        <v>10085.16</v>
      </c>
      <c r="I232" s="24">
        <v>10085.16</v>
      </c>
      <c r="J232" s="25">
        <v>0</v>
      </c>
      <c r="K232" s="26">
        <v>1</v>
      </c>
      <c r="L232" s="26"/>
      <c r="M232" s="27"/>
    </row>
    <row r="233" spans="1:13" ht="48">
      <c r="A233" s="1">
        <v>8</v>
      </c>
      <c r="B233" s="30">
        <v>13</v>
      </c>
      <c r="C233" s="31" t="s">
        <v>258</v>
      </c>
      <c r="D233" s="34">
        <v>2019</v>
      </c>
      <c r="E233" s="32">
        <f>20047.989-20047.989</f>
        <v>0</v>
      </c>
      <c r="F233" s="32">
        <f>19047.989-19047.989</f>
        <v>0</v>
      </c>
      <c r="G233" s="33">
        <f>1000-1000</f>
        <v>0</v>
      </c>
      <c r="H233" s="32">
        <f t="shared" si="13"/>
        <v>0</v>
      </c>
      <c r="I233" s="32"/>
      <c r="J233" s="33"/>
      <c r="K233" s="34">
        <f>1-1</f>
        <v>0</v>
      </c>
      <c r="L233" s="34">
        <f>1-1</f>
        <v>0</v>
      </c>
      <c r="M233" s="35" t="s">
        <v>28</v>
      </c>
    </row>
    <row r="234" spans="1:13" ht="64">
      <c r="A234" s="1">
        <v>8</v>
      </c>
      <c r="B234" s="22">
        <v>14</v>
      </c>
      <c r="C234" s="23" t="s">
        <v>259</v>
      </c>
      <c r="D234" s="26" t="s">
        <v>34</v>
      </c>
      <c r="E234" s="24">
        <v>6216.6310000000003</v>
      </c>
      <c r="F234" s="24">
        <v>5216.6310000000003</v>
      </c>
      <c r="G234" s="25">
        <v>1000</v>
      </c>
      <c r="H234" s="24">
        <f t="shared" si="13"/>
        <v>1044.8979999999999</v>
      </c>
      <c r="I234" s="24">
        <v>1044.8979999999999</v>
      </c>
      <c r="J234" s="25">
        <v>0</v>
      </c>
      <c r="K234" s="26">
        <v>1</v>
      </c>
      <c r="L234" s="26"/>
      <c r="M234" s="27"/>
    </row>
    <row r="235" spans="1:13" ht="64">
      <c r="A235" s="1">
        <v>8</v>
      </c>
      <c r="B235" s="22">
        <v>15</v>
      </c>
      <c r="C235" s="23" t="s">
        <v>260</v>
      </c>
      <c r="D235" s="26" t="s">
        <v>34</v>
      </c>
      <c r="E235" s="24">
        <v>4690.0330000000004</v>
      </c>
      <c r="F235" s="24">
        <v>3690.0329999999999</v>
      </c>
      <c r="G235" s="25">
        <v>1000</v>
      </c>
      <c r="H235" s="24">
        <f t="shared" si="13"/>
        <v>2838.8009999999999</v>
      </c>
      <c r="I235" s="24">
        <v>2838.8009999999999</v>
      </c>
      <c r="J235" s="25">
        <v>0</v>
      </c>
      <c r="K235" s="26">
        <v>1</v>
      </c>
      <c r="L235" s="26"/>
      <c r="M235" s="27"/>
    </row>
    <row r="236" spans="1:13" ht="32">
      <c r="A236" s="1">
        <v>8</v>
      </c>
      <c r="B236" s="22">
        <v>16</v>
      </c>
      <c r="C236" s="23" t="s">
        <v>261</v>
      </c>
      <c r="D236" s="26" t="s">
        <v>34</v>
      </c>
      <c r="E236" s="24">
        <f>3335.887+1163</f>
        <v>4498.8870000000006</v>
      </c>
      <c r="F236" s="24">
        <f>3335.887+1163</f>
        <v>4498.8870000000006</v>
      </c>
      <c r="G236" s="25">
        <v>0</v>
      </c>
      <c r="H236" s="24">
        <f t="shared" si="13"/>
        <v>3730.54</v>
      </c>
      <c r="I236" s="24">
        <v>3730.54</v>
      </c>
      <c r="J236" s="25">
        <v>0</v>
      </c>
      <c r="K236" s="26">
        <v>1</v>
      </c>
      <c r="L236" s="26"/>
      <c r="M236" s="27" t="s">
        <v>23</v>
      </c>
    </row>
    <row r="237" spans="1:13" ht="32">
      <c r="A237" s="1">
        <v>8</v>
      </c>
      <c r="B237" s="22">
        <v>17</v>
      </c>
      <c r="C237" s="23" t="s">
        <v>262</v>
      </c>
      <c r="D237" s="26">
        <v>2019</v>
      </c>
      <c r="E237" s="24">
        <f>6193.647+4606</f>
        <v>10799.647000000001</v>
      </c>
      <c r="F237" s="24">
        <f>6193.647+4606</f>
        <v>10799.647000000001</v>
      </c>
      <c r="G237" s="25">
        <v>0</v>
      </c>
      <c r="H237" s="24">
        <f t="shared" si="13"/>
        <v>10799.647000000001</v>
      </c>
      <c r="I237" s="24">
        <v>10799.647000000001</v>
      </c>
      <c r="J237" s="25">
        <v>0</v>
      </c>
      <c r="K237" s="26">
        <v>1</v>
      </c>
      <c r="L237" s="26">
        <v>1</v>
      </c>
      <c r="M237" s="27" t="s">
        <v>23</v>
      </c>
    </row>
    <row r="238" spans="1:13" ht="48">
      <c r="A238" s="1">
        <v>8</v>
      </c>
      <c r="B238" s="22">
        <v>18</v>
      </c>
      <c r="C238" s="23" t="s">
        <v>263</v>
      </c>
      <c r="D238" s="26" t="s">
        <v>34</v>
      </c>
      <c r="E238" s="24">
        <f>4219.382+20047.989</f>
        <v>24267.370999999999</v>
      </c>
      <c r="F238" s="47">
        <f>1000+19047.989</f>
        <v>20047.989000000001</v>
      </c>
      <c r="G238" s="25">
        <f>3219.382+1000</f>
        <v>4219.3819999999996</v>
      </c>
      <c r="H238" s="24">
        <f t="shared" si="13"/>
        <v>24138.128000000001</v>
      </c>
      <c r="I238" s="47">
        <v>20047.989000000001</v>
      </c>
      <c r="J238" s="25">
        <v>4090.1390000000001</v>
      </c>
      <c r="K238" s="26">
        <v>1</v>
      </c>
      <c r="L238" s="26"/>
      <c r="M238" s="27" t="s">
        <v>23</v>
      </c>
    </row>
    <row r="239" spans="1:13" ht="80">
      <c r="A239" s="1">
        <v>8</v>
      </c>
      <c r="B239" s="22">
        <v>19</v>
      </c>
      <c r="C239" s="23" t="s">
        <v>264</v>
      </c>
      <c r="D239" s="26" t="s">
        <v>265</v>
      </c>
      <c r="E239" s="24">
        <v>6238.0330000000004</v>
      </c>
      <c r="F239" s="24">
        <v>6238.0330000000004</v>
      </c>
      <c r="G239" s="25">
        <v>0</v>
      </c>
      <c r="H239" s="24">
        <f t="shared" si="13"/>
        <v>5130.51</v>
      </c>
      <c r="I239" s="24">
        <v>5130.51</v>
      </c>
      <c r="J239" s="25">
        <v>0</v>
      </c>
      <c r="K239" s="26">
        <v>1</v>
      </c>
      <c r="L239" s="26"/>
      <c r="M239" s="27"/>
    </row>
    <row r="240" spans="1:13" ht="32">
      <c r="A240" s="1">
        <v>8</v>
      </c>
      <c r="B240" s="22">
        <v>20</v>
      </c>
      <c r="C240" s="23" t="s">
        <v>266</v>
      </c>
      <c r="D240" s="26" t="s">
        <v>265</v>
      </c>
      <c r="E240" s="24">
        <v>7049.86</v>
      </c>
      <c r="F240" s="24">
        <v>7049.86</v>
      </c>
      <c r="G240" s="25">
        <v>0</v>
      </c>
      <c r="H240" s="24">
        <f t="shared" si="13"/>
        <v>7006.5780000000004</v>
      </c>
      <c r="I240" s="24">
        <v>7006.5780000000004</v>
      </c>
      <c r="J240" s="25">
        <v>0</v>
      </c>
      <c r="K240" s="26">
        <v>1</v>
      </c>
      <c r="L240" s="26">
        <v>1</v>
      </c>
      <c r="M240" s="27"/>
    </row>
    <row r="241" spans="1:13" ht="64">
      <c r="A241" s="1">
        <v>8</v>
      </c>
      <c r="B241" s="22">
        <v>21</v>
      </c>
      <c r="C241" s="23" t="s">
        <v>267</v>
      </c>
      <c r="D241" s="26" t="s">
        <v>265</v>
      </c>
      <c r="E241" s="24">
        <v>4466.2740000000003</v>
      </c>
      <c r="F241" s="24">
        <v>4466.2740000000003</v>
      </c>
      <c r="G241" s="25">
        <v>0</v>
      </c>
      <c r="H241" s="24">
        <f t="shared" si="13"/>
        <v>4451.567</v>
      </c>
      <c r="I241" s="24">
        <v>4451.567</v>
      </c>
      <c r="J241" s="25">
        <v>0</v>
      </c>
      <c r="K241" s="26">
        <v>1</v>
      </c>
      <c r="L241" s="26">
        <v>1</v>
      </c>
      <c r="M241" s="27"/>
    </row>
    <row r="242" spans="1:13" ht="64">
      <c r="A242" s="1">
        <v>8</v>
      </c>
      <c r="B242" s="22">
        <v>22</v>
      </c>
      <c r="C242" s="23" t="s">
        <v>268</v>
      </c>
      <c r="D242" s="26" t="s">
        <v>34</v>
      </c>
      <c r="E242" s="24">
        <f>6543.663+2550</f>
        <v>9093.6630000000005</v>
      </c>
      <c r="F242" s="24">
        <f>5677.221+2550</f>
        <v>8227.2209999999995</v>
      </c>
      <c r="G242" s="25">
        <f>866.442+0</f>
        <v>866.44200000000001</v>
      </c>
      <c r="H242" s="24">
        <f t="shared" si="13"/>
        <v>4821.42</v>
      </c>
      <c r="I242" s="24">
        <v>3954.9780000000001</v>
      </c>
      <c r="J242" s="25">
        <v>866.44200000000001</v>
      </c>
      <c r="K242" s="26">
        <v>1</v>
      </c>
      <c r="L242" s="26"/>
      <c r="M242" s="27" t="s">
        <v>23</v>
      </c>
    </row>
    <row r="243" spans="1:13" ht="48">
      <c r="A243" s="1">
        <v>8</v>
      </c>
      <c r="B243" s="22">
        <v>23</v>
      </c>
      <c r="C243" s="23" t="s">
        <v>269</v>
      </c>
      <c r="D243" s="26" t="s">
        <v>34</v>
      </c>
      <c r="E243" s="24">
        <f>6303.509+14476.287</f>
        <v>20779.796000000002</v>
      </c>
      <c r="F243" s="24">
        <f>0+14476.287</f>
        <v>14476.287</v>
      </c>
      <c r="G243" s="25">
        <f>6303.509+0</f>
        <v>6303.509</v>
      </c>
      <c r="H243" s="24">
        <f t="shared" si="13"/>
        <v>14484.353999999999</v>
      </c>
      <c r="I243" s="24">
        <v>8959.2610000000004</v>
      </c>
      <c r="J243" s="25">
        <v>5525.0929999999998</v>
      </c>
      <c r="K243" s="26">
        <v>1</v>
      </c>
      <c r="L243" s="26">
        <v>1</v>
      </c>
      <c r="M243" s="27" t="s">
        <v>23</v>
      </c>
    </row>
    <row r="244" spans="1:13" ht="33" thickBot="1">
      <c r="A244" s="1">
        <v>8</v>
      </c>
      <c r="B244" s="36">
        <v>24</v>
      </c>
      <c r="C244" s="37" t="s">
        <v>270</v>
      </c>
      <c r="D244" s="40" t="s">
        <v>21</v>
      </c>
      <c r="E244" s="38">
        <f>0+3500</f>
        <v>3500</v>
      </c>
      <c r="F244" s="38">
        <f>0+3500</f>
        <v>3500</v>
      </c>
      <c r="G244" s="39">
        <f>0+0</f>
        <v>0</v>
      </c>
      <c r="H244" s="38">
        <f t="shared" si="13"/>
        <v>3346.0569999999998</v>
      </c>
      <c r="I244" s="38">
        <v>3346.0569999999998</v>
      </c>
      <c r="J244" s="39">
        <v>0</v>
      </c>
      <c r="K244" s="40">
        <f>0+1</f>
        <v>1</v>
      </c>
      <c r="L244" s="40">
        <v>1</v>
      </c>
      <c r="M244" s="41" t="s">
        <v>271</v>
      </c>
    </row>
    <row r="245" spans="1:13" ht="64">
      <c r="A245" s="1">
        <v>9</v>
      </c>
      <c r="B245" s="15"/>
      <c r="C245" s="16" t="s">
        <v>272</v>
      </c>
      <c r="D245" s="16"/>
      <c r="E245" s="17">
        <f>SUM(E246:E297)</f>
        <v>292019.49099999998</v>
      </c>
      <c r="F245" s="17">
        <f t="shared" ref="F245:L245" si="15">SUM(F246:F297)</f>
        <v>251291.52799999999</v>
      </c>
      <c r="G245" s="18">
        <f t="shared" si="15"/>
        <v>40727.962999999996</v>
      </c>
      <c r="H245" s="17">
        <f t="shared" si="13"/>
        <v>275625.87199999997</v>
      </c>
      <c r="I245" s="17">
        <f t="shared" si="15"/>
        <v>236671.198</v>
      </c>
      <c r="J245" s="18">
        <f t="shared" si="15"/>
        <v>38954.673999999999</v>
      </c>
      <c r="K245" s="20">
        <f t="shared" si="15"/>
        <v>51</v>
      </c>
      <c r="L245" s="20">
        <f t="shared" si="15"/>
        <v>12</v>
      </c>
      <c r="M245" s="21"/>
    </row>
    <row r="246" spans="1:13" ht="32">
      <c r="A246" s="1">
        <v>9</v>
      </c>
      <c r="B246" s="22">
        <v>1</v>
      </c>
      <c r="C246" s="23" t="s">
        <v>273</v>
      </c>
      <c r="D246" s="44" t="s">
        <v>21</v>
      </c>
      <c r="E246" s="24">
        <v>6570.4859999999999</v>
      </c>
      <c r="F246" s="24">
        <v>6570.4859999999999</v>
      </c>
      <c r="G246" s="25">
        <v>0</v>
      </c>
      <c r="H246" s="24">
        <f t="shared" si="13"/>
        <v>6539.3850000000002</v>
      </c>
      <c r="I246" s="24">
        <v>6539.3850000000002</v>
      </c>
      <c r="J246" s="25">
        <v>0</v>
      </c>
      <c r="K246" s="48">
        <v>1</v>
      </c>
      <c r="L246" s="48">
        <v>1</v>
      </c>
      <c r="M246" s="27"/>
    </row>
    <row r="247" spans="1:13" ht="32">
      <c r="A247" s="1">
        <v>9</v>
      </c>
      <c r="B247" s="22">
        <v>2</v>
      </c>
      <c r="C247" s="23" t="s">
        <v>274</v>
      </c>
      <c r="D247" s="44" t="s">
        <v>16</v>
      </c>
      <c r="E247" s="24">
        <v>5000</v>
      </c>
      <c r="F247" s="24">
        <v>5000</v>
      </c>
      <c r="G247" s="25">
        <v>0</v>
      </c>
      <c r="H247" s="24">
        <f t="shared" si="13"/>
        <v>5000</v>
      </c>
      <c r="I247" s="24">
        <v>5000</v>
      </c>
      <c r="J247" s="25">
        <v>0</v>
      </c>
      <c r="K247" s="48">
        <v>1</v>
      </c>
      <c r="L247" s="48">
        <v>0</v>
      </c>
      <c r="M247" s="27" t="s">
        <v>275</v>
      </c>
    </row>
    <row r="248" spans="1:13" ht="32">
      <c r="A248" s="1">
        <v>9</v>
      </c>
      <c r="B248" s="22">
        <v>3</v>
      </c>
      <c r="C248" s="23" t="s">
        <v>276</v>
      </c>
      <c r="D248" s="44" t="s">
        <v>16</v>
      </c>
      <c r="E248" s="24">
        <v>5000</v>
      </c>
      <c r="F248" s="24">
        <v>5000</v>
      </c>
      <c r="G248" s="25">
        <v>0</v>
      </c>
      <c r="H248" s="24">
        <f t="shared" si="13"/>
        <v>4980.2950000000001</v>
      </c>
      <c r="I248" s="24">
        <v>4980.2950000000001</v>
      </c>
      <c r="J248" s="25">
        <v>0</v>
      </c>
      <c r="K248" s="48">
        <v>1</v>
      </c>
      <c r="L248" s="48">
        <v>0</v>
      </c>
      <c r="M248" s="27" t="s">
        <v>275</v>
      </c>
    </row>
    <row r="249" spans="1:13" ht="32">
      <c r="A249" s="1">
        <v>9</v>
      </c>
      <c r="B249" s="22">
        <v>4</v>
      </c>
      <c r="C249" s="23" t="s">
        <v>277</v>
      </c>
      <c r="D249" s="44" t="s">
        <v>151</v>
      </c>
      <c r="E249" s="24">
        <v>2425.19</v>
      </c>
      <c r="F249" s="24">
        <v>2425.19</v>
      </c>
      <c r="G249" s="25">
        <v>0</v>
      </c>
      <c r="H249" s="24">
        <f t="shared" si="13"/>
        <v>2412.87</v>
      </c>
      <c r="I249" s="24">
        <v>2412.87</v>
      </c>
      <c r="J249" s="25">
        <v>0</v>
      </c>
      <c r="K249" s="48">
        <v>1</v>
      </c>
      <c r="L249" s="48">
        <v>0</v>
      </c>
      <c r="M249" s="27"/>
    </row>
    <row r="250" spans="1:13" ht="32">
      <c r="A250" s="1">
        <v>9</v>
      </c>
      <c r="B250" s="22">
        <v>5</v>
      </c>
      <c r="C250" s="23" t="s">
        <v>278</v>
      </c>
      <c r="D250" s="44" t="s">
        <v>21</v>
      </c>
      <c r="E250" s="24">
        <v>2000</v>
      </c>
      <c r="F250" s="24">
        <v>1000</v>
      </c>
      <c r="G250" s="25">
        <v>1000</v>
      </c>
      <c r="H250" s="24">
        <f t="shared" si="13"/>
        <v>2000</v>
      </c>
      <c r="I250" s="24">
        <v>1000</v>
      </c>
      <c r="J250" s="25">
        <v>1000</v>
      </c>
      <c r="K250" s="48">
        <v>1</v>
      </c>
      <c r="L250" s="48">
        <v>0</v>
      </c>
      <c r="M250" s="27"/>
    </row>
    <row r="251" spans="1:13" ht="32">
      <c r="A251" s="1">
        <v>9</v>
      </c>
      <c r="B251" s="22">
        <v>6</v>
      </c>
      <c r="C251" s="23" t="s">
        <v>279</v>
      </c>
      <c r="D251" s="44" t="s">
        <v>16</v>
      </c>
      <c r="E251" s="24">
        <v>9000</v>
      </c>
      <c r="F251" s="24">
        <v>9000</v>
      </c>
      <c r="G251" s="25">
        <v>0</v>
      </c>
      <c r="H251" s="24">
        <f t="shared" si="13"/>
        <v>9000</v>
      </c>
      <c r="I251" s="24">
        <v>9000</v>
      </c>
      <c r="J251" s="25">
        <v>0</v>
      </c>
      <c r="K251" s="48">
        <v>1</v>
      </c>
      <c r="L251" s="48">
        <v>0</v>
      </c>
      <c r="M251" s="27" t="s">
        <v>275</v>
      </c>
    </row>
    <row r="252" spans="1:13" ht="64">
      <c r="A252" s="1">
        <v>9</v>
      </c>
      <c r="B252" s="22">
        <v>7</v>
      </c>
      <c r="C252" s="23" t="s">
        <v>280</v>
      </c>
      <c r="D252" s="44" t="s">
        <v>19</v>
      </c>
      <c r="E252" s="24">
        <v>34000</v>
      </c>
      <c r="F252" s="24">
        <v>34000</v>
      </c>
      <c r="G252" s="25">
        <v>0</v>
      </c>
      <c r="H252" s="24">
        <f t="shared" si="13"/>
        <v>34000</v>
      </c>
      <c r="I252" s="24">
        <v>34000</v>
      </c>
      <c r="J252" s="25">
        <v>0</v>
      </c>
      <c r="K252" s="48">
        <v>1</v>
      </c>
      <c r="L252" s="48">
        <v>1</v>
      </c>
      <c r="M252" s="27"/>
    </row>
    <row r="253" spans="1:13" ht="32">
      <c r="A253" s="1">
        <v>9</v>
      </c>
      <c r="B253" s="22">
        <v>8</v>
      </c>
      <c r="C253" s="23" t="s">
        <v>281</v>
      </c>
      <c r="D253" s="44">
        <v>2019</v>
      </c>
      <c r="E253" s="24">
        <v>8000</v>
      </c>
      <c r="F253" s="24">
        <v>8000</v>
      </c>
      <c r="G253" s="25">
        <v>0</v>
      </c>
      <c r="H253" s="24">
        <f t="shared" si="13"/>
        <v>8000</v>
      </c>
      <c r="I253" s="24">
        <v>8000</v>
      </c>
      <c r="J253" s="25">
        <v>0</v>
      </c>
      <c r="K253" s="48">
        <v>1</v>
      </c>
      <c r="L253" s="48">
        <v>1</v>
      </c>
      <c r="M253" s="27"/>
    </row>
    <row r="254" spans="1:13" ht="272">
      <c r="A254" s="1">
        <v>9</v>
      </c>
      <c r="B254" s="22">
        <v>9</v>
      </c>
      <c r="C254" s="23" t="s">
        <v>282</v>
      </c>
      <c r="D254" s="44" t="s">
        <v>34</v>
      </c>
      <c r="E254" s="24">
        <v>28536.758999999998</v>
      </c>
      <c r="F254" s="24">
        <v>28536.758999999998</v>
      </c>
      <c r="G254" s="25">
        <v>0</v>
      </c>
      <c r="H254" s="24">
        <f t="shared" si="13"/>
        <v>26005.371999999999</v>
      </c>
      <c r="I254" s="24">
        <v>26005.371999999999</v>
      </c>
      <c r="J254" s="25">
        <v>0</v>
      </c>
      <c r="K254" s="48">
        <v>1</v>
      </c>
      <c r="L254" s="48">
        <v>0</v>
      </c>
      <c r="M254" s="27" t="s">
        <v>283</v>
      </c>
    </row>
    <row r="255" spans="1:13" ht="80">
      <c r="A255" s="1">
        <v>9</v>
      </c>
      <c r="B255" s="22">
        <v>10</v>
      </c>
      <c r="C255" s="23" t="s">
        <v>284</v>
      </c>
      <c r="D255" s="44" t="s">
        <v>32</v>
      </c>
      <c r="E255" s="24">
        <v>6000</v>
      </c>
      <c r="F255" s="24">
        <v>6000</v>
      </c>
      <c r="G255" s="25">
        <v>0</v>
      </c>
      <c r="H255" s="24">
        <f t="shared" si="13"/>
        <v>4479.4160000000002</v>
      </c>
      <c r="I255" s="24">
        <v>4479.4160000000002</v>
      </c>
      <c r="J255" s="25">
        <v>0</v>
      </c>
      <c r="K255" s="48">
        <v>1</v>
      </c>
      <c r="L255" s="48">
        <v>0</v>
      </c>
      <c r="M255" s="27" t="s">
        <v>285</v>
      </c>
    </row>
    <row r="256" spans="1:13" ht="256">
      <c r="A256" s="1">
        <v>9</v>
      </c>
      <c r="B256" s="22">
        <v>11</v>
      </c>
      <c r="C256" s="23" t="s">
        <v>286</v>
      </c>
      <c r="D256" s="44">
        <v>2019</v>
      </c>
      <c r="E256" s="24">
        <v>1900</v>
      </c>
      <c r="F256" s="24">
        <v>1900</v>
      </c>
      <c r="G256" s="25">
        <v>0</v>
      </c>
      <c r="H256" s="24">
        <f t="shared" si="13"/>
        <v>1900</v>
      </c>
      <c r="I256" s="24">
        <v>1900</v>
      </c>
      <c r="J256" s="25">
        <v>0</v>
      </c>
      <c r="K256" s="48">
        <v>1</v>
      </c>
      <c r="L256" s="48">
        <v>1</v>
      </c>
      <c r="M256" s="27" t="s">
        <v>287</v>
      </c>
    </row>
    <row r="257" spans="1:13" ht="32">
      <c r="A257" s="1">
        <v>9</v>
      </c>
      <c r="B257" s="22">
        <v>12</v>
      </c>
      <c r="C257" s="23" t="s">
        <v>288</v>
      </c>
      <c r="D257" s="44" t="s">
        <v>34</v>
      </c>
      <c r="E257" s="24">
        <v>7500</v>
      </c>
      <c r="F257" s="24">
        <v>7500</v>
      </c>
      <c r="G257" s="25">
        <v>0</v>
      </c>
      <c r="H257" s="24">
        <f t="shared" si="13"/>
        <v>6728.1260000000002</v>
      </c>
      <c r="I257" s="24">
        <v>6728.1260000000002</v>
      </c>
      <c r="J257" s="25">
        <v>0</v>
      </c>
      <c r="K257" s="48">
        <v>1</v>
      </c>
      <c r="L257" s="48">
        <v>0</v>
      </c>
      <c r="M257" s="27" t="s">
        <v>275</v>
      </c>
    </row>
    <row r="258" spans="1:13" ht="48">
      <c r="A258" s="1">
        <v>9</v>
      </c>
      <c r="B258" s="22">
        <v>13</v>
      </c>
      <c r="C258" s="23" t="s">
        <v>289</v>
      </c>
      <c r="D258" s="44" t="s">
        <v>34</v>
      </c>
      <c r="E258" s="24">
        <v>2000</v>
      </c>
      <c r="F258" s="24">
        <v>2000</v>
      </c>
      <c r="G258" s="25">
        <v>0</v>
      </c>
      <c r="H258" s="24">
        <f t="shared" si="13"/>
        <v>1998.308</v>
      </c>
      <c r="I258" s="24">
        <v>1998.308</v>
      </c>
      <c r="J258" s="25">
        <v>0</v>
      </c>
      <c r="K258" s="48">
        <v>1</v>
      </c>
      <c r="L258" s="48">
        <v>0</v>
      </c>
      <c r="M258" s="27" t="s">
        <v>275</v>
      </c>
    </row>
    <row r="259" spans="1:13" ht="48">
      <c r="A259" s="1">
        <v>9</v>
      </c>
      <c r="B259" s="22">
        <v>14</v>
      </c>
      <c r="C259" s="23" t="s">
        <v>290</v>
      </c>
      <c r="D259" s="44" t="s">
        <v>34</v>
      </c>
      <c r="E259" s="24">
        <v>3000</v>
      </c>
      <c r="F259" s="24">
        <v>3000</v>
      </c>
      <c r="G259" s="25">
        <v>0</v>
      </c>
      <c r="H259" s="24">
        <f t="shared" si="13"/>
        <v>2257.7170000000001</v>
      </c>
      <c r="I259" s="24">
        <v>2257.7170000000001</v>
      </c>
      <c r="J259" s="25">
        <v>0</v>
      </c>
      <c r="K259" s="48">
        <v>1</v>
      </c>
      <c r="L259" s="48">
        <v>0</v>
      </c>
      <c r="M259" s="27" t="s">
        <v>275</v>
      </c>
    </row>
    <row r="260" spans="1:13" ht="64">
      <c r="A260" s="1">
        <v>9</v>
      </c>
      <c r="B260" s="22">
        <v>15</v>
      </c>
      <c r="C260" s="23" t="s">
        <v>291</v>
      </c>
      <c r="D260" s="44">
        <v>2019</v>
      </c>
      <c r="E260" s="24">
        <v>3000</v>
      </c>
      <c r="F260" s="24">
        <v>2000</v>
      </c>
      <c r="G260" s="25">
        <v>1000</v>
      </c>
      <c r="H260" s="24">
        <f t="shared" si="13"/>
        <v>2998.5550000000003</v>
      </c>
      <c r="I260" s="24">
        <v>1999.134</v>
      </c>
      <c r="J260" s="25">
        <v>999.42100000000005</v>
      </c>
      <c r="K260" s="48">
        <v>1</v>
      </c>
      <c r="L260" s="48">
        <v>0</v>
      </c>
      <c r="M260" s="27" t="s">
        <v>292</v>
      </c>
    </row>
    <row r="261" spans="1:13" ht="80">
      <c r="A261" s="1">
        <v>9</v>
      </c>
      <c r="B261" s="22">
        <v>16</v>
      </c>
      <c r="C261" s="23" t="s">
        <v>293</v>
      </c>
      <c r="D261" s="44" t="s">
        <v>34</v>
      </c>
      <c r="E261" s="24">
        <v>1500</v>
      </c>
      <c r="F261" s="24">
        <v>1500</v>
      </c>
      <c r="G261" s="25">
        <v>0</v>
      </c>
      <c r="H261" s="24">
        <f t="shared" si="13"/>
        <v>1500</v>
      </c>
      <c r="I261" s="24">
        <v>1500</v>
      </c>
      <c r="J261" s="25">
        <v>0</v>
      </c>
      <c r="K261" s="48">
        <v>1</v>
      </c>
      <c r="L261" s="48">
        <v>0</v>
      </c>
      <c r="M261" s="27" t="s">
        <v>294</v>
      </c>
    </row>
    <row r="262" spans="1:13" ht="80">
      <c r="A262" s="1">
        <v>9</v>
      </c>
      <c r="B262" s="22">
        <v>17</v>
      </c>
      <c r="C262" s="23" t="s">
        <v>295</v>
      </c>
      <c r="D262" s="44" t="s">
        <v>34</v>
      </c>
      <c r="E262" s="24">
        <v>1800</v>
      </c>
      <c r="F262" s="24">
        <v>1800</v>
      </c>
      <c r="G262" s="25">
        <v>0</v>
      </c>
      <c r="H262" s="24">
        <f t="shared" si="13"/>
        <v>1788.3989999999999</v>
      </c>
      <c r="I262" s="24">
        <v>1788.3989999999999</v>
      </c>
      <c r="J262" s="25">
        <v>0</v>
      </c>
      <c r="K262" s="48">
        <v>1</v>
      </c>
      <c r="L262" s="48">
        <v>0</v>
      </c>
      <c r="M262" s="27" t="s">
        <v>275</v>
      </c>
    </row>
    <row r="263" spans="1:13" ht="64">
      <c r="A263" s="1">
        <v>9</v>
      </c>
      <c r="B263" s="22">
        <v>18</v>
      </c>
      <c r="C263" s="23" t="s">
        <v>296</v>
      </c>
      <c r="D263" s="44">
        <v>2019</v>
      </c>
      <c r="E263" s="24">
        <v>7243.4769999999999</v>
      </c>
      <c r="F263" s="24">
        <v>7243.4769999999999</v>
      </c>
      <c r="G263" s="25">
        <v>0</v>
      </c>
      <c r="H263" s="24">
        <f t="shared" si="13"/>
        <v>6974.6080000000002</v>
      </c>
      <c r="I263" s="24">
        <v>6974.6080000000002</v>
      </c>
      <c r="J263" s="25">
        <v>0</v>
      </c>
      <c r="K263" s="48">
        <v>1</v>
      </c>
      <c r="L263" s="48">
        <v>1</v>
      </c>
      <c r="M263" s="27" t="s">
        <v>297</v>
      </c>
    </row>
    <row r="264" spans="1:13" ht="48">
      <c r="A264" s="1">
        <v>9</v>
      </c>
      <c r="B264" s="22">
        <v>19</v>
      </c>
      <c r="C264" s="23" t="s">
        <v>298</v>
      </c>
      <c r="D264" s="44">
        <v>2019</v>
      </c>
      <c r="E264" s="24">
        <v>8600.59</v>
      </c>
      <c r="F264" s="24">
        <v>8600.59</v>
      </c>
      <c r="G264" s="25">
        <v>0</v>
      </c>
      <c r="H264" s="24">
        <f t="shared" si="13"/>
        <v>8600.59</v>
      </c>
      <c r="I264" s="24">
        <v>8600.59</v>
      </c>
      <c r="J264" s="25">
        <v>0</v>
      </c>
      <c r="K264" s="48">
        <v>1</v>
      </c>
      <c r="L264" s="48">
        <v>0</v>
      </c>
      <c r="M264" s="27" t="s">
        <v>299</v>
      </c>
    </row>
    <row r="265" spans="1:13" ht="48">
      <c r="A265" s="1">
        <v>9</v>
      </c>
      <c r="B265" s="22">
        <v>20</v>
      </c>
      <c r="C265" s="23" t="s">
        <v>300</v>
      </c>
      <c r="D265" s="44" t="s">
        <v>32</v>
      </c>
      <c r="E265" s="24">
        <v>2000</v>
      </c>
      <c r="F265" s="24">
        <v>2000</v>
      </c>
      <c r="G265" s="25">
        <v>0</v>
      </c>
      <c r="H265" s="24">
        <f t="shared" si="13"/>
        <v>2000</v>
      </c>
      <c r="I265" s="24">
        <v>2000</v>
      </c>
      <c r="J265" s="25">
        <v>0</v>
      </c>
      <c r="K265" s="48">
        <v>1</v>
      </c>
      <c r="L265" s="48">
        <v>0</v>
      </c>
      <c r="M265" s="27" t="s">
        <v>275</v>
      </c>
    </row>
    <row r="266" spans="1:13" ht="32">
      <c r="A266" s="1">
        <v>9</v>
      </c>
      <c r="B266" s="22">
        <v>21</v>
      </c>
      <c r="C266" s="23" t="s">
        <v>301</v>
      </c>
      <c r="D266" s="44">
        <v>2019</v>
      </c>
      <c r="E266" s="24">
        <v>2335</v>
      </c>
      <c r="F266" s="24">
        <v>2335</v>
      </c>
      <c r="G266" s="25">
        <v>0</v>
      </c>
      <c r="H266" s="24">
        <f t="shared" ref="H266:H329" si="16">I266+J266</f>
        <v>2320.9969999999998</v>
      </c>
      <c r="I266" s="24">
        <v>2320.9969999999998</v>
      </c>
      <c r="J266" s="25">
        <v>0</v>
      </c>
      <c r="K266" s="48">
        <v>1</v>
      </c>
      <c r="L266" s="48">
        <v>1</v>
      </c>
      <c r="M266" s="27"/>
    </row>
    <row r="267" spans="1:13" ht="32">
      <c r="A267" s="1">
        <v>9</v>
      </c>
      <c r="B267" s="22">
        <v>22</v>
      </c>
      <c r="C267" s="23" t="s">
        <v>302</v>
      </c>
      <c r="D267" s="44">
        <v>2019</v>
      </c>
      <c r="E267" s="24">
        <v>2781</v>
      </c>
      <c r="F267" s="24">
        <v>2781</v>
      </c>
      <c r="G267" s="25">
        <v>0</v>
      </c>
      <c r="H267" s="24">
        <f t="shared" si="16"/>
        <v>2781</v>
      </c>
      <c r="I267" s="24">
        <v>2781</v>
      </c>
      <c r="J267" s="25">
        <v>0</v>
      </c>
      <c r="K267" s="48">
        <v>1</v>
      </c>
      <c r="L267" s="48">
        <v>0</v>
      </c>
      <c r="M267" s="27"/>
    </row>
    <row r="268" spans="1:13" ht="48">
      <c r="A268" s="1">
        <v>9</v>
      </c>
      <c r="B268" s="22">
        <v>23</v>
      </c>
      <c r="C268" s="23" t="s">
        <v>303</v>
      </c>
      <c r="D268" s="44" t="s">
        <v>32</v>
      </c>
      <c r="E268" s="24">
        <v>8000</v>
      </c>
      <c r="F268" s="24">
        <v>8000</v>
      </c>
      <c r="G268" s="25">
        <v>0</v>
      </c>
      <c r="H268" s="24">
        <f t="shared" si="16"/>
        <v>7999.8739999999998</v>
      </c>
      <c r="I268" s="24">
        <v>7999.8739999999998</v>
      </c>
      <c r="J268" s="25">
        <v>0</v>
      </c>
      <c r="K268" s="48">
        <v>1</v>
      </c>
      <c r="L268" s="48">
        <v>0</v>
      </c>
      <c r="M268" s="27" t="s">
        <v>275</v>
      </c>
    </row>
    <row r="269" spans="1:13" ht="256">
      <c r="A269" s="1">
        <v>9</v>
      </c>
      <c r="B269" s="22">
        <v>24</v>
      </c>
      <c r="C269" s="23" t="s">
        <v>304</v>
      </c>
      <c r="D269" s="44">
        <v>2019</v>
      </c>
      <c r="E269" s="24">
        <v>6250</v>
      </c>
      <c r="F269" s="24">
        <v>6250</v>
      </c>
      <c r="G269" s="25">
        <v>0</v>
      </c>
      <c r="H269" s="24">
        <f t="shared" si="16"/>
        <v>2840.569</v>
      </c>
      <c r="I269" s="24">
        <v>2840.569</v>
      </c>
      <c r="J269" s="25">
        <v>0</v>
      </c>
      <c r="K269" s="48">
        <v>1</v>
      </c>
      <c r="L269" s="48">
        <v>0</v>
      </c>
      <c r="M269" s="27" t="s">
        <v>305</v>
      </c>
    </row>
    <row r="270" spans="1:13" ht="240">
      <c r="A270" s="1">
        <v>9</v>
      </c>
      <c r="B270" s="22">
        <v>25</v>
      </c>
      <c r="C270" s="23" t="s">
        <v>306</v>
      </c>
      <c r="D270" s="44">
        <v>2019</v>
      </c>
      <c r="E270" s="24">
        <v>6000</v>
      </c>
      <c r="F270" s="24">
        <v>6000</v>
      </c>
      <c r="G270" s="25">
        <v>0</v>
      </c>
      <c r="H270" s="24">
        <f t="shared" si="16"/>
        <v>5992.8059999999996</v>
      </c>
      <c r="I270" s="24">
        <v>5992.8059999999996</v>
      </c>
      <c r="J270" s="25">
        <v>0</v>
      </c>
      <c r="K270" s="48">
        <v>1</v>
      </c>
      <c r="L270" s="48">
        <v>1</v>
      </c>
      <c r="M270" s="27" t="s">
        <v>307</v>
      </c>
    </row>
    <row r="271" spans="1:13" ht="80">
      <c r="A271" s="1">
        <v>9</v>
      </c>
      <c r="B271" s="22">
        <v>26</v>
      </c>
      <c r="C271" s="23" t="s">
        <v>308</v>
      </c>
      <c r="D271" s="44" t="s">
        <v>32</v>
      </c>
      <c r="E271" s="24">
        <v>3700</v>
      </c>
      <c r="F271" s="24">
        <v>3700</v>
      </c>
      <c r="G271" s="25">
        <v>0</v>
      </c>
      <c r="H271" s="24">
        <f t="shared" si="16"/>
        <v>3678.277</v>
      </c>
      <c r="I271" s="24">
        <v>3678.277</v>
      </c>
      <c r="J271" s="25">
        <v>0</v>
      </c>
      <c r="K271" s="48">
        <v>1</v>
      </c>
      <c r="L271" s="48">
        <v>0</v>
      </c>
      <c r="M271" s="27" t="s">
        <v>309</v>
      </c>
    </row>
    <row r="272" spans="1:13" ht="48">
      <c r="A272" s="1">
        <v>9</v>
      </c>
      <c r="B272" s="22">
        <v>27</v>
      </c>
      <c r="C272" s="23" t="s">
        <v>310</v>
      </c>
      <c r="D272" s="44" t="s">
        <v>34</v>
      </c>
      <c r="E272" s="24">
        <f>8500-6500</f>
        <v>2000</v>
      </c>
      <c r="F272" s="24">
        <f>8500-6500</f>
        <v>2000</v>
      </c>
      <c r="G272" s="25">
        <v>0</v>
      </c>
      <c r="H272" s="24">
        <f t="shared" si="16"/>
        <v>2000</v>
      </c>
      <c r="I272" s="24">
        <v>2000</v>
      </c>
      <c r="J272" s="25">
        <v>0</v>
      </c>
      <c r="K272" s="48">
        <v>1</v>
      </c>
      <c r="L272" s="48">
        <v>0</v>
      </c>
      <c r="M272" s="27" t="s">
        <v>48</v>
      </c>
    </row>
    <row r="273" spans="1:13" ht="48">
      <c r="A273" s="1">
        <v>9</v>
      </c>
      <c r="B273" s="22">
        <v>28</v>
      </c>
      <c r="C273" s="23" t="s">
        <v>311</v>
      </c>
      <c r="D273" s="44" t="s">
        <v>32</v>
      </c>
      <c r="E273" s="24">
        <v>4194.6350000000002</v>
      </c>
      <c r="F273" s="24">
        <v>2000</v>
      </c>
      <c r="G273" s="25">
        <v>2194.6350000000002</v>
      </c>
      <c r="H273" s="24">
        <f t="shared" si="16"/>
        <v>3759.9189999999999</v>
      </c>
      <c r="I273" s="24">
        <v>1585</v>
      </c>
      <c r="J273" s="25">
        <v>2174.9189999999999</v>
      </c>
      <c r="K273" s="48">
        <v>1</v>
      </c>
      <c r="L273" s="48">
        <v>0</v>
      </c>
      <c r="M273" s="27" t="s">
        <v>275</v>
      </c>
    </row>
    <row r="274" spans="1:13" ht="80">
      <c r="A274" s="1">
        <v>9</v>
      </c>
      <c r="B274" s="22">
        <v>29</v>
      </c>
      <c r="C274" s="23" t="s">
        <v>312</v>
      </c>
      <c r="D274" s="44">
        <v>2019</v>
      </c>
      <c r="E274" s="24">
        <v>3200</v>
      </c>
      <c r="F274" s="24">
        <v>3200</v>
      </c>
      <c r="G274" s="25">
        <v>0</v>
      </c>
      <c r="H274" s="24">
        <f t="shared" si="16"/>
        <v>3200</v>
      </c>
      <c r="I274" s="24">
        <v>3200</v>
      </c>
      <c r="J274" s="25">
        <v>0</v>
      </c>
      <c r="K274" s="48">
        <v>1</v>
      </c>
      <c r="L274" s="48">
        <v>0</v>
      </c>
      <c r="M274" s="27" t="s">
        <v>313</v>
      </c>
    </row>
    <row r="275" spans="1:13" ht="48">
      <c r="A275" s="1">
        <v>9</v>
      </c>
      <c r="B275" s="22">
        <v>30</v>
      </c>
      <c r="C275" s="23" t="s">
        <v>314</v>
      </c>
      <c r="D275" s="44" t="s">
        <v>32</v>
      </c>
      <c r="E275" s="24">
        <v>6200</v>
      </c>
      <c r="F275" s="24">
        <v>6200</v>
      </c>
      <c r="G275" s="25">
        <v>0</v>
      </c>
      <c r="H275" s="24">
        <f t="shared" si="16"/>
        <v>6198.3109999999997</v>
      </c>
      <c r="I275" s="24">
        <v>6198.3109999999997</v>
      </c>
      <c r="J275" s="25">
        <v>0</v>
      </c>
      <c r="K275" s="48">
        <v>1</v>
      </c>
      <c r="L275" s="48">
        <v>0</v>
      </c>
      <c r="M275" s="27" t="s">
        <v>275</v>
      </c>
    </row>
    <row r="276" spans="1:13" ht="32">
      <c r="A276" s="1">
        <v>9</v>
      </c>
      <c r="B276" s="22">
        <v>31</v>
      </c>
      <c r="C276" s="23" t="s">
        <v>315</v>
      </c>
      <c r="D276" s="44">
        <v>2019</v>
      </c>
      <c r="E276" s="24">
        <v>3672.1390000000001</v>
      </c>
      <c r="F276" s="24">
        <v>3672.1390000000001</v>
      </c>
      <c r="G276" s="25">
        <v>0</v>
      </c>
      <c r="H276" s="24">
        <f t="shared" si="16"/>
        <v>3672.1390000000001</v>
      </c>
      <c r="I276" s="24">
        <v>3672.1390000000001</v>
      </c>
      <c r="J276" s="25">
        <v>0</v>
      </c>
      <c r="K276" s="48">
        <v>1</v>
      </c>
      <c r="L276" s="48">
        <v>1</v>
      </c>
      <c r="M276" s="27"/>
    </row>
    <row r="277" spans="1:13" ht="80">
      <c r="A277" s="1">
        <v>9</v>
      </c>
      <c r="B277" s="22">
        <v>32</v>
      </c>
      <c r="C277" s="23" t="s">
        <v>316</v>
      </c>
      <c r="D277" s="44" t="s">
        <v>32</v>
      </c>
      <c r="E277" s="24">
        <v>4346.2700000000004</v>
      </c>
      <c r="F277" s="24">
        <v>4346.2700000000004</v>
      </c>
      <c r="G277" s="25">
        <v>0</v>
      </c>
      <c r="H277" s="24">
        <f t="shared" si="16"/>
        <v>4346.2700000000004</v>
      </c>
      <c r="I277" s="24">
        <v>4346.2700000000004</v>
      </c>
      <c r="J277" s="25">
        <v>0</v>
      </c>
      <c r="K277" s="48">
        <v>1</v>
      </c>
      <c r="L277" s="48">
        <v>0</v>
      </c>
      <c r="M277" s="27" t="s">
        <v>317</v>
      </c>
    </row>
    <row r="278" spans="1:13" ht="64">
      <c r="A278" s="1">
        <v>9</v>
      </c>
      <c r="B278" s="22">
        <v>33</v>
      </c>
      <c r="C278" s="23" t="s">
        <v>318</v>
      </c>
      <c r="D278" s="44">
        <v>2019</v>
      </c>
      <c r="E278" s="24">
        <v>2000</v>
      </c>
      <c r="F278" s="24">
        <v>1000</v>
      </c>
      <c r="G278" s="25">
        <v>1000</v>
      </c>
      <c r="H278" s="24">
        <f t="shared" si="16"/>
        <v>0</v>
      </c>
      <c r="I278" s="24">
        <v>0</v>
      </c>
      <c r="J278" s="25">
        <v>0</v>
      </c>
      <c r="K278" s="48">
        <v>1</v>
      </c>
      <c r="L278" s="48">
        <v>0</v>
      </c>
      <c r="M278" s="27"/>
    </row>
    <row r="279" spans="1:13" ht="64">
      <c r="A279" s="1">
        <v>9</v>
      </c>
      <c r="B279" s="22">
        <v>34</v>
      </c>
      <c r="C279" s="23" t="s">
        <v>319</v>
      </c>
      <c r="D279" s="44">
        <v>2019</v>
      </c>
      <c r="E279" s="24">
        <v>4000</v>
      </c>
      <c r="F279" s="24">
        <v>1919.355</v>
      </c>
      <c r="G279" s="25">
        <v>2080.645</v>
      </c>
      <c r="H279" s="24">
        <f t="shared" si="16"/>
        <v>3795.817</v>
      </c>
      <c r="I279" s="24">
        <v>1721.25</v>
      </c>
      <c r="J279" s="25">
        <v>2074.567</v>
      </c>
      <c r="K279" s="48">
        <v>1</v>
      </c>
      <c r="L279" s="48">
        <v>0</v>
      </c>
      <c r="M279" s="27"/>
    </row>
    <row r="280" spans="1:13" ht="64">
      <c r="A280" s="1">
        <v>9</v>
      </c>
      <c r="B280" s="22">
        <v>35</v>
      </c>
      <c r="C280" s="23" t="s">
        <v>320</v>
      </c>
      <c r="D280" s="44">
        <v>2019</v>
      </c>
      <c r="E280" s="24">
        <v>1500</v>
      </c>
      <c r="F280" s="24">
        <v>0</v>
      </c>
      <c r="G280" s="25">
        <v>1500</v>
      </c>
      <c r="H280" s="24">
        <f t="shared" si="16"/>
        <v>1462.1659999999999</v>
      </c>
      <c r="I280" s="24">
        <v>0</v>
      </c>
      <c r="J280" s="25">
        <v>1462.1659999999999</v>
      </c>
      <c r="K280" s="48">
        <v>1</v>
      </c>
      <c r="L280" s="48">
        <v>0</v>
      </c>
      <c r="M280" s="27"/>
    </row>
    <row r="281" spans="1:13" ht="48">
      <c r="A281" s="1">
        <v>9</v>
      </c>
      <c r="B281" s="22">
        <v>36</v>
      </c>
      <c r="C281" s="23" t="s">
        <v>321</v>
      </c>
      <c r="D281" s="44">
        <v>2019</v>
      </c>
      <c r="E281" s="24">
        <v>3500</v>
      </c>
      <c r="F281" s="24">
        <v>0</v>
      </c>
      <c r="G281" s="25">
        <v>3500</v>
      </c>
      <c r="H281" s="24">
        <f t="shared" si="16"/>
        <v>3499.1010000000001</v>
      </c>
      <c r="I281" s="24">
        <v>0</v>
      </c>
      <c r="J281" s="25">
        <v>3499.1010000000001</v>
      </c>
      <c r="K281" s="48">
        <v>1</v>
      </c>
      <c r="L281" s="48">
        <v>0</v>
      </c>
      <c r="M281" s="27"/>
    </row>
    <row r="282" spans="1:13" ht="64">
      <c r="A282" s="1">
        <v>9</v>
      </c>
      <c r="B282" s="22">
        <v>37</v>
      </c>
      <c r="C282" s="23" t="s">
        <v>322</v>
      </c>
      <c r="D282" s="44">
        <v>2019</v>
      </c>
      <c r="E282" s="24">
        <v>1000</v>
      </c>
      <c r="F282" s="24">
        <v>0</v>
      </c>
      <c r="G282" s="25">
        <v>1000</v>
      </c>
      <c r="H282" s="24">
        <f t="shared" si="16"/>
        <v>1000</v>
      </c>
      <c r="I282" s="24">
        <v>0</v>
      </c>
      <c r="J282" s="25">
        <v>1000</v>
      </c>
      <c r="K282" s="48">
        <v>1</v>
      </c>
      <c r="L282" s="48">
        <v>1</v>
      </c>
      <c r="M282" s="27" t="s">
        <v>323</v>
      </c>
    </row>
    <row r="283" spans="1:13" ht="48">
      <c r="A283" s="1">
        <v>9</v>
      </c>
      <c r="B283" s="22">
        <v>38</v>
      </c>
      <c r="C283" s="23" t="s">
        <v>324</v>
      </c>
      <c r="D283" s="44">
        <v>2019</v>
      </c>
      <c r="E283" s="24">
        <v>2000</v>
      </c>
      <c r="F283" s="24">
        <v>0</v>
      </c>
      <c r="G283" s="25">
        <v>2000</v>
      </c>
      <c r="H283" s="24">
        <f t="shared" si="16"/>
        <v>1990.4760000000001</v>
      </c>
      <c r="I283" s="24">
        <v>0</v>
      </c>
      <c r="J283" s="25">
        <v>1990.4760000000001</v>
      </c>
      <c r="K283" s="48">
        <v>1</v>
      </c>
      <c r="L283" s="48">
        <v>0</v>
      </c>
      <c r="M283" s="27"/>
    </row>
    <row r="284" spans="1:13" ht="48">
      <c r="A284" s="1">
        <v>9</v>
      </c>
      <c r="B284" s="22">
        <v>39</v>
      </c>
      <c r="C284" s="23" t="s">
        <v>325</v>
      </c>
      <c r="D284" s="44">
        <v>2019</v>
      </c>
      <c r="E284" s="24">
        <v>2000</v>
      </c>
      <c r="F284" s="24">
        <v>0</v>
      </c>
      <c r="G284" s="25">
        <v>2000</v>
      </c>
      <c r="H284" s="24">
        <f t="shared" si="16"/>
        <v>1990.4490000000001</v>
      </c>
      <c r="I284" s="24">
        <v>0</v>
      </c>
      <c r="J284" s="25">
        <v>1990.4490000000001</v>
      </c>
      <c r="K284" s="48">
        <v>1</v>
      </c>
      <c r="L284" s="48">
        <v>0</v>
      </c>
      <c r="M284" s="27"/>
    </row>
    <row r="285" spans="1:13" ht="64">
      <c r="A285" s="1">
        <v>9</v>
      </c>
      <c r="B285" s="22">
        <v>40</v>
      </c>
      <c r="C285" s="23" t="s">
        <v>326</v>
      </c>
      <c r="D285" s="44">
        <v>2019</v>
      </c>
      <c r="E285" s="24">
        <f>14000+9300</f>
        <v>23300</v>
      </c>
      <c r="F285" s="24">
        <f>0+6652.682</f>
        <v>6652.6819999999998</v>
      </c>
      <c r="G285" s="25">
        <f>14000+2647.318</f>
        <v>16647.317999999999</v>
      </c>
      <c r="H285" s="24">
        <f t="shared" si="16"/>
        <v>23300</v>
      </c>
      <c r="I285" s="24">
        <v>6652.6819999999998</v>
      </c>
      <c r="J285" s="25">
        <v>16647.317999999999</v>
      </c>
      <c r="K285" s="48">
        <v>1</v>
      </c>
      <c r="L285" s="48">
        <v>1</v>
      </c>
      <c r="M285" s="27" t="s">
        <v>23</v>
      </c>
    </row>
    <row r="286" spans="1:13" ht="32">
      <c r="A286" s="1">
        <v>9</v>
      </c>
      <c r="B286" s="22">
        <v>41</v>
      </c>
      <c r="C286" s="23" t="s">
        <v>327</v>
      </c>
      <c r="D286" s="44">
        <v>2019</v>
      </c>
      <c r="E286" s="24">
        <v>4805.3649999999998</v>
      </c>
      <c r="F286" s="24">
        <v>0</v>
      </c>
      <c r="G286" s="25">
        <v>4805.3649999999998</v>
      </c>
      <c r="H286" s="24">
        <f t="shared" si="16"/>
        <v>4116.2569999999996</v>
      </c>
      <c r="I286" s="24">
        <v>0</v>
      </c>
      <c r="J286" s="25">
        <v>4116.2569999999996</v>
      </c>
      <c r="K286" s="48">
        <v>1</v>
      </c>
      <c r="L286" s="48">
        <v>1</v>
      </c>
      <c r="M286" s="27"/>
    </row>
    <row r="287" spans="1:13" ht="48">
      <c r="A287" s="1">
        <v>9</v>
      </c>
      <c r="B287" s="30">
        <v>42</v>
      </c>
      <c r="C287" s="31" t="s">
        <v>328</v>
      </c>
      <c r="D287" s="100" t="s">
        <v>32</v>
      </c>
      <c r="E287" s="32">
        <f>2800-2800</f>
        <v>0</v>
      </c>
      <c r="F287" s="32">
        <f>2800-2800</f>
        <v>0</v>
      </c>
      <c r="G287" s="33">
        <f>0-0</f>
        <v>0</v>
      </c>
      <c r="H287" s="32">
        <f t="shared" si="16"/>
        <v>0</v>
      </c>
      <c r="I287" s="32"/>
      <c r="J287" s="33"/>
      <c r="K287" s="49">
        <f>1-1</f>
        <v>0</v>
      </c>
      <c r="L287" s="49">
        <f>1-1</f>
        <v>0</v>
      </c>
      <c r="M287" s="35" t="s">
        <v>28</v>
      </c>
    </row>
    <row r="288" spans="1:13" ht="96">
      <c r="A288" s="1">
        <v>9</v>
      </c>
      <c r="B288" s="22">
        <v>43</v>
      </c>
      <c r="C288" s="23" t="s">
        <v>329</v>
      </c>
      <c r="D288" s="44" t="s">
        <v>34</v>
      </c>
      <c r="E288" s="24">
        <v>11000</v>
      </c>
      <c r="F288" s="24">
        <v>11000</v>
      </c>
      <c r="G288" s="25">
        <v>0</v>
      </c>
      <c r="H288" s="24">
        <f t="shared" si="16"/>
        <v>10972.465</v>
      </c>
      <c r="I288" s="24">
        <v>10972.465</v>
      </c>
      <c r="J288" s="25">
        <v>0</v>
      </c>
      <c r="K288" s="48">
        <v>1</v>
      </c>
      <c r="L288" s="48">
        <v>0</v>
      </c>
      <c r="M288" s="27" t="s">
        <v>330</v>
      </c>
    </row>
    <row r="289" spans="1:13" ht="64">
      <c r="A289" s="1">
        <v>9</v>
      </c>
      <c r="B289" s="22">
        <v>44</v>
      </c>
      <c r="C289" s="23" t="s">
        <v>331</v>
      </c>
      <c r="D289" s="44" t="s">
        <v>34</v>
      </c>
      <c r="E289" s="24">
        <v>4000</v>
      </c>
      <c r="F289" s="24">
        <v>2000</v>
      </c>
      <c r="G289" s="25">
        <v>2000</v>
      </c>
      <c r="H289" s="24">
        <f t="shared" si="16"/>
        <v>2242.6930000000002</v>
      </c>
      <c r="I289" s="24">
        <v>242.69300000000001</v>
      </c>
      <c r="J289" s="25">
        <v>2000</v>
      </c>
      <c r="K289" s="48">
        <v>1</v>
      </c>
      <c r="L289" s="48">
        <v>0</v>
      </c>
      <c r="M289" s="27" t="s">
        <v>332</v>
      </c>
    </row>
    <row r="290" spans="1:13" ht="48">
      <c r="A290" s="1">
        <v>9</v>
      </c>
      <c r="B290" s="22">
        <v>45</v>
      </c>
      <c r="C290" s="23" t="s">
        <v>333</v>
      </c>
      <c r="D290" s="44" t="s">
        <v>32</v>
      </c>
      <c r="E290" s="24">
        <v>3699.58</v>
      </c>
      <c r="F290" s="24">
        <v>3699.58</v>
      </c>
      <c r="G290" s="25">
        <v>0</v>
      </c>
      <c r="H290" s="24">
        <f t="shared" si="16"/>
        <v>2799.0790000000002</v>
      </c>
      <c r="I290" s="24">
        <v>2799.0790000000002</v>
      </c>
      <c r="J290" s="25">
        <v>0</v>
      </c>
      <c r="K290" s="48">
        <v>1</v>
      </c>
      <c r="L290" s="48">
        <v>0</v>
      </c>
      <c r="M290" s="27" t="s">
        <v>334</v>
      </c>
    </row>
    <row r="291" spans="1:13" ht="32">
      <c r="A291" s="1">
        <v>9</v>
      </c>
      <c r="B291" s="22">
        <v>46</v>
      </c>
      <c r="C291" s="23" t="s">
        <v>335</v>
      </c>
      <c r="D291" s="44" t="s">
        <v>32</v>
      </c>
      <c r="E291" s="24">
        <v>4502.2910000000002</v>
      </c>
      <c r="F291" s="24">
        <v>4502.2910000000002</v>
      </c>
      <c r="G291" s="25">
        <v>0</v>
      </c>
      <c r="H291" s="24">
        <f t="shared" si="16"/>
        <v>4495.6260000000002</v>
      </c>
      <c r="I291" s="24">
        <v>4495.6260000000002</v>
      </c>
      <c r="J291" s="25">
        <v>0</v>
      </c>
      <c r="K291" s="48">
        <v>1</v>
      </c>
      <c r="L291" s="48">
        <v>0</v>
      </c>
      <c r="M291" s="27" t="s">
        <v>334</v>
      </c>
    </row>
    <row r="292" spans="1:13" ht="32">
      <c r="A292" s="1">
        <v>9</v>
      </c>
      <c r="B292" s="22">
        <v>47</v>
      </c>
      <c r="C292" s="23" t="s">
        <v>336</v>
      </c>
      <c r="D292" s="44">
        <v>2019</v>
      </c>
      <c r="E292" s="24">
        <v>3956.7089999999998</v>
      </c>
      <c r="F292" s="24">
        <v>3956.7089999999998</v>
      </c>
      <c r="G292" s="25">
        <v>0</v>
      </c>
      <c r="H292" s="24">
        <f t="shared" si="16"/>
        <v>3952.643</v>
      </c>
      <c r="I292" s="24">
        <v>3952.643</v>
      </c>
      <c r="J292" s="25">
        <v>0</v>
      </c>
      <c r="K292" s="48">
        <v>1</v>
      </c>
      <c r="L292" s="48">
        <v>1</v>
      </c>
      <c r="M292" s="27"/>
    </row>
    <row r="293" spans="1:13" ht="48">
      <c r="A293" s="1">
        <v>9</v>
      </c>
      <c r="B293" s="22">
        <v>48</v>
      </c>
      <c r="C293" s="23" t="s">
        <v>337</v>
      </c>
      <c r="D293" s="44" t="s">
        <v>338</v>
      </c>
      <c r="E293" s="24">
        <v>9000</v>
      </c>
      <c r="F293" s="24">
        <v>9000</v>
      </c>
      <c r="G293" s="25">
        <v>0</v>
      </c>
      <c r="H293" s="24">
        <f t="shared" si="16"/>
        <v>8959.2990000000009</v>
      </c>
      <c r="I293" s="24">
        <v>8959.2990000000009</v>
      </c>
      <c r="J293" s="25">
        <v>0</v>
      </c>
      <c r="K293" s="48">
        <v>1</v>
      </c>
      <c r="L293" s="48">
        <v>0</v>
      </c>
      <c r="M293" s="27"/>
    </row>
    <row r="294" spans="1:13" ht="32">
      <c r="A294" s="1">
        <v>9</v>
      </c>
      <c r="B294" s="22">
        <v>49</v>
      </c>
      <c r="C294" s="23" t="s">
        <v>339</v>
      </c>
      <c r="D294" s="44" t="s">
        <v>32</v>
      </c>
      <c r="E294" s="24">
        <v>4500</v>
      </c>
      <c r="F294" s="24">
        <v>4500</v>
      </c>
      <c r="G294" s="25">
        <v>0</v>
      </c>
      <c r="H294" s="24">
        <f t="shared" si="16"/>
        <v>4149.3450000000003</v>
      </c>
      <c r="I294" s="24">
        <v>4149.3450000000003</v>
      </c>
      <c r="J294" s="25">
        <v>0</v>
      </c>
      <c r="K294" s="48">
        <v>1</v>
      </c>
      <c r="L294" s="48">
        <v>0</v>
      </c>
      <c r="M294" s="27" t="s">
        <v>334</v>
      </c>
    </row>
    <row r="295" spans="1:13" ht="32">
      <c r="A295" s="1">
        <v>9</v>
      </c>
      <c r="B295" s="22">
        <v>50</v>
      </c>
      <c r="C295" s="23" t="s">
        <v>340</v>
      </c>
      <c r="D295" s="44" t="s">
        <v>32</v>
      </c>
      <c r="E295" s="24">
        <v>4500</v>
      </c>
      <c r="F295" s="24">
        <v>4500</v>
      </c>
      <c r="G295" s="25">
        <v>0</v>
      </c>
      <c r="H295" s="24">
        <f t="shared" si="16"/>
        <v>4493.0789999999997</v>
      </c>
      <c r="I295" s="24">
        <v>4493.0789999999997</v>
      </c>
      <c r="J295" s="25">
        <v>0</v>
      </c>
      <c r="K295" s="48">
        <v>1</v>
      </c>
      <c r="L295" s="48">
        <v>0</v>
      </c>
      <c r="M295" s="27" t="s">
        <v>334</v>
      </c>
    </row>
    <row r="296" spans="1:13" ht="32">
      <c r="A296" s="1">
        <v>9</v>
      </c>
      <c r="B296" s="22">
        <v>51</v>
      </c>
      <c r="C296" s="23" t="s">
        <v>341</v>
      </c>
      <c r="D296" s="44" t="s">
        <v>342</v>
      </c>
      <c r="E296" s="24">
        <v>2000</v>
      </c>
      <c r="F296" s="24">
        <v>2000</v>
      </c>
      <c r="G296" s="25">
        <v>0</v>
      </c>
      <c r="H296" s="24">
        <f t="shared" si="16"/>
        <v>2000</v>
      </c>
      <c r="I296" s="24">
        <v>2000</v>
      </c>
      <c r="J296" s="25">
        <v>0</v>
      </c>
      <c r="K296" s="48">
        <v>1</v>
      </c>
      <c r="L296" s="48">
        <v>0</v>
      </c>
      <c r="M296" s="27"/>
    </row>
    <row r="297" spans="1:13" ht="49" thickBot="1">
      <c r="A297" s="1">
        <v>9</v>
      </c>
      <c r="B297" s="22">
        <v>52</v>
      </c>
      <c r="C297" s="23" t="s">
        <v>343</v>
      </c>
      <c r="D297" s="44">
        <v>2019</v>
      </c>
      <c r="E297" s="24">
        <v>3000</v>
      </c>
      <c r="F297" s="24">
        <v>3000</v>
      </c>
      <c r="G297" s="25">
        <v>0</v>
      </c>
      <c r="H297" s="24">
        <f t="shared" si="16"/>
        <v>2453.5740000000001</v>
      </c>
      <c r="I297" s="24">
        <v>2453.5740000000001</v>
      </c>
      <c r="J297" s="25">
        <v>0</v>
      </c>
      <c r="K297" s="48">
        <v>1</v>
      </c>
      <c r="L297" s="48">
        <v>0</v>
      </c>
      <c r="M297" s="27" t="s">
        <v>332</v>
      </c>
    </row>
    <row r="298" spans="1:13" ht="64">
      <c r="A298" s="1">
        <v>10</v>
      </c>
      <c r="B298" s="15"/>
      <c r="C298" s="16" t="s">
        <v>344</v>
      </c>
      <c r="D298" s="16"/>
      <c r="E298" s="17">
        <f>SUM(E299:E308)</f>
        <v>235553.01799999995</v>
      </c>
      <c r="F298" s="17">
        <f t="shared" ref="F298:J298" si="17">SUM(F299:F308)</f>
        <v>204835.74400000001</v>
      </c>
      <c r="G298" s="18">
        <f t="shared" si="17"/>
        <v>30717.273999999998</v>
      </c>
      <c r="H298" s="17">
        <f t="shared" si="16"/>
        <v>152328.61300000001</v>
      </c>
      <c r="I298" s="17">
        <f t="shared" si="17"/>
        <v>130830.64700000001</v>
      </c>
      <c r="J298" s="18">
        <f t="shared" si="17"/>
        <v>21497.965999999997</v>
      </c>
      <c r="K298" s="20">
        <f t="shared" ref="K298:L298" si="18">SUM(K299:K308)</f>
        <v>9</v>
      </c>
      <c r="L298" s="20">
        <f t="shared" si="18"/>
        <v>3</v>
      </c>
      <c r="M298" s="21"/>
    </row>
    <row r="299" spans="1:13" ht="64">
      <c r="A299" s="1">
        <v>10</v>
      </c>
      <c r="B299" s="30">
        <v>1</v>
      </c>
      <c r="C299" s="31" t="s">
        <v>345</v>
      </c>
      <c r="D299" s="31"/>
      <c r="E299" s="32">
        <f>4466.841-4466.841</f>
        <v>0</v>
      </c>
      <c r="F299" s="32">
        <f>3884.454-3884.454</f>
        <v>0</v>
      </c>
      <c r="G299" s="33">
        <f>582.387-582.387</f>
        <v>0</v>
      </c>
      <c r="H299" s="32">
        <f t="shared" si="16"/>
        <v>0</v>
      </c>
      <c r="I299" s="32"/>
      <c r="J299" s="33"/>
      <c r="K299" s="34">
        <f>1-1</f>
        <v>0</v>
      </c>
      <c r="L299" s="34">
        <f>1-1</f>
        <v>0</v>
      </c>
      <c r="M299" s="35" t="s">
        <v>28</v>
      </c>
    </row>
    <row r="300" spans="1:13" ht="48">
      <c r="A300" s="1">
        <v>10</v>
      </c>
      <c r="B300" s="22">
        <v>2</v>
      </c>
      <c r="C300" s="23" t="s">
        <v>346</v>
      </c>
      <c r="D300" s="26" t="s">
        <v>16</v>
      </c>
      <c r="E300" s="24">
        <v>21619.173999999999</v>
      </c>
      <c r="F300" s="24">
        <v>18800.466</v>
      </c>
      <c r="G300" s="25">
        <v>2818.7080000000001</v>
      </c>
      <c r="H300" s="24">
        <f t="shared" si="16"/>
        <v>16728.325000000001</v>
      </c>
      <c r="I300" s="24">
        <v>13909.617</v>
      </c>
      <c r="J300" s="25">
        <v>2818.7080000000001</v>
      </c>
      <c r="K300" s="26">
        <v>1</v>
      </c>
      <c r="L300" s="26"/>
      <c r="M300" s="27"/>
    </row>
    <row r="301" spans="1:13" ht="48">
      <c r="A301" s="1">
        <v>10</v>
      </c>
      <c r="B301" s="22">
        <v>3</v>
      </c>
      <c r="C301" s="23" t="s">
        <v>347</v>
      </c>
      <c r="D301" s="26" t="s">
        <v>19</v>
      </c>
      <c r="E301" s="24">
        <v>17918.681</v>
      </c>
      <c r="F301" s="24">
        <v>15582.442999999999</v>
      </c>
      <c r="G301" s="25">
        <v>2336.2379999999998</v>
      </c>
      <c r="H301" s="24">
        <f t="shared" si="16"/>
        <v>14282.706</v>
      </c>
      <c r="I301" s="24">
        <v>11946.468000000001</v>
      </c>
      <c r="J301" s="25">
        <v>2336.2379999999998</v>
      </c>
      <c r="K301" s="26">
        <v>1</v>
      </c>
      <c r="L301" s="26">
        <v>1</v>
      </c>
      <c r="M301" s="27"/>
    </row>
    <row r="302" spans="1:13" ht="48">
      <c r="A302" s="1">
        <v>10</v>
      </c>
      <c r="B302" s="22">
        <v>4</v>
      </c>
      <c r="C302" s="23" t="s">
        <v>348</v>
      </c>
      <c r="D302" s="26" t="s">
        <v>21</v>
      </c>
      <c r="E302" s="24">
        <v>8671.3060000000005</v>
      </c>
      <c r="F302" s="24">
        <v>7540.741</v>
      </c>
      <c r="G302" s="25">
        <v>1130.5650000000001</v>
      </c>
      <c r="H302" s="24">
        <f t="shared" si="16"/>
        <v>8613.2909999999993</v>
      </c>
      <c r="I302" s="24">
        <v>7482.7269999999999</v>
      </c>
      <c r="J302" s="25">
        <v>1130.5640000000001</v>
      </c>
      <c r="K302" s="26">
        <v>1</v>
      </c>
      <c r="L302" s="26">
        <v>1</v>
      </c>
      <c r="M302" s="27"/>
    </row>
    <row r="303" spans="1:13" ht="96">
      <c r="A303" s="1">
        <v>10</v>
      </c>
      <c r="B303" s="22">
        <v>5</v>
      </c>
      <c r="C303" s="23" t="s">
        <v>349</v>
      </c>
      <c r="D303" s="26" t="s">
        <v>19</v>
      </c>
      <c r="E303" s="24">
        <v>7879.5420000000004</v>
      </c>
      <c r="F303" s="24">
        <v>6852.2070000000003</v>
      </c>
      <c r="G303" s="25">
        <v>1027.335</v>
      </c>
      <c r="H303" s="24">
        <f t="shared" si="16"/>
        <v>2409.4539999999997</v>
      </c>
      <c r="I303" s="24">
        <v>2014.204</v>
      </c>
      <c r="J303" s="25">
        <v>395.25</v>
      </c>
      <c r="K303" s="26">
        <v>1</v>
      </c>
      <c r="L303" s="26"/>
      <c r="M303" s="27"/>
    </row>
    <row r="304" spans="1:13" ht="48">
      <c r="A304" s="1">
        <v>10</v>
      </c>
      <c r="B304" s="22">
        <v>6</v>
      </c>
      <c r="C304" s="23" t="s">
        <v>350</v>
      </c>
      <c r="D304" s="26" t="s">
        <v>19</v>
      </c>
      <c r="E304" s="24">
        <v>64041.517999999996</v>
      </c>
      <c r="F304" s="24">
        <v>55685.913999999997</v>
      </c>
      <c r="G304" s="25">
        <v>8355.6039999999994</v>
      </c>
      <c r="H304" s="24">
        <f t="shared" si="16"/>
        <v>12289.938</v>
      </c>
      <c r="I304" s="24">
        <v>12186.968000000001</v>
      </c>
      <c r="J304" s="25">
        <v>102.97</v>
      </c>
      <c r="K304" s="26">
        <v>1</v>
      </c>
      <c r="L304" s="26"/>
      <c r="M304" s="27"/>
    </row>
    <row r="305" spans="1:13" ht="64">
      <c r="A305" s="1">
        <v>10</v>
      </c>
      <c r="B305" s="22">
        <v>7</v>
      </c>
      <c r="C305" s="23" t="s">
        <v>351</v>
      </c>
      <c r="D305" s="26">
        <v>2019</v>
      </c>
      <c r="E305" s="24">
        <v>8921.4089999999997</v>
      </c>
      <c r="F305" s="24">
        <v>7758.2359999999999</v>
      </c>
      <c r="G305" s="25">
        <v>1163.173</v>
      </c>
      <c r="H305" s="24">
        <f t="shared" si="16"/>
        <v>8902.5329999999994</v>
      </c>
      <c r="I305" s="24">
        <v>7739.36</v>
      </c>
      <c r="J305" s="25">
        <v>1163.173</v>
      </c>
      <c r="K305" s="26">
        <v>1</v>
      </c>
      <c r="L305" s="26"/>
      <c r="M305" s="27"/>
    </row>
    <row r="306" spans="1:13" ht="48">
      <c r="A306" s="1">
        <v>10</v>
      </c>
      <c r="B306" s="22">
        <v>8</v>
      </c>
      <c r="C306" s="23" t="s">
        <v>352</v>
      </c>
      <c r="D306" s="26" t="s">
        <v>151</v>
      </c>
      <c r="E306" s="24">
        <v>59057.035000000003</v>
      </c>
      <c r="F306" s="24">
        <v>51357.178999999996</v>
      </c>
      <c r="G306" s="25">
        <v>7699.8559999999998</v>
      </c>
      <c r="H306" s="24">
        <f t="shared" si="16"/>
        <v>48885.856</v>
      </c>
      <c r="I306" s="24">
        <v>41494.652999999998</v>
      </c>
      <c r="J306" s="25">
        <v>7391.2030000000004</v>
      </c>
      <c r="K306" s="26">
        <v>1</v>
      </c>
      <c r="L306" s="26"/>
      <c r="M306" s="27"/>
    </row>
    <row r="307" spans="1:13" ht="64">
      <c r="A307" s="1">
        <v>10</v>
      </c>
      <c r="B307" s="22">
        <v>9</v>
      </c>
      <c r="C307" s="23" t="s">
        <v>353</v>
      </c>
      <c r="D307" s="26" t="s">
        <v>151</v>
      </c>
      <c r="E307" s="24">
        <v>36132.082999999999</v>
      </c>
      <c r="F307" s="24">
        <v>31421.182000000001</v>
      </c>
      <c r="G307" s="25">
        <v>4710.9009999999998</v>
      </c>
      <c r="H307" s="24">
        <f t="shared" si="16"/>
        <v>29342.209000000003</v>
      </c>
      <c r="I307" s="24">
        <v>24631.308000000001</v>
      </c>
      <c r="J307" s="25">
        <v>4710.9009999999998</v>
      </c>
      <c r="K307" s="26">
        <v>1</v>
      </c>
      <c r="L307" s="26"/>
      <c r="M307" s="27"/>
    </row>
    <row r="308" spans="1:13" ht="49" thickBot="1">
      <c r="A308" s="1">
        <v>10</v>
      </c>
      <c r="B308" s="36">
        <v>10</v>
      </c>
      <c r="C308" s="37" t="s">
        <v>354</v>
      </c>
      <c r="D308" s="40" t="s">
        <v>151</v>
      </c>
      <c r="E308" s="38">
        <v>11312.27</v>
      </c>
      <c r="F308" s="38">
        <v>9837.3760000000002</v>
      </c>
      <c r="G308" s="39">
        <v>1474.894</v>
      </c>
      <c r="H308" s="38">
        <f t="shared" si="16"/>
        <v>10874.301000000001</v>
      </c>
      <c r="I308" s="38">
        <v>9425.3420000000006</v>
      </c>
      <c r="J308" s="39">
        <v>1448.9590000000001</v>
      </c>
      <c r="K308" s="40">
        <v>1</v>
      </c>
      <c r="L308" s="40">
        <v>1</v>
      </c>
      <c r="M308" s="41"/>
    </row>
    <row r="309" spans="1:13" ht="64">
      <c r="A309" s="1">
        <v>11</v>
      </c>
      <c r="B309" s="15"/>
      <c r="C309" s="16" t="s">
        <v>355</v>
      </c>
      <c r="D309" s="16"/>
      <c r="E309" s="17">
        <f>SUM(E310:E319)</f>
        <v>128829.75399999999</v>
      </c>
      <c r="F309" s="17">
        <f t="shared" ref="F309:J309" si="19">SUM(F310:F319)</f>
        <v>112029.77899999999</v>
      </c>
      <c r="G309" s="18">
        <f t="shared" si="19"/>
        <v>16799.974999999999</v>
      </c>
      <c r="H309" s="17">
        <f t="shared" si="16"/>
        <v>115535.62999999999</v>
      </c>
      <c r="I309" s="17">
        <f t="shared" si="19"/>
        <v>103326.87499999999</v>
      </c>
      <c r="J309" s="18">
        <f t="shared" si="19"/>
        <v>12208.754999999999</v>
      </c>
      <c r="K309" s="20">
        <f t="shared" ref="K309:L309" si="20">SUM(K310:K319)</f>
        <v>10</v>
      </c>
      <c r="L309" s="20">
        <f t="shared" si="20"/>
        <v>0</v>
      </c>
      <c r="M309" s="21"/>
    </row>
    <row r="310" spans="1:13" ht="48">
      <c r="A310" s="1">
        <v>11</v>
      </c>
      <c r="B310" s="22">
        <v>1</v>
      </c>
      <c r="C310" s="23" t="s">
        <v>356</v>
      </c>
      <c r="D310" s="23"/>
      <c r="E310" s="24">
        <v>12159.37</v>
      </c>
      <c r="F310" s="24">
        <v>12159.37</v>
      </c>
      <c r="G310" s="25">
        <v>0</v>
      </c>
      <c r="H310" s="24">
        <f t="shared" si="16"/>
        <v>12158.352999999999</v>
      </c>
      <c r="I310" s="24">
        <v>12158.352999999999</v>
      </c>
      <c r="J310" s="25">
        <v>0</v>
      </c>
      <c r="K310" s="26">
        <v>1</v>
      </c>
      <c r="L310" s="26"/>
      <c r="M310" s="27"/>
    </row>
    <row r="311" spans="1:13" ht="48">
      <c r="A311" s="1">
        <v>11</v>
      </c>
      <c r="B311" s="22">
        <v>2</v>
      </c>
      <c r="C311" s="23" t="s">
        <v>357</v>
      </c>
      <c r="D311" s="23"/>
      <c r="E311" s="24">
        <v>10400.530000000001</v>
      </c>
      <c r="F311" s="24">
        <v>10400.530000000001</v>
      </c>
      <c r="G311" s="25">
        <v>0</v>
      </c>
      <c r="H311" s="24">
        <f t="shared" si="16"/>
        <v>5246.9750000000004</v>
      </c>
      <c r="I311" s="24">
        <v>5246.9750000000004</v>
      </c>
      <c r="J311" s="25">
        <v>0</v>
      </c>
      <c r="K311" s="26">
        <v>1</v>
      </c>
      <c r="L311" s="26"/>
      <c r="M311" s="27"/>
    </row>
    <row r="312" spans="1:13" ht="32">
      <c r="A312" s="1">
        <v>11</v>
      </c>
      <c r="B312" s="22">
        <v>3</v>
      </c>
      <c r="C312" s="23" t="s">
        <v>358</v>
      </c>
      <c r="D312" s="23"/>
      <c r="E312" s="24">
        <v>16996.919999999998</v>
      </c>
      <c r="F312" s="24">
        <v>16996.919999999998</v>
      </c>
      <c r="G312" s="25">
        <v>0</v>
      </c>
      <c r="H312" s="24">
        <f t="shared" si="16"/>
        <v>16622.115000000002</v>
      </c>
      <c r="I312" s="24">
        <v>16622.115000000002</v>
      </c>
      <c r="J312" s="25">
        <v>0</v>
      </c>
      <c r="K312" s="26">
        <v>1</v>
      </c>
      <c r="L312" s="26"/>
      <c r="M312" s="27"/>
    </row>
    <row r="313" spans="1:13" ht="48">
      <c r="A313" s="1">
        <v>11</v>
      </c>
      <c r="B313" s="22">
        <v>4</v>
      </c>
      <c r="C313" s="23" t="s">
        <v>359</v>
      </c>
      <c r="D313" s="23"/>
      <c r="E313" s="24">
        <f>10252.1-2000</f>
        <v>8252.1</v>
      </c>
      <c r="F313" s="24">
        <f>10252.1-2000</f>
        <v>8252.1</v>
      </c>
      <c r="G313" s="25">
        <v>0</v>
      </c>
      <c r="H313" s="24">
        <f t="shared" si="16"/>
        <v>8230.7459999999992</v>
      </c>
      <c r="I313" s="24">
        <v>8230.7459999999992</v>
      </c>
      <c r="J313" s="25">
        <v>0</v>
      </c>
      <c r="K313" s="26">
        <v>1</v>
      </c>
      <c r="L313" s="26"/>
      <c r="M313" s="27" t="s">
        <v>48</v>
      </c>
    </row>
    <row r="314" spans="1:13" ht="48">
      <c r="A314" s="1">
        <v>11</v>
      </c>
      <c r="B314" s="22">
        <v>5</v>
      </c>
      <c r="C314" s="23" t="s">
        <v>360</v>
      </c>
      <c r="D314" s="23"/>
      <c r="E314" s="24">
        <f>21625.25+12296.324</f>
        <v>33921.574000000001</v>
      </c>
      <c r="F314" s="24">
        <f>21625.25+10000</f>
        <v>31625.25</v>
      </c>
      <c r="G314" s="25">
        <f>0+2296.324</f>
        <v>2296.3240000000001</v>
      </c>
      <c r="H314" s="24">
        <f t="shared" si="16"/>
        <v>33727.81</v>
      </c>
      <c r="I314" s="24">
        <v>31445.878000000001</v>
      </c>
      <c r="J314" s="25">
        <v>2281.9319999999998</v>
      </c>
      <c r="K314" s="26">
        <v>1</v>
      </c>
      <c r="L314" s="26"/>
      <c r="M314" s="27" t="s">
        <v>23</v>
      </c>
    </row>
    <row r="315" spans="1:13" ht="32">
      <c r="A315" s="1">
        <v>11</v>
      </c>
      <c r="B315" s="22">
        <v>6</v>
      </c>
      <c r="C315" s="23" t="s">
        <v>361</v>
      </c>
      <c r="D315" s="23"/>
      <c r="E315" s="24">
        <f>20000-8000</f>
        <v>12000</v>
      </c>
      <c r="F315" s="24">
        <f>20000-8000</f>
        <v>12000</v>
      </c>
      <c r="G315" s="25">
        <f>0-0</f>
        <v>0</v>
      </c>
      <c r="H315" s="24">
        <f t="shared" si="16"/>
        <v>10746.548000000001</v>
      </c>
      <c r="I315" s="24">
        <v>10746.548000000001</v>
      </c>
      <c r="J315" s="25">
        <v>0</v>
      </c>
      <c r="K315" s="26">
        <v>1</v>
      </c>
      <c r="L315" s="26"/>
      <c r="M315" s="27" t="s">
        <v>48</v>
      </c>
    </row>
    <row r="316" spans="1:13" ht="48">
      <c r="A316" s="1">
        <v>11</v>
      </c>
      <c r="B316" s="22">
        <v>7</v>
      </c>
      <c r="C316" s="23" t="s">
        <v>362</v>
      </c>
      <c r="D316" s="23"/>
      <c r="E316" s="24">
        <v>13382.404</v>
      </c>
      <c r="F316" s="24">
        <v>13382.404</v>
      </c>
      <c r="G316" s="25">
        <v>0</v>
      </c>
      <c r="H316" s="24">
        <f t="shared" si="16"/>
        <v>12663.055</v>
      </c>
      <c r="I316" s="24">
        <v>12663.055</v>
      </c>
      <c r="J316" s="25">
        <v>0</v>
      </c>
      <c r="K316" s="26">
        <v>1</v>
      </c>
      <c r="L316" s="26"/>
      <c r="M316" s="27"/>
    </row>
    <row r="317" spans="1:13" ht="48">
      <c r="A317" s="1">
        <v>11</v>
      </c>
      <c r="B317" s="22">
        <v>8</v>
      </c>
      <c r="C317" s="23" t="s">
        <v>363</v>
      </c>
      <c r="D317" s="23"/>
      <c r="E317" s="24">
        <v>14642.531999999999</v>
      </c>
      <c r="F317" s="24">
        <v>7213.2049999999999</v>
      </c>
      <c r="G317" s="25">
        <v>7429.3270000000002</v>
      </c>
      <c r="H317" s="24">
        <f t="shared" si="16"/>
        <v>13171.583999999999</v>
      </c>
      <c r="I317" s="24">
        <v>6213.2049999999999</v>
      </c>
      <c r="J317" s="25">
        <v>6958.3789999999999</v>
      </c>
      <c r="K317" s="26">
        <v>1</v>
      </c>
      <c r="L317" s="26"/>
      <c r="M317" s="27"/>
    </row>
    <row r="318" spans="1:13" ht="80">
      <c r="A318" s="1">
        <v>11</v>
      </c>
      <c r="B318" s="22">
        <v>9</v>
      </c>
      <c r="C318" s="23" t="s">
        <v>364</v>
      </c>
      <c r="D318" s="23"/>
      <c r="E318" s="24">
        <f>4996.324-2296.324</f>
        <v>2699.9999999999995</v>
      </c>
      <c r="F318" s="24">
        <f>0-0</f>
        <v>0</v>
      </c>
      <c r="G318" s="25">
        <f>4996.324-2296.324</f>
        <v>2699.9999999999995</v>
      </c>
      <c r="H318" s="24">
        <f t="shared" si="16"/>
        <v>2156.9540000000002</v>
      </c>
      <c r="I318" s="24">
        <v>0</v>
      </c>
      <c r="J318" s="25">
        <v>2156.9540000000002</v>
      </c>
      <c r="K318" s="26">
        <v>1</v>
      </c>
      <c r="L318" s="26"/>
      <c r="M318" s="27" t="s">
        <v>48</v>
      </c>
    </row>
    <row r="319" spans="1:13" ht="33" thickBot="1">
      <c r="A319" s="1">
        <v>11</v>
      </c>
      <c r="B319" s="36">
        <v>10</v>
      </c>
      <c r="C319" s="37" t="s">
        <v>365</v>
      </c>
      <c r="D319" s="37"/>
      <c r="E319" s="38">
        <v>4374.3239999999996</v>
      </c>
      <c r="F319" s="38">
        <v>0</v>
      </c>
      <c r="G319" s="39">
        <v>4374.3239999999996</v>
      </c>
      <c r="H319" s="38">
        <f t="shared" si="16"/>
        <v>811.49</v>
      </c>
      <c r="I319" s="38">
        <v>0</v>
      </c>
      <c r="J319" s="39">
        <v>811.49</v>
      </c>
      <c r="K319" s="40">
        <v>1</v>
      </c>
      <c r="L319" s="40"/>
      <c r="M319" s="41"/>
    </row>
    <row r="320" spans="1:13" ht="64">
      <c r="A320" s="1">
        <v>12</v>
      </c>
      <c r="B320" s="15"/>
      <c r="C320" s="16" t="s">
        <v>366</v>
      </c>
      <c r="D320" s="16"/>
      <c r="E320" s="17">
        <f>SUM(E321:E323,E329:E330,E336,E339:E341,E346:E348,E354:E361,E364:E384)</f>
        <v>453751.20199999999</v>
      </c>
      <c r="F320" s="17">
        <f t="shared" ref="F320:L320" si="21">SUM(F321:F323,F329:F330,F336,F339:F341,F346:F348,F354:F361,F364:F384)</f>
        <v>390152.33299999998</v>
      </c>
      <c r="G320" s="18">
        <f t="shared" si="21"/>
        <v>63598.868999999992</v>
      </c>
      <c r="H320" s="17">
        <f t="shared" si="16"/>
        <v>371299.73899999994</v>
      </c>
      <c r="I320" s="17">
        <f t="shared" si="21"/>
        <v>335085.48899999994</v>
      </c>
      <c r="J320" s="18">
        <f t="shared" si="21"/>
        <v>36214.25</v>
      </c>
      <c r="K320" s="20">
        <f t="shared" si="21"/>
        <v>37</v>
      </c>
      <c r="L320" s="20">
        <f t="shared" si="21"/>
        <v>12</v>
      </c>
      <c r="M320" s="21"/>
    </row>
    <row r="321" spans="1:13" ht="32">
      <c r="A321" s="1">
        <v>12</v>
      </c>
      <c r="B321" s="22">
        <v>1</v>
      </c>
      <c r="C321" s="23" t="s">
        <v>367</v>
      </c>
      <c r="D321" s="23" t="s">
        <v>21</v>
      </c>
      <c r="E321" s="47">
        <v>20653.001</v>
      </c>
      <c r="F321" s="24">
        <v>15000</v>
      </c>
      <c r="G321" s="25">
        <v>5653.0010000000002</v>
      </c>
      <c r="H321" s="47">
        <f t="shared" si="16"/>
        <v>15518.95</v>
      </c>
      <c r="I321" s="24">
        <v>14134.968000000001</v>
      </c>
      <c r="J321" s="25">
        <v>1383.982</v>
      </c>
      <c r="K321" s="26">
        <v>1</v>
      </c>
      <c r="L321" s="26"/>
      <c r="M321" s="27"/>
    </row>
    <row r="322" spans="1:13" ht="64">
      <c r="A322" s="1">
        <v>12</v>
      </c>
      <c r="B322" s="22">
        <v>2</v>
      </c>
      <c r="C322" s="23" t="s">
        <v>368</v>
      </c>
      <c r="D322" s="23" t="s">
        <v>19</v>
      </c>
      <c r="E322" s="47">
        <v>18519.584999999999</v>
      </c>
      <c r="F322" s="24">
        <v>18519.584999999999</v>
      </c>
      <c r="G322" s="25">
        <v>0</v>
      </c>
      <c r="H322" s="47">
        <f t="shared" si="16"/>
        <v>17360.652999999998</v>
      </c>
      <c r="I322" s="24">
        <v>17360.652999999998</v>
      </c>
      <c r="J322" s="25">
        <v>0</v>
      </c>
      <c r="K322" s="26">
        <v>1</v>
      </c>
      <c r="L322" s="26"/>
      <c r="M322" s="27"/>
    </row>
    <row r="323" spans="1:13" ht="64">
      <c r="A323" s="1">
        <v>12</v>
      </c>
      <c r="B323" s="50">
        <v>3</v>
      </c>
      <c r="C323" s="51" t="s">
        <v>369</v>
      </c>
      <c r="D323" s="51" t="s">
        <v>19</v>
      </c>
      <c r="E323" s="52">
        <v>23978.298999999999</v>
      </c>
      <c r="F323" s="52">
        <v>22097.423999999999</v>
      </c>
      <c r="G323" s="53">
        <v>1880.875</v>
      </c>
      <c r="H323" s="52">
        <f t="shared" si="16"/>
        <v>22556.695999999996</v>
      </c>
      <c r="I323" s="52">
        <v>20710.182999999997</v>
      </c>
      <c r="J323" s="53">
        <v>1846.5129999999999</v>
      </c>
      <c r="K323" s="54">
        <v>1</v>
      </c>
      <c r="L323" s="2">
        <v>1</v>
      </c>
      <c r="M323" s="55"/>
    </row>
    <row r="324" spans="1:13" ht="80">
      <c r="A324" s="1">
        <v>12</v>
      </c>
      <c r="B324" s="56"/>
      <c r="C324" s="57" t="s">
        <v>370</v>
      </c>
      <c r="D324" s="57"/>
      <c r="E324" s="58">
        <v>2860.37</v>
      </c>
      <c r="F324" s="58">
        <v>2860.37</v>
      </c>
      <c r="G324" s="59">
        <v>0</v>
      </c>
      <c r="H324" s="58">
        <f t="shared" si="16"/>
        <v>1660</v>
      </c>
      <c r="I324" s="58">
        <v>1660</v>
      </c>
      <c r="J324" s="59">
        <v>0</v>
      </c>
      <c r="K324" s="60" t="s">
        <v>371</v>
      </c>
      <c r="L324" s="61" t="s">
        <v>371</v>
      </c>
      <c r="M324" s="62"/>
    </row>
    <row r="325" spans="1:13" ht="48">
      <c r="A325" s="1">
        <v>12</v>
      </c>
      <c r="B325" s="56"/>
      <c r="C325" s="57" t="s">
        <v>372</v>
      </c>
      <c r="D325" s="57"/>
      <c r="E325" s="58">
        <v>8664.1689999999999</v>
      </c>
      <c r="F325" s="58">
        <v>8664.1689999999999</v>
      </c>
      <c r="G325" s="59">
        <v>0</v>
      </c>
      <c r="H325" s="58">
        <f t="shared" si="16"/>
        <v>8572.4339999999993</v>
      </c>
      <c r="I325" s="58">
        <v>8572.4339999999993</v>
      </c>
      <c r="J325" s="59">
        <v>0</v>
      </c>
      <c r="K325" s="60" t="s">
        <v>371</v>
      </c>
      <c r="L325" s="61" t="s">
        <v>371</v>
      </c>
      <c r="M325" s="62"/>
    </row>
    <row r="326" spans="1:13" ht="80">
      <c r="A326" s="1">
        <v>12</v>
      </c>
      <c r="B326" s="56"/>
      <c r="C326" s="57" t="s">
        <v>373</v>
      </c>
      <c r="D326" s="57"/>
      <c r="E326" s="58">
        <v>645.55999999999995</v>
      </c>
      <c r="F326" s="58">
        <v>645.55999999999995</v>
      </c>
      <c r="G326" s="59">
        <v>0</v>
      </c>
      <c r="H326" s="58">
        <f t="shared" si="16"/>
        <v>599.12099999999998</v>
      </c>
      <c r="I326" s="58">
        <v>599.12099999999998</v>
      </c>
      <c r="J326" s="59">
        <v>0</v>
      </c>
      <c r="K326" s="60" t="s">
        <v>371</v>
      </c>
      <c r="L326" s="61" t="s">
        <v>371</v>
      </c>
      <c r="M326" s="62"/>
    </row>
    <row r="327" spans="1:13" ht="48">
      <c r="A327" s="1">
        <v>12</v>
      </c>
      <c r="B327" s="56"/>
      <c r="C327" s="57" t="s">
        <v>374</v>
      </c>
      <c r="D327" s="57"/>
      <c r="E327" s="58">
        <v>9572.42</v>
      </c>
      <c r="F327" s="58">
        <v>9572.42</v>
      </c>
      <c r="G327" s="59">
        <v>0</v>
      </c>
      <c r="H327" s="58">
        <f t="shared" si="16"/>
        <v>9523.723</v>
      </c>
      <c r="I327" s="58">
        <v>9523.723</v>
      </c>
      <c r="J327" s="59">
        <v>0</v>
      </c>
      <c r="K327" s="60" t="s">
        <v>371</v>
      </c>
      <c r="L327" s="61" t="s">
        <v>371</v>
      </c>
      <c r="M327" s="62"/>
    </row>
    <row r="328" spans="1:13" ht="32">
      <c r="A328" s="1">
        <v>12</v>
      </c>
      <c r="B328" s="56"/>
      <c r="C328" s="57" t="s">
        <v>375</v>
      </c>
      <c r="D328" s="57"/>
      <c r="E328" s="58">
        <v>2235.7800000000002</v>
      </c>
      <c r="F328" s="58">
        <v>354.90499999999997</v>
      </c>
      <c r="G328" s="59">
        <v>1880.875</v>
      </c>
      <c r="H328" s="58">
        <f t="shared" si="16"/>
        <v>2201.4179999999997</v>
      </c>
      <c r="I328" s="58">
        <v>354.90499999999997</v>
      </c>
      <c r="J328" s="59">
        <v>1846.5129999999999</v>
      </c>
      <c r="K328" s="60" t="s">
        <v>371</v>
      </c>
      <c r="L328" s="61" t="s">
        <v>371</v>
      </c>
      <c r="M328" s="62"/>
    </row>
    <row r="329" spans="1:13" ht="48">
      <c r="A329" s="1">
        <v>12</v>
      </c>
      <c r="B329" s="22">
        <v>4</v>
      </c>
      <c r="C329" s="23" t="s">
        <v>376</v>
      </c>
      <c r="D329" s="23" t="s">
        <v>19</v>
      </c>
      <c r="E329" s="47">
        <v>41909.955000000002</v>
      </c>
      <c r="F329" s="24">
        <v>41909.955000000002</v>
      </c>
      <c r="G329" s="25">
        <v>0</v>
      </c>
      <c r="H329" s="47">
        <f t="shared" si="16"/>
        <v>39058.553999999996</v>
      </c>
      <c r="I329" s="24">
        <v>39058.553999999996</v>
      </c>
      <c r="J329" s="25">
        <v>0</v>
      </c>
      <c r="K329" s="26">
        <v>1</v>
      </c>
      <c r="L329" s="26"/>
      <c r="M329" s="27"/>
    </row>
    <row r="330" spans="1:13" ht="64">
      <c r="A330" s="1">
        <v>12</v>
      </c>
      <c r="B330" s="50">
        <v>5</v>
      </c>
      <c r="C330" s="51" t="s">
        <v>377</v>
      </c>
      <c r="D330" s="51" t="s">
        <v>81</v>
      </c>
      <c r="E330" s="52">
        <v>11634.072</v>
      </c>
      <c r="F330" s="52">
        <v>11000</v>
      </c>
      <c r="G330" s="53">
        <v>634.072</v>
      </c>
      <c r="H330" s="52">
        <f t="shared" ref="H330:H393" si="22">I330+J330</f>
        <v>11608.847000000002</v>
      </c>
      <c r="I330" s="52">
        <v>10975.361000000001</v>
      </c>
      <c r="J330" s="53">
        <v>633.48599999999999</v>
      </c>
      <c r="K330" s="54">
        <v>1</v>
      </c>
      <c r="L330" s="2">
        <v>1</v>
      </c>
      <c r="M330" s="55" t="s">
        <v>97</v>
      </c>
    </row>
    <row r="331" spans="1:13" ht="48">
      <c r="A331" s="1">
        <v>12</v>
      </c>
      <c r="B331" s="56"/>
      <c r="C331" s="63" t="s">
        <v>378</v>
      </c>
      <c r="D331" s="63"/>
      <c r="E331" s="64">
        <v>6108.2950000000001</v>
      </c>
      <c r="F331" s="64">
        <v>6108.2950000000001</v>
      </c>
      <c r="G331" s="65">
        <v>0</v>
      </c>
      <c r="H331" s="64">
        <f t="shared" si="22"/>
        <v>6108.2950000000001</v>
      </c>
      <c r="I331" s="64">
        <v>6108.2950000000001</v>
      </c>
      <c r="J331" s="65">
        <v>0</v>
      </c>
      <c r="K331" s="61" t="s">
        <v>371</v>
      </c>
      <c r="L331" s="61"/>
      <c r="M331" s="66"/>
    </row>
    <row r="332" spans="1:13" ht="48">
      <c r="A332" s="1">
        <v>12</v>
      </c>
      <c r="B332" s="56"/>
      <c r="C332" s="63" t="s">
        <v>379</v>
      </c>
      <c r="D332" s="63"/>
      <c r="E332" s="64">
        <v>1376.8150000000001</v>
      </c>
      <c r="F332" s="64">
        <v>1376.8150000000001</v>
      </c>
      <c r="G332" s="65">
        <v>0</v>
      </c>
      <c r="H332" s="64">
        <f t="shared" si="22"/>
        <v>1376.8150000000001</v>
      </c>
      <c r="I332" s="64">
        <v>1376.8150000000001</v>
      </c>
      <c r="J332" s="65">
        <v>0</v>
      </c>
      <c r="K332" s="61" t="s">
        <v>371</v>
      </c>
      <c r="L332" s="61"/>
      <c r="M332" s="66"/>
    </row>
    <row r="333" spans="1:13" ht="48">
      <c r="A333" s="1">
        <v>12</v>
      </c>
      <c r="B333" s="56"/>
      <c r="C333" s="63" t="s">
        <v>380</v>
      </c>
      <c r="D333" s="63"/>
      <c r="E333" s="64">
        <v>1305.6420000000001</v>
      </c>
      <c r="F333" s="64">
        <v>1305.6420000000001</v>
      </c>
      <c r="G333" s="65">
        <v>0</v>
      </c>
      <c r="H333" s="64">
        <f t="shared" si="22"/>
        <v>1284.396</v>
      </c>
      <c r="I333" s="64">
        <v>1284.396</v>
      </c>
      <c r="J333" s="65">
        <v>0</v>
      </c>
      <c r="K333" s="61" t="s">
        <v>371</v>
      </c>
      <c r="L333" s="61" t="s">
        <v>371</v>
      </c>
      <c r="M333" s="66"/>
    </row>
    <row r="334" spans="1:13" ht="64">
      <c r="A334" s="1">
        <v>12</v>
      </c>
      <c r="B334" s="56"/>
      <c r="C334" s="63" t="s">
        <v>381</v>
      </c>
      <c r="D334" s="63"/>
      <c r="E334" s="64">
        <v>1093.32</v>
      </c>
      <c r="F334" s="64">
        <v>459.24799999999999</v>
      </c>
      <c r="G334" s="65">
        <v>634.072</v>
      </c>
      <c r="H334" s="64">
        <f t="shared" si="22"/>
        <v>1089.3409999999999</v>
      </c>
      <c r="I334" s="64">
        <v>455.85500000000002</v>
      </c>
      <c r="J334" s="65">
        <v>633.48599999999999</v>
      </c>
      <c r="K334" s="61" t="s">
        <v>371</v>
      </c>
      <c r="L334" s="61" t="s">
        <v>371</v>
      </c>
      <c r="M334" s="66"/>
    </row>
    <row r="335" spans="1:13" ht="16">
      <c r="A335" s="1">
        <v>12</v>
      </c>
      <c r="B335" s="56"/>
      <c r="C335" s="63" t="s">
        <v>382</v>
      </c>
      <c r="D335" s="63"/>
      <c r="E335" s="64">
        <v>1750</v>
      </c>
      <c r="F335" s="64">
        <v>1750</v>
      </c>
      <c r="G335" s="65">
        <v>0</v>
      </c>
      <c r="H335" s="64">
        <f t="shared" si="22"/>
        <v>1750</v>
      </c>
      <c r="I335" s="64">
        <v>1750</v>
      </c>
      <c r="J335" s="65">
        <v>0</v>
      </c>
      <c r="K335" s="61" t="s">
        <v>371</v>
      </c>
      <c r="L335" s="61" t="s">
        <v>371</v>
      </c>
      <c r="M335" s="66"/>
    </row>
    <row r="336" spans="1:13" ht="32">
      <c r="A336" s="1">
        <v>12</v>
      </c>
      <c r="B336" s="50">
        <v>6</v>
      </c>
      <c r="C336" s="51" t="s">
        <v>383</v>
      </c>
      <c r="D336" s="51" t="s">
        <v>19</v>
      </c>
      <c r="E336" s="52">
        <v>6862.0349999999999</v>
      </c>
      <c r="F336" s="52">
        <v>6000</v>
      </c>
      <c r="G336" s="53">
        <v>862.03499999999997</v>
      </c>
      <c r="H336" s="52">
        <f t="shared" si="22"/>
        <v>3323.7449999999999</v>
      </c>
      <c r="I336" s="52">
        <v>3128.7139999999999</v>
      </c>
      <c r="J336" s="53">
        <v>195.03100000000001</v>
      </c>
      <c r="K336" s="54">
        <v>1</v>
      </c>
      <c r="L336" s="2">
        <v>1</v>
      </c>
      <c r="M336" s="55"/>
    </row>
    <row r="337" spans="1:13" ht="48">
      <c r="A337" s="1">
        <v>12</v>
      </c>
      <c r="B337" s="56"/>
      <c r="C337" s="57" t="s">
        <v>384</v>
      </c>
      <c r="D337" s="57"/>
      <c r="E337" s="58">
        <v>1303.7919999999999</v>
      </c>
      <c r="F337" s="58">
        <v>1303.7919999999999</v>
      </c>
      <c r="G337" s="59">
        <v>0</v>
      </c>
      <c r="H337" s="58">
        <f t="shared" si="22"/>
        <v>656.55100000000004</v>
      </c>
      <c r="I337" s="58">
        <v>656.55100000000004</v>
      </c>
      <c r="J337" s="59">
        <v>0</v>
      </c>
      <c r="K337" s="60" t="s">
        <v>371</v>
      </c>
      <c r="L337" s="61" t="s">
        <v>371</v>
      </c>
      <c r="M337" s="62"/>
    </row>
    <row r="338" spans="1:13" ht="64">
      <c r="A338" s="1">
        <v>12</v>
      </c>
      <c r="B338" s="56"/>
      <c r="C338" s="57" t="s">
        <v>385</v>
      </c>
      <c r="D338" s="57"/>
      <c r="E338" s="58">
        <v>5558.2430000000004</v>
      </c>
      <c r="F338" s="58">
        <v>4696.2079999999996</v>
      </c>
      <c r="G338" s="59">
        <v>862.03499999999997</v>
      </c>
      <c r="H338" s="58">
        <f t="shared" si="22"/>
        <v>2667.194</v>
      </c>
      <c r="I338" s="58">
        <v>2472.163</v>
      </c>
      <c r="J338" s="59">
        <v>195.03100000000001</v>
      </c>
      <c r="K338" s="60" t="s">
        <v>371</v>
      </c>
      <c r="L338" s="61"/>
      <c r="M338" s="62"/>
    </row>
    <row r="339" spans="1:13" ht="80">
      <c r="A339" s="1">
        <v>12</v>
      </c>
      <c r="B339" s="22">
        <v>7</v>
      </c>
      <c r="C339" s="23" t="s">
        <v>386</v>
      </c>
      <c r="D339" s="23" t="s">
        <v>19</v>
      </c>
      <c r="E339" s="47">
        <v>1078.1690000000001</v>
      </c>
      <c r="F339" s="24">
        <v>1078.1690000000001</v>
      </c>
      <c r="G339" s="25">
        <v>0</v>
      </c>
      <c r="H339" s="47">
        <f t="shared" si="22"/>
        <v>1078.1690000000001</v>
      </c>
      <c r="I339" s="24">
        <v>1078.1690000000001</v>
      </c>
      <c r="J339" s="25">
        <v>0</v>
      </c>
      <c r="K339" s="26">
        <v>1</v>
      </c>
      <c r="L339" s="26">
        <v>1</v>
      </c>
      <c r="M339" s="27"/>
    </row>
    <row r="340" spans="1:13" ht="64">
      <c r="A340" s="1">
        <v>12</v>
      </c>
      <c r="B340" s="22">
        <v>8</v>
      </c>
      <c r="C340" s="23" t="s">
        <v>387</v>
      </c>
      <c r="D340" s="23" t="s">
        <v>19</v>
      </c>
      <c r="E340" s="47">
        <v>1666.7850000000001</v>
      </c>
      <c r="F340" s="24">
        <v>1666.7850000000001</v>
      </c>
      <c r="G340" s="25">
        <v>0</v>
      </c>
      <c r="H340" s="47">
        <f t="shared" si="22"/>
        <v>1640.771</v>
      </c>
      <c r="I340" s="24">
        <v>1640.771</v>
      </c>
      <c r="J340" s="25">
        <v>0</v>
      </c>
      <c r="K340" s="26">
        <v>1</v>
      </c>
      <c r="L340" s="26">
        <v>1</v>
      </c>
      <c r="M340" s="27"/>
    </row>
    <row r="341" spans="1:13" ht="48">
      <c r="A341" s="1">
        <v>12</v>
      </c>
      <c r="B341" s="50">
        <v>9</v>
      </c>
      <c r="C341" s="51" t="s">
        <v>388</v>
      </c>
      <c r="D341" s="51" t="s">
        <v>19</v>
      </c>
      <c r="E341" s="52">
        <v>2335.6970000000001</v>
      </c>
      <c r="F341" s="52">
        <v>2335.6970000000001</v>
      </c>
      <c r="G341" s="53">
        <v>0</v>
      </c>
      <c r="H341" s="52">
        <f t="shared" si="22"/>
        <v>2276.8460000000005</v>
      </c>
      <c r="I341" s="52">
        <v>2276.8460000000005</v>
      </c>
      <c r="J341" s="53">
        <v>0</v>
      </c>
      <c r="K341" s="54">
        <v>1</v>
      </c>
      <c r="L341" s="2">
        <v>1</v>
      </c>
      <c r="M341" s="55" t="s">
        <v>97</v>
      </c>
    </row>
    <row r="342" spans="1:13" ht="32">
      <c r="A342" s="1">
        <v>12</v>
      </c>
      <c r="B342" s="56"/>
      <c r="C342" s="57" t="s">
        <v>389</v>
      </c>
      <c r="D342" s="57"/>
      <c r="E342" s="58">
        <v>584.50300000000004</v>
      </c>
      <c r="F342" s="58">
        <v>584.50300000000004</v>
      </c>
      <c r="G342" s="59">
        <v>0</v>
      </c>
      <c r="H342" s="58">
        <f t="shared" si="22"/>
        <v>584.50300000000004</v>
      </c>
      <c r="I342" s="58">
        <v>584.50300000000004</v>
      </c>
      <c r="J342" s="59">
        <v>0</v>
      </c>
      <c r="K342" s="60" t="s">
        <v>371</v>
      </c>
      <c r="L342" s="61" t="s">
        <v>371</v>
      </c>
      <c r="M342" s="62"/>
    </row>
    <row r="343" spans="1:13" ht="32">
      <c r="A343" s="1">
        <v>12</v>
      </c>
      <c r="B343" s="56"/>
      <c r="C343" s="57" t="s">
        <v>390</v>
      </c>
      <c r="D343" s="57"/>
      <c r="E343" s="58">
        <v>583.79999999999995</v>
      </c>
      <c r="F343" s="58">
        <v>583.79999999999995</v>
      </c>
      <c r="G343" s="59">
        <v>0</v>
      </c>
      <c r="H343" s="58">
        <f t="shared" si="22"/>
        <v>564.11400000000003</v>
      </c>
      <c r="I343" s="58">
        <v>564.11400000000003</v>
      </c>
      <c r="J343" s="59">
        <v>0</v>
      </c>
      <c r="K343" s="60" t="s">
        <v>371</v>
      </c>
      <c r="L343" s="61" t="s">
        <v>371</v>
      </c>
      <c r="M343" s="62"/>
    </row>
    <row r="344" spans="1:13" ht="32">
      <c r="A344" s="1">
        <v>12</v>
      </c>
      <c r="B344" s="56"/>
      <c r="C344" s="57" t="s">
        <v>391</v>
      </c>
      <c r="D344" s="57"/>
      <c r="E344" s="58">
        <v>583.66200000000003</v>
      </c>
      <c r="F344" s="58">
        <v>583.66200000000003</v>
      </c>
      <c r="G344" s="59">
        <v>0</v>
      </c>
      <c r="H344" s="58">
        <f t="shared" si="22"/>
        <v>564.11400000000003</v>
      </c>
      <c r="I344" s="58">
        <v>564.11400000000003</v>
      </c>
      <c r="J344" s="59">
        <v>0</v>
      </c>
      <c r="K344" s="60" t="s">
        <v>371</v>
      </c>
      <c r="L344" s="61" t="s">
        <v>371</v>
      </c>
      <c r="M344" s="62"/>
    </row>
    <row r="345" spans="1:13" ht="32">
      <c r="A345" s="1">
        <v>12</v>
      </c>
      <c r="B345" s="56"/>
      <c r="C345" s="57" t="s">
        <v>392</v>
      </c>
      <c r="D345" s="57"/>
      <c r="E345" s="58">
        <v>583.73199999999997</v>
      </c>
      <c r="F345" s="58">
        <v>583.73199999999997</v>
      </c>
      <c r="G345" s="59">
        <v>0</v>
      </c>
      <c r="H345" s="58">
        <f t="shared" si="22"/>
        <v>564.11500000000001</v>
      </c>
      <c r="I345" s="58">
        <v>564.11500000000001</v>
      </c>
      <c r="J345" s="59">
        <v>0</v>
      </c>
      <c r="K345" s="60" t="s">
        <v>371</v>
      </c>
      <c r="L345" s="61" t="s">
        <v>371</v>
      </c>
      <c r="M345" s="62"/>
    </row>
    <row r="346" spans="1:13" ht="32">
      <c r="A346" s="1">
        <v>12</v>
      </c>
      <c r="B346" s="30">
        <v>10</v>
      </c>
      <c r="C346" s="31" t="s">
        <v>393</v>
      </c>
      <c r="D346" s="31"/>
      <c r="E346" s="32">
        <f>3740.037-3740.037</f>
        <v>0</v>
      </c>
      <c r="F346" s="32">
        <f>1740.037-1740.037</f>
        <v>0</v>
      </c>
      <c r="G346" s="33">
        <f>2000-2000</f>
        <v>0</v>
      </c>
      <c r="H346" s="32">
        <f t="shared" si="22"/>
        <v>0</v>
      </c>
      <c r="I346" s="32"/>
      <c r="J346" s="33"/>
      <c r="K346" s="34">
        <f>1-1</f>
        <v>0</v>
      </c>
      <c r="L346" s="34">
        <f>1-1</f>
        <v>0</v>
      </c>
      <c r="M346" s="35" t="s">
        <v>28</v>
      </c>
    </row>
    <row r="347" spans="1:13" ht="64">
      <c r="A347" s="1">
        <v>12</v>
      </c>
      <c r="B347" s="22">
        <v>11</v>
      </c>
      <c r="C347" s="23" t="s">
        <v>394</v>
      </c>
      <c r="D347" s="23" t="s">
        <v>21</v>
      </c>
      <c r="E347" s="47">
        <v>1555.232</v>
      </c>
      <c r="F347" s="24">
        <v>1555.232</v>
      </c>
      <c r="G347" s="25">
        <v>0</v>
      </c>
      <c r="H347" s="47">
        <f t="shared" si="22"/>
        <v>700.96199999999999</v>
      </c>
      <c r="I347" s="24">
        <v>700.96199999999999</v>
      </c>
      <c r="J347" s="25">
        <v>0</v>
      </c>
      <c r="K347" s="26">
        <v>1</v>
      </c>
      <c r="L347" s="26"/>
      <c r="M347" s="27"/>
    </row>
    <row r="348" spans="1:13" ht="48">
      <c r="A348" s="1">
        <v>12</v>
      </c>
      <c r="B348" s="50">
        <v>12</v>
      </c>
      <c r="C348" s="51" t="s">
        <v>395</v>
      </c>
      <c r="D348" s="51" t="s">
        <v>19</v>
      </c>
      <c r="E348" s="52">
        <v>9733.2049999999999</v>
      </c>
      <c r="F348" s="52">
        <v>5000</v>
      </c>
      <c r="G348" s="53">
        <v>4733.2049999999999</v>
      </c>
      <c r="H348" s="52">
        <f t="shared" si="22"/>
        <v>6841.2939999999999</v>
      </c>
      <c r="I348" s="52">
        <v>3646.893</v>
      </c>
      <c r="J348" s="53">
        <v>3194.4009999999998</v>
      </c>
      <c r="K348" s="54">
        <v>1</v>
      </c>
      <c r="L348" s="2">
        <v>1</v>
      </c>
      <c r="M348" s="55" t="s">
        <v>97</v>
      </c>
    </row>
    <row r="349" spans="1:13" ht="32">
      <c r="A349" s="1">
        <v>12</v>
      </c>
      <c r="B349" s="56"/>
      <c r="C349" s="63" t="s">
        <v>396</v>
      </c>
      <c r="D349" s="63"/>
      <c r="E349" s="64">
        <v>1176.771</v>
      </c>
      <c r="F349" s="64">
        <v>1000</v>
      </c>
      <c r="G349" s="65">
        <v>176.77099999999999</v>
      </c>
      <c r="H349" s="64">
        <f t="shared" si="22"/>
        <v>996.97900000000004</v>
      </c>
      <c r="I349" s="64">
        <v>847.22</v>
      </c>
      <c r="J349" s="65">
        <v>149.75899999999999</v>
      </c>
      <c r="K349" s="61" t="s">
        <v>371</v>
      </c>
      <c r="L349" s="61" t="s">
        <v>371</v>
      </c>
      <c r="M349" s="66"/>
    </row>
    <row r="350" spans="1:13" ht="48">
      <c r="A350" s="1">
        <v>12</v>
      </c>
      <c r="B350" s="56"/>
      <c r="C350" s="63" t="s">
        <v>397</v>
      </c>
      <c r="D350" s="63"/>
      <c r="E350" s="64">
        <v>1083.9939999999999</v>
      </c>
      <c r="F350" s="64">
        <v>1000</v>
      </c>
      <c r="G350" s="65">
        <v>83.994</v>
      </c>
      <c r="H350" s="64">
        <f t="shared" si="22"/>
        <v>988.173</v>
      </c>
      <c r="I350" s="64">
        <v>911.60400000000004</v>
      </c>
      <c r="J350" s="65">
        <v>76.569000000000003</v>
      </c>
      <c r="K350" s="61" t="s">
        <v>371</v>
      </c>
      <c r="L350" s="61" t="s">
        <v>371</v>
      </c>
      <c r="M350" s="66"/>
    </row>
    <row r="351" spans="1:13" ht="32">
      <c r="A351" s="1">
        <v>12</v>
      </c>
      <c r="B351" s="56"/>
      <c r="C351" s="63" t="s">
        <v>398</v>
      </c>
      <c r="D351" s="63"/>
      <c r="E351" s="64">
        <v>2389.7829999999999</v>
      </c>
      <c r="F351" s="64">
        <v>1000</v>
      </c>
      <c r="G351" s="65">
        <v>1389.7829999999999</v>
      </c>
      <c r="H351" s="64">
        <f t="shared" si="22"/>
        <v>1208.7750000000001</v>
      </c>
      <c r="I351" s="64">
        <v>445.95800000000003</v>
      </c>
      <c r="J351" s="65">
        <v>762.81700000000001</v>
      </c>
      <c r="K351" s="61" t="s">
        <v>371</v>
      </c>
      <c r="L351" s="61" t="s">
        <v>371</v>
      </c>
      <c r="M351" s="66"/>
    </row>
    <row r="352" spans="1:13" ht="48">
      <c r="A352" s="1">
        <v>12</v>
      </c>
      <c r="B352" s="56"/>
      <c r="C352" s="63" t="s">
        <v>399</v>
      </c>
      <c r="D352" s="63"/>
      <c r="E352" s="64">
        <v>2254.17</v>
      </c>
      <c r="F352" s="64">
        <v>1000</v>
      </c>
      <c r="G352" s="65">
        <v>1254.17</v>
      </c>
      <c r="H352" s="64">
        <f t="shared" si="22"/>
        <v>1820.673</v>
      </c>
      <c r="I352" s="64">
        <v>801.84299999999996</v>
      </c>
      <c r="J352" s="65">
        <v>1018.83</v>
      </c>
      <c r="K352" s="61" t="s">
        <v>371</v>
      </c>
      <c r="L352" s="61" t="s">
        <v>371</v>
      </c>
      <c r="M352" s="66"/>
    </row>
    <row r="353" spans="1:13" ht="48">
      <c r="A353" s="1">
        <v>12</v>
      </c>
      <c r="B353" s="56"/>
      <c r="C353" s="63" t="s">
        <v>400</v>
      </c>
      <c r="D353" s="63"/>
      <c r="E353" s="64">
        <v>2828.4870000000001</v>
      </c>
      <c r="F353" s="64">
        <v>1000</v>
      </c>
      <c r="G353" s="65">
        <v>1828.4870000000001</v>
      </c>
      <c r="H353" s="64">
        <f t="shared" si="22"/>
        <v>1826.694</v>
      </c>
      <c r="I353" s="64">
        <v>640.26800000000003</v>
      </c>
      <c r="J353" s="65">
        <v>1186.4259999999999</v>
      </c>
      <c r="K353" s="61" t="s">
        <v>371</v>
      </c>
      <c r="L353" s="61" t="s">
        <v>371</v>
      </c>
      <c r="M353" s="66"/>
    </row>
    <row r="354" spans="1:13" ht="48">
      <c r="A354" s="1">
        <v>12</v>
      </c>
      <c r="B354" s="22">
        <v>13</v>
      </c>
      <c r="C354" s="23" t="s">
        <v>401</v>
      </c>
      <c r="D354" s="23">
        <v>2019</v>
      </c>
      <c r="E354" s="47">
        <v>14463</v>
      </c>
      <c r="F354" s="24">
        <v>7000</v>
      </c>
      <c r="G354" s="25">
        <v>7463</v>
      </c>
      <c r="H354" s="47">
        <f t="shared" si="22"/>
        <v>12769.182000000001</v>
      </c>
      <c r="I354" s="24">
        <v>5740.29</v>
      </c>
      <c r="J354" s="25">
        <v>7028.8919999999998</v>
      </c>
      <c r="K354" s="26">
        <v>1</v>
      </c>
      <c r="L354" s="26">
        <v>1</v>
      </c>
      <c r="M354" s="27" t="s">
        <v>97</v>
      </c>
    </row>
    <row r="355" spans="1:13" ht="48">
      <c r="A355" s="1">
        <v>12</v>
      </c>
      <c r="B355" s="22">
        <v>14</v>
      </c>
      <c r="C355" s="23" t="s">
        <v>402</v>
      </c>
      <c r="D355" s="101" t="s">
        <v>19</v>
      </c>
      <c r="E355" s="47">
        <v>4963.3519999999999</v>
      </c>
      <c r="F355" s="24">
        <v>4500</v>
      </c>
      <c r="G355" s="25">
        <v>463.35199999999998</v>
      </c>
      <c r="H355" s="47">
        <f t="shared" si="22"/>
        <v>4963.3519999999999</v>
      </c>
      <c r="I355" s="24">
        <v>4500</v>
      </c>
      <c r="J355" s="25">
        <v>463.35199999999998</v>
      </c>
      <c r="K355" s="26">
        <v>1</v>
      </c>
      <c r="L355" s="26">
        <v>1</v>
      </c>
      <c r="M355" s="27" t="s">
        <v>97</v>
      </c>
    </row>
    <row r="356" spans="1:13" ht="48">
      <c r="A356" s="1">
        <v>12</v>
      </c>
      <c r="B356" s="22">
        <v>15</v>
      </c>
      <c r="C356" s="23" t="s">
        <v>403</v>
      </c>
      <c r="D356" s="44" t="s">
        <v>19</v>
      </c>
      <c r="E356" s="47">
        <v>19108.032999999999</v>
      </c>
      <c r="F356" s="24">
        <v>19108.032999999999</v>
      </c>
      <c r="G356" s="25">
        <v>0</v>
      </c>
      <c r="H356" s="47">
        <f t="shared" si="22"/>
        <v>19108.032999999999</v>
      </c>
      <c r="I356" s="24">
        <v>19108.032999999999</v>
      </c>
      <c r="J356" s="25">
        <v>0</v>
      </c>
      <c r="K356" s="26">
        <v>1</v>
      </c>
      <c r="L356" s="26"/>
      <c r="M356" s="27"/>
    </row>
    <row r="357" spans="1:13" ht="32">
      <c r="A357" s="1">
        <v>12</v>
      </c>
      <c r="B357" s="22">
        <v>16</v>
      </c>
      <c r="C357" s="23" t="s">
        <v>404</v>
      </c>
      <c r="D357" s="44" t="s">
        <v>19</v>
      </c>
      <c r="E357" s="47">
        <v>26313.33</v>
      </c>
      <c r="F357" s="24">
        <v>26313.33</v>
      </c>
      <c r="G357" s="25">
        <v>0</v>
      </c>
      <c r="H357" s="47">
        <f t="shared" si="22"/>
        <v>26206.984</v>
      </c>
      <c r="I357" s="24">
        <v>26206.984</v>
      </c>
      <c r="J357" s="25">
        <v>0</v>
      </c>
      <c r="K357" s="26">
        <v>1</v>
      </c>
      <c r="L357" s="26"/>
      <c r="M357" s="27"/>
    </row>
    <row r="358" spans="1:13" ht="48">
      <c r="A358" s="1">
        <v>12</v>
      </c>
      <c r="B358" s="22">
        <v>17</v>
      </c>
      <c r="C358" s="23" t="s">
        <v>405</v>
      </c>
      <c r="D358" s="102" t="s">
        <v>19</v>
      </c>
      <c r="E358" s="47">
        <v>12011.234</v>
      </c>
      <c r="F358" s="24">
        <v>12011.234</v>
      </c>
      <c r="G358" s="25">
        <v>0</v>
      </c>
      <c r="H358" s="47">
        <f t="shared" si="22"/>
        <v>12011.234</v>
      </c>
      <c r="I358" s="24">
        <v>12011.234</v>
      </c>
      <c r="J358" s="25">
        <v>0</v>
      </c>
      <c r="K358" s="26">
        <v>1</v>
      </c>
      <c r="L358" s="26"/>
      <c r="M358" s="27"/>
    </row>
    <row r="359" spans="1:13" ht="48">
      <c r="A359" s="1">
        <v>12</v>
      </c>
      <c r="B359" s="22">
        <v>18</v>
      </c>
      <c r="C359" s="23" t="s">
        <v>406</v>
      </c>
      <c r="D359" s="103" t="s">
        <v>19</v>
      </c>
      <c r="E359" s="47">
        <v>31876.334999999999</v>
      </c>
      <c r="F359" s="24">
        <v>31876.334999999999</v>
      </c>
      <c r="G359" s="25">
        <v>0</v>
      </c>
      <c r="H359" s="47">
        <f t="shared" si="22"/>
        <v>31728.143</v>
      </c>
      <c r="I359" s="24">
        <v>31728.143</v>
      </c>
      <c r="J359" s="25">
        <v>0</v>
      </c>
      <c r="K359" s="26">
        <v>1</v>
      </c>
      <c r="L359" s="26"/>
      <c r="M359" s="27"/>
    </row>
    <row r="360" spans="1:13" ht="48">
      <c r="A360" s="1">
        <v>12</v>
      </c>
      <c r="B360" s="22">
        <v>19</v>
      </c>
      <c r="C360" s="23" t="s">
        <v>407</v>
      </c>
      <c r="D360" s="44" t="s">
        <v>19</v>
      </c>
      <c r="E360" s="47">
        <v>9964.4110000000001</v>
      </c>
      <c r="F360" s="24">
        <v>5840.7749999999996</v>
      </c>
      <c r="G360" s="25">
        <v>4123.6360000000004</v>
      </c>
      <c r="H360" s="47">
        <f t="shared" si="22"/>
        <v>0</v>
      </c>
      <c r="I360" s="24">
        <v>0</v>
      </c>
      <c r="J360" s="25">
        <v>0</v>
      </c>
      <c r="K360" s="26">
        <v>1</v>
      </c>
      <c r="L360" s="26"/>
      <c r="M360" s="27"/>
    </row>
    <row r="361" spans="1:13" ht="32">
      <c r="A361" s="1">
        <v>12</v>
      </c>
      <c r="B361" s="67">
        <v>20</v>
      </c>
      <c r="C361" s="51" t="s">
        <v>408</v>
      </c>
      <c r="D361" s="44" t="s">
        <v>19</v>
      </c>
      <c r="E361" s="52">
        <v>21329.999</v>
      </c>
      <c r="F361" s="52">
        <v>21329.999</v>
      </c>
      <c r="G361" s="53">
        <v>0</v>
      </c>
      <c r="H361" s="52">
        <f t="shared" si="22"/>
        <v>17969.231</v>
      </c>
      <c r="I361" s="52">
        <v>17969.231</v>
      </c>
      <c r="J361" s="53">
        <v>0</v>
      </c>
      <c r="K361" s="54">
        <v>1</v>
      </c>
      <c r="L361" s="54"/>
      <c r="M361" s="55"/>
    </row>
    <row r="362" spans="1:13" ht="48">
      <c r="A362" s="1">
        <v>12</v>
      </c>
      <c r="B362" s="68"/>
      <c r="C362" s="63" t="s">
        <v>409</v>
      </c>
      <c r="D362" s="63"/>
      <c r="E362" s="64">
        <v>8189.915</v>
      </c>
      <c r="F362" s="64">
        <v>8189.915</v>
      </c>
      <c r="G362" s="65">
        <v>0</v>
      </c>
      <c r="H362" s="64">
        <f t="shared" si="22"/>
        <v>8184.8760000000002</v>
      </c>
      <c r="I362" s="64">
        <v>8184.8760000000002</v>
      </c>
      <c r="J362" s="65">
        <v>0</v>
      </c>
      <c r="K362" s="61" t="s">
        <v>371</v>
      </c>
      <c r="L362" s="61"/>
      <c r="M362" s="66"/>
    </row>
    <row r="363" spans="1:13" ht="48">
      <c r="A363" s="1">
        <v>12</v>
      </c>
      <c r="B363" s="68"/>
      <c r="C363" s="63" t="s">
        <v>410</v>
      </c>
      <c r="D363" s="63"/>
      <c r="E363" s="64">
        <v>13140.084000000001</v>
      </c>
      <c r="F363" s="64">
        <v>13140.084000000001</v>
      </c>
      <c r="G363" s="65">
        <v>0</v>
      </c>
      <c r="H363" s="64">
        <f t="shared" si="22"/>
        <v>9784.3549999999996</v>
      </c>
      <c r="I363" s="64">
        <v>9784.3549999999996</v>
      </c>
      <c r="J363" s="65">
        <v>0</v>
      </c>
      <c r="K363" s="61" t="s">
        <v>371</v>
      </c>
      <c r="L363" s="61"/>
      <c r="M363" s="66"/>
    </row>
    <row r="364" spans="1:13" ht="48">
      <c r="A364" s="1">
        <v>12</v>
      </c>
      <c r="B364" s="22">
        <v>21</v>
      </c>
      <c r="C364" s="23" t="s">
        <v>411</v>
      </c>
      <c r="D364" s="44" t="s">
        <v>19</v>
      </c>
      <c r="E364" s="47">
        <v>10968.891</v>
      </c>
      <c r="F364" s="24">
        <v>10519.325999999999</v>
      </c>
      <c r="G364" s="25">
        <v>449.565</v>
      </c>
      <c r="H364" s="47">
        <f t="shared" si="22"/>
        <v>10512.265000000001</v>
      </c>
      <c r="I364" s="24">
        <v>10062.700000000001</v>
      </c>
      <c r="J364" s="25">
        <v>449.565</v>
      </c>
      <c r="K364" s="26">
        <v>1</v>
      </c>
      <c r="L364" s="26"/>
      <c r="M364" s="27"/>
    </row>
    <row r="365" spans="1:13" ht="64">
      <c r="A365" s="1">
        <v>12</v>
      </c>
      <c r="B365" s="22">
        <v>22</v>
      </c>
      <c r="C365" s="23" t="s">
        <v>412</v>
      </c>
      <c r="D365" s="44" t="s">
        <v>19</v>
      </c>
      <c r="E365" s="47">
        <v>1856.664</v>
      </c>
      <c r="F365" s="24">
        <v>1856.664</v>
      </c>
      <c r="G365" s="25">
        <v>0</v>
      </c>
      <c r="H365" s="47">
        <f t="shared" si="22"/>
        <v>1415.4359999999999</v>
      </c>
      <c r="I365" s="24">
        <v>1415.4359999999999</v>
      </c>
      <c r="J365" s="25">
        <v>0</v>
      </c>
      <c r="K365" s="26">
        <v>1</v>
      </c>
      <c r="L365" s="26"/>
      <c r="M365" s="27"/>
    </row>
    <row r="366" spans="1:13" ht="48">
      <c r="A366" s="1">
        <v>12</v>
      </c>
      <c r="B366" s="22">
        <v>23</v>
      </c>
      <c r="C366" s="23" t="s">
        <v>413</v>
      </c>
      <c r="D366" s="44" t="s">
        <v>19</v>
      </c>
      <c r="E366" s="47">
        <v>1198.2059999999999</v>
      </c>
      <c r="F366" s="24">
        <v>1198.2059999999999</v>
      </c>
      <c r="G366" s="25">
        <v>0</v>
      </c>
      <c r="H366" s="47">
        <f t="shared" si="22"/>
        <v>1040.0519999999999</v>
      </c>
      <c r="I366" s="24">
        <v>1040.0519999999999</v>
      </c>
      <c r="J366" s="25">
        <v>0</v>
      </c>
      <c r="K366" s="26">
        <v>1</v>
      </c>
      <c r="L366" s="26"/>
      <c r="M366" s="27"/>
    </row>
    <row r="367" spans="1:13" ht="48">
      <c r="A367" s="1">
        <v>12</v>
      </c>
      <c r="B367" s="22">
        <v>24</v>
      </c>
      <c r="C367" s="23" t="s">
        <v>414</v>
      </c>
      <c r="D367" s="44" t="s">
        <v>19</v>
      </c>
      <c r="E367" s="47">
        <v>631.32899999999995</v>
      </c>
      <c r="F367" s="24">
        <v>631.32899999999995</v>
      </c>
      <c r="G367" s="25">
        <v>0</v>
      </c>
      <c r="H367" s="47">
        <f t="shared" si="22"/>
        <v>603.81700000000001</v>
      </c>
      <c r="I367" s="24">
        <v>603.81700000000001</v>
      </c>
      <c r="J367" s="25">
        <v>0</v>
      </c>
      <c r="K367" s="26">
        <v>1</v>
      </c>
      <c r="L367" s="26">
        <v>1</v>
      </c>
      <c r="M367" s="27"/>
    </row>
    <row r="368" spans="1:13" ht="48">
      <c r="A368" s="1">
        <v>12</v>
      </c>
      <c r="B368" s="22">
        <v>25</v>
      </c>
      <c r="C368" s="23" t="s">
        <v>415</v>
      </c>
      <c r="D368" s="44" t="s">
        <v>19</v>
      </c>
      <c r="E368" s="47">
        <v>1302.1559999999999</v>
      </c>
      <c r="F368" s="24">
        <v>1302.1559999999999</v>
      </c>
      <c r="G368" s="25">
        <v>0</v>
      </c>
      <c r="H368" s="47">
        <f t="shared" si="22"/>
        <v>1224.633</v>
      </c>
      <c r="I368" s="24">
        <v>1224.633</v>
      </c>
      <c r="J368" s="25">
        <v>0</v>
      </c>
      <c r="K368" s="26">
        <v>1</v>
      </c>
      <c r="L368" s="26">
        <v>1</v>
      </c>
      <c r="M368" s="27"/>
    </row>
    <row r="369" spans="1:13" ht="48">
      <c r="A369" s="1">
        <v>12</v>
      </c>
      <c r="B369" s="30">
        <v>26</v>
      </c>
      <c r="C369" s="31" t="s">
        <v>416</v>
      </c>
      <c r="D369" s="31"/>
      <c r="E369" s="32">
        <f>2715.908-2715.908</f>
        <v>0</v>
      </c>
      <c r="F369" s="32">
        <f>2715.908-2715.908</f>
        <v>0</v>
      </c>
      <c r="G369" s="33">
        <f>0-0</f>
        <v>0</v>
      </c>
      <c r="H369" s="32">
        <f t="shared" si="22"/>
        <v>0</v>
      </c>
      <c r="I369" s="32"/>
      <c r="J369" s="33"/>
      <c r="K369" s="34">
        <f>1-1</f>
        <v>0</v>
      </c>
      <c r="L369" s="34">
        <f>1-1</f>
        <v>0</v>
      </c>
      <c r="M369" s="35" t="s">
        <v>28</v>
      </c>
    </row>
    <row r="370" spans="1:13" ht="32">
      <c r="A370" s="1">
        <v>12</v>
      </c>
      <c r="B370" s="30">
        <v>27</v>
      </c>
      <c r="C370" s="31" t="s">
        <v>417</v>
      </c>
      <c r="D370" s="31"/>
      <c r="E370" s="32">
        <f>2868.972-2868.972</f>
        <v>0</v>
      </c>
      <c r="F370" s="32">
        <f>2868.972-2868.972</f>
        <v>0</v>
      </c>
      <c r="G370" s="33">
        <f>0-0</f>
        <v>0</v>
      </c>
      <c r="H370" s="32">
        <f t="shared" si="22"/>
        <v>0</v>
      </c>
      <c r="I370" s="32"/>
      <c r="J370" s="33"/>
      <c r="K370" s="34">
        <f>1-1</f>
        <v>0</v>
      </c>
      <c r="L370" s="34">
        <f>1-1</f>
        <v>0</v>
      </c>
      <c r="M370" s="35" t="s">
        <v>28</v>
      </c>
    </row>
    <row r="371" spans="1:13" ht="48">
      <c r="A371" s="1">
        <v>12</v>
      </c>
      <c r="B371" s="22">
        <v>28</v>
      </c>
      <c r="C371" s="23" t="s">
        <v>418</v>
      </c>
      <c r="D371" s="44" t="s">
        <v>19</v>
      </c>
      <c r="E371" s="47">
        <v>6176.2370000000001</v>
      </c>
      <c r="F371" s="24">
        <v>6176.2370000000001</v>
      </c>
      <c r="G371" s="25">
        <v>0</v>
      </c>
      <c r="H371" s="47">
        <f t="shared" si="22"/>
        <v>6133.8419999999996</v>
      </c>
      <c r="I371" s="24">
        <v>6133.8419999999996</v>
      </c>
      <c r="J371" s="25">
        <v>0</v>
      </c>
      <c r="K371" s="26">
        <v>1</v>
      </c>
      <c r="L371" s="26"/>
      <c r="M371" s="27"/>
    </row>
    <row r="372" spans="1:13" ht="48">
      <c r="A372" s="1">
        <v>12</v>
      </c>
      <c r="B372" s="22">
        <v>29</v>
      </c>
      <c r="C372" s="23" t="s">
        <v>419</v>
      </c>
      <c r="D372" s="44" t="s">
        <v>19</v>
      </c>
      <c r="E372" s="47">
        <v>2203.7730000000001</v>
      </c>
      <c r="F372" s="24">
        <v>2203.7730000000001</v>
      </c>
      <c r="G372" s="25">
        <v>0</v>
      </c>
      <c r="H372" s="47">
        <f t="shared" si="22"/>
        <v>2135.5659999999998</v>
      </c>
      <c r="I372" s="24">
        <v>2135.5659999999998</v>
      </c>
      <c r="J372" s="25">
        <v>0</v>
      </c>
      <c r="K372" s="26">
        <v>1</v>
      </c>
      <c r="L372" s="26"/>
      <c r="M372" s="27"/>
    </row>
    <row r="373" spans="1:13" ht="48">
      <c r="A373" s="1">
        <v>12</v>
      </c>
      <c r="B373" s="22">
        <v>30</v>
      </c>
      <c r="C373" s="23" t="s">
        <v>420</v>
      </c>
      <c r="D373" s="102" t="s">
        <v>19</v>
      </c>
      <c r="E373" s="47">
        <v>5542.5320000000002</v>
      </c>
      <c r="F373" s="24">
        <v>5542.5320000000002</v>
      </c>
      <c r="G373" s="25">
        <v>0</v>
      </c>
      <c r="H373" s="47">
        <f t="shared" si="22"/>
        <v>1921.41</v>
      </c>
      <c r="I373" s="24">
        <v>1921.41</v>
      </c>
      <c r="J373" s="25">
        <v>0</v>
      </c>
      <c r="K373" s="26">
        <v>1</v>
      </c>
      <c r="L373" s="26"/>
      <c r="M373" s="27"/>
    </row>
    <row r="374" spans="1:13" ht="48">
      <c r="A374" s="1">
        <v>12</v>
      </c>
      <c r="B374" s="22">
        <v>31</v>
      </c>
      <c r="C374" s="23" t="s">
        <v>421</v>
      </c>
      <c r="D374" s="102" t="s">
        <v>19</v>
      </c>
      <c r="E374" s="47">
        <v>7732.915</v>
      </c>
      <c r="F374" s="24">
        <v>7732.915</v>
      </c>
      <c r="G374" s="25">
        <v>0</v>
      </c>
      <c r="H374" s="47">
        <f t="shared" si="22"/>
        <v>3887.4839999999999</v>
      </c>
      <c r="I374" s="24">
        <v>3887.4839999999999</v>
      </c>
      <c r="J374" s="25">
        <v>0</v>
      </c>
      <c r="K374" s="26">
        <v>1</v>
      </c>
      <c r="L374" s="26"/>
      <c r="M374" s="27"/>
    </row>
    <row r="375" spans="1:13" ht="48">
      <c r="A375" s="1">
        <v>12</v>
      </c>
      <c r="B375" s="22">
        <v>32</v>
      </c>
      <c r="C375" s="23" t="s">
        <v>422</v>
      </c>
      <c r="D375" s="44" t="s">
        <v>19</v>
      </c>
      <c r="E375" s="47">
        <v>5629.5780000000004</v>
      </c>
      <c r="F375" s="24">
        <v>5629.5780000000004</v>
      </c>
      <c r="G375" s="25">
        <v>0</v>
      </c>
      <c r="H375" s="47">
        <f t="shared" si="22"/>
        <v>5604.5609999999997</v>
      </c>
      <c r="I375" s="24">
        <v>5604.5609999999997</v>
      </c>
      <c r="J375" s="25">
        <v>0</v>
      </c>
      <c r="K375" s="26">
        <v>1</v>
      </c>
      <c r="L375" s="26"/>
      <c r="M375" s="27"/>
    </row>
    <row r="376" spans="1:13" ht="48">
      <c r="A376" s="1">
        <v>12</v>
      </c>
      <c r="B376" s="22">
        <v>33</v>
      </c>
      <c r="C376" s="23" t="s">
        <v>423</v>
      </c>
      <c r="D376" s="44" t="s">
        <v>19</v>
      </c>
      <c r="E376" s="47">
        <v>8557.0010000000002</v>
      </c>
      <c r="F376" s="24">
        <v>8557.0010000000002</v>
      </c>
      <c r="G376" s="25">
        <v>0</v>
      </c>
      <c r="H376" s="47">
        <f t="shared" si="22"/>
        <v>8534.3430000000008</v>
      </c>
      <c r="I376" s="24">
        <v>8534.3430000000008</v>
      </c>
      <c r="J376" s="25">
        <v>0</v>
      </c>
      <c r="K376" s="26">
        <v>1</v>
      </c>
      <c r="L376" s="26"/>
      <c r="M376" s="27"/>
    </row>
    <row r="377" spans="1:13" ht="48">
      <c r="A377" s="1">
        <v>12</v>
      </c>
      <c r="B377" s="30">
        <v>34</v>
      </c>
      <c r="C377" s="31" t="s">
        <v>424</v>
      </c>
      <c r="D377" s="31"/>
      <c r="E377" s="32">
        <f>5483.178-5483.178</f>
        <v>0</v>
      </c>
      <c r="F377" s="32">
        <f>5000-5000</f>
        <v>0</v>
      </c>
      <c r="G377" s="33">
        <f>483.178-483.178</f>
        <v>0</v>
      </c>
      <c r="H377" s="32">
        <f t="shared" si="22"/>
        <v>0</v>
      </c>
      <c r="I377" s="32"/>
      <c r="J377" s="33"/>
      <c r="K377" s="34">
        <f>1-1</f>
        <v>0</v>
      </c>
      <c r="L377" s="34">
        <f>1-1</f>
        <v>0</v>
      </c>
      <c r="M377" s="35" t="s">
        <v>28</v>
      </c>
    </row>
    <row r="378" spans="1:13" ht="48">
      <c r="A378" s="1">
        <v>12</v>
      </c>
      <c r="B378" s="22">
        <v>35</v>
      </c>
      <c r="C378" s="23" t="s">
        <v>425</v>
      </c>
      <c r="D378" s="44">
        <v>2019</v>
      </c>
      <c r="E378" s="47">
        <v>5394.2359999999999</v>
      </c>
      <c r="F378" s="24">
        <v>5000</v>
      </c>
      <c r="G378" s="25">
        <v>394.23599999999999</v>
      </c>
      <c r="H378" s="47">
        <f t="shared" si="22"/>
        <v>4306.8980000000001</v>
      </c>
      <c r="I378" s="24">
        <v>4306.8980000000001</v>
      </c>
      <c r="J378" s="25">
        <v>0</v>
      </c>
      <c r="K378" s="26">
        <v>1</v>
      </c>
      <c r="L378" s="26"/>
      <c r="M378" s="27"/>
    </row>
    <row r="379" spans="1:13" ht="80">
      <c r="A379" s="1">
        <v>12</v>
      </c>
      <c r="B379" s="22">
        <v>36</v>
      </c>
      <c r="C379" s="23" t="s">
        <v>426</v>
      </c>
      <c r="D379" s="44" t="s">
        <v>34</v>
      </c>
      <c r="E379" s="24">
        <f>4583.461+34033.078</f>
        <v>38616.539000000004</v>
      </c>
      <c r="F379" s="24">
        <f>4000+19319.74</f>
        <v>23319.74</v>
      </c>
      <c r="G379" s="25">
        <f>583.461+14713.338</f>
        <v>15296.798999999999</v>
      </c>
      <c r="H379" s="24">
        <f t="shared" si="22"/>
        <v>0</v>
      </c>
      <c r="I379" s="24">
        <v>0</v>
      </c>
      <c r="J379" s="25">
        <v>0</v>
      </c>
      <c r="K379" s="26">
        <v>1</v>
      </c>
      <c r="L379" s="26"/>
      <c r="M379" s="27" t="s">
        <v>23</v>
      </c>
    </row>
    <row r="380" spans="1:13" ht="64">
      <c r="A380" s="1">
        <v>12</v>
      </c>
      <c r="B380" s="22">
        <v>37</v>
      </c>
      <c r="C380" s="23" t="s">
        <v>427</v>
      </c>
      <c r="D380" s="44" t="s">
        <v>34</v>
      </c>
      <c r="E380" s="47">
        <v>10282.465</v>
      </c>
      <c r="F380" s="24">
        <v>9000</v>
      </c>
      <c r="G380" s="25">
        <v>1282.4649999999999</v>
      </c>
      <c r="H380" s="47">
        <f t="shared" si="22"/>
        <v>10282.465</v>
      </c>
      <c r="I380" s="24">
        <v>9000</v>
      </c>
      <c r="J380" s="25">
        <v>1282.4649999999999</v>
      </c>
      <c r="K380" s="26">
        <v>1</v>
      </c>
      <c r="L380" s="26"/>
      <c r="M380" s="27"/>
    </row>
    <row r="381" spans="1:13" ht="64">
      <c r="A381" s="1">
        <v>12</v>
      </c>
      <c r="B381" s="22">
        <v>38</v>
      </c>
      <c r="C381" s="23" t="s">
        <v>428</v>
      </c>
      <c r="D381" s="44" t="s">
        <v>32</v>
      </c>
      <c r="E381" s="47">
        <v>29176.316999999999</v>
      </c>
      <c r="F381" s="24">
        <v>20000</v>
      </c>
      <c r="G381" s="25">
        <v>9176.3169999999991</v>
      </c>
      <c r="H381" s="47">
        <f t="shared" si="22"/>
        <v>29132.422999999999</v>
      </c>
      <c r="I381" s="24">
        <v>19956.106</v>
      </c>
      <c r="J381" s="25">
        <v>9176.3169999999991</v>
      </c>
      <c r="K381" s="26">
        <v>1</v>
      </c>
      <c r="L381" s="26"/>
      <c r="M381" s="27"/>
    </row>
    <row r="382" spans="1:13" ht="64">
      <c r="A382" s="1">
        <v>12</v>
      </c>
      <c r="B382" s="22">
        <v>39</v>
      </c>
      <c r="C382" s="23" t="s">
        <v>429</v>
      </c>
      <c r="D382" s="44" t="s">
        <v>34</v>
      </c>
      <c r="E382" s="47">
        <v>8499.0159999999996</v>
      </c>
      <c r="F382" s="24">
        <v>7340.3230000000003</v>
      </c>
      <c r="G382" s="25">
        <v>1158.693</v>
      </c>
      <c r="H382" s="47">
        <f t="shared" si="22"/>
        <v>8499.0159999999996</v>
      </c>
      <c r="I382" s="24">
        <v>7340.3230000000003</v>
      </c>
      <c r="J382" s="25">
        <v>1158.693</v>
      </c>
      <c r="K382" s="26">
        <v>1</v>
      </c>
      <c r="L382" s="26"/>
      <c r="M382" s="27"/>
    </row>
    <row r="383" spans="1:13" ht="32">
      <c r="A383" s="1">
        <v>12</v>
      </c>
      <c r="B383" s="22">
        <v>40</v>
      </c>
      <c r="C383" s="23" t="s">
        <v>430</v>
      </c>
      <c r="D383" s="102" t="s">
        <v>34</v>
      </c>
      <c r="E383" s="47">
        <v>433.125</v>
      </c>
      <c r="F383" s="24">
        <v>0</v>
      </c>
      <c r="G383" s="25">
        <v>433.125</v>
      </c>
      <c r="H383" s="47">
        <f t="shared" si="22"/>
        <v>0</v>
      </c>
      <c r="I383" s="24">
        <v>0</v>
      </c>
      <c r="J383" s="25">
        <v>0</v>
      </c>
      <c r="K383" s="26">
        <v>1</v>
      </c>
      <c r="L383" s="26"/>
      <c r="M383" s="27"/>
    </row>
    <row r="384" spans="1:13" ht="65" thickBot="1">
      <c r="A384" s="1">
        <v>12</v>
      </c>
      <c r="B384" s="36">
        <v>41</v>
      </c>
      <c r="C384" s="37" t="s">
        <v>431</v>
      </c>
      <c r="D384" s="44">
        <v>2019</v>
      </c>
      <c r="E384" s="69">
        <v>29594.492999999999</v>
      </c>
      <c r="F384" s="38">
        <v>20000</v>
      </c>
      <c r="G384" s="39">
        <v>9594.4930000000004</v>
      </c>
      <c r="H384" s="69">
        <f t="shared" si="22"/>
        <v>29343.882000000001</v>
      </c>
      <c r="I384" s="38">
        <v>19942.329000000002</v>
      </c>
      <c r="J384" s="39">
        <v>9401.5529999999999</v>
      </c>
      <c r="K384" s="40">
        <v>1</v>
      </c>
      <c r="L384" s="40">
        <v>1</v>
      </c>
      <c r="M384" s="41"/>
    </row>
    <row r="385" spans="1:13" ht="64">
      <c r="A385" s="1">
        <v>13</v>
      </c>
      <c r="B385" s="15"/>
      <c r="C385" s="16" t="s">
        <v>432</v>
      </c>
      <c r="D385" s="16"/>
      <c r="E385" s="17">
        <f>SUM(E386:E437)</f>
        <v>343042.93800000002</v>
      </c>
      <c r="F385" s="17">
        <f t="shared" ref="F385:L385" si="23">SUM(F386:F437)</f>
        <v>298308.60800000001</v>
      </c>
      <c r="G385" s="18">
        <f t="shared" si="23"/>
        <v>44734.33</v>
      </c>
      <c r="H385" s="17">
        <f t="shared" si="22"/>
        <v>326467.03400000004</v>
      </c>
      <c r="I385" s="17">
        <f t="shared" si="23"/>
        <v>283698.07600000006</v>
      </c>
      <c r="J385" s="18">
        <f t="shared" si="23"/>
        <v>42768.957999999999</v>
      </c>
      <c r="K385" s="20">
        <f t="shared" si="23"/>
        <v>50</v>
      </c>
      <c r="L385" s="20">
        <f t="shared" si="23"/>
        <v>13</v>
      </c>
      <c r="M385" s="21"/>
    </row>
    <row r="386" spans="1:13" ht="32">
      <c r="A386" s="1">
        <v>13</v>
      </c>
      <c r="B386" s="22">
        <v>1</v>
      </c>
      <c r="C386" s="23" t="s">
        <v>433</v>
      </c>
      <c r="D386" s="26" t="s">
        <v>151</v>
      </c>
      <c r="E386" s="24">
        <v>5850</v>
      </c>
      <c r="F386" s="24">
        <v>5850</v>
      </c>
      <c r="G386" s="25">
        <v>0</v>
      </c>
      <c r="H386" s="24">
        <f t="shared" si="22"/>
        <v>5850</v>
      </c>
      <c r="I386" s="24">
        <v>5850</v>
      </c>
      <c r="J386" s="25">
        <v>0</v>
      </c>
      <c r="K386" s="26">
        <v>1</v>
      </c>
      <c r="L386" s="26">
        <v>1</v>
      </c>
      <c r="M386" s="27"/>
    </row>
    <row r="387" spans="1:13" ht="64">
      <c r="A387" s="1">
        <v>13</v>
      </c>
      <c r="B387" s="22">
        <v>2</v>
      </c>
      <c r="C387" s="23" t="s">
        <v>434</v>
      </c>
      <c r="D387" s="26" t="s">
        <v>32</v>
      </c>
      <c r="E387" s="24">
        <f>22300-21900</f>
        <v>400</v>
      </c>
      <c r="F387" s="24">
        <f>11000-10600</f>
        <v>400</v>
      </c>
      <c r="G387" s="25">
        <f>11300-11300</f>
        <v>0</v>
      </c>
      <c r="H387" s="24">
        <f t="shared" si="22"/>
        <v>290.88200000000001</v>
      </c>
      <c r="I387" s="24">
        <v>290.88200000000001</v>
      </c>
      <c r="J387" s="25">
        <v>0</v>
      </c>
      <c r="K387" s="26">
        <v>1</v>
      </c>
      <c r="L387" s="26"/>
      <c r="M387" s="27" t="s">
        <v>48</v>
      </c>
    </row>
    <row r="388" spans="1:13" ht="48">
      <c r="A388" s="1">
        <v>13</v>
      </c>
      <c r="B388" s="22">
        <v>3</v>
      </c>
      <c r="C388" s="23" t="s">
        <v>435</v>
      </c>
      <c r="D388" s="26" t="s">
        <v>19</v>
      </c>
      <c r="E388" s="24">
        <v>7000</v>
      </c>
      <c r="F388" s="24">
        <v>5000</v>
      </c>
      <c r="G388" s="25">
        <v>2000</v>
      </c>
      <c r="H388" s="24">
        <f t="shared" si="22"/>
        <v>7000</v>
      </c>
      <c r="I388" s="24">
        <v>5000</v>
      </c>
      <c r="J388" s="25">
        <v>2000</v>
      </c>
      <c r="K388" s="26">
        <v>1</v>
      </c>
      <c r="L388" s="26">
        <v>1</v>
      </c>
      <c r="M388" s="27"/>
    </row>
    <row r="389" spans="1:13" ht="32">
      <c r="A389" s="1">
        <v>13</v>
      </c>
      <c r="B389" s="22">
        <v>4</v>
      </c>
      <c r="C389" s="23" t="s">
        <v>436</v>
      </c>
      <c r="D389" s="26" t="s">
        <v>21</v>
      </c>
      <c r="E389" s="24">
        <v>1173.2850000000001</v>
      </c>
      <c r="F389" s="24">
        <v>1173.2850000000001</v>
      </c>
      <c r="G389" s="25">
        <v>0</v>
      </c>
      <c r="H389" s="24">
        <f t="shared" si="22"/>
        <v>1173.2850000000001</v>
      </c>
      <c r="I389" s="24">
        <v>1173.2850000000001</v>
      </c>
      <c r="J389" s="25">
        <v>0</v>
      </c>
      <c r="K389" s="26">
        <v>1</v>
      </c>
      <c r="L389" s="26"/>
      <c r="M389" s="27"/>
    </row>
    <row r="390" spans="1:13" ht="32">
      <c r="A390" s="1">
        <v>13</v>
      </c>
      <c r="B390" s="22">
        <v>5</v>
      </c>
      <c r="C390" s="23" t="s">
        <v>437</v>
      </c>
      <c r="D390" s="26" t="s">
        <v>338</v>
      </c>
      <c r="E390" s="24">
        <v>9000</v>
      </c>
      <c r="F390" s="24">
        <v>9000</v>
      </c>
      <c r="G390" s="25">
        <v>0</v>
      </c>
      <c r="H390" s="24">
        <f t="shared" si="22"/>
        <v>8790</v>
      </c>
      <c r="I390" s="24">
        <v>8790</v>
      </c>
      <c r="J390" s="25">
        <v>0</v>
      </c>
      <c r="K390" s="26">
        <v>1</v>
      </c>
      <c r="L390" s="26"/>
      <c r="M390" s="27"/>
    </row>
    <row r="391" spans="1:13" ht="32">
      <c r="A391" s="1">
        <v>13</v>
      </c>
      <c r="B391" s="22">
        <v>6</v>
      </c>
      <c r="C391" s="23" t="s">
        <v>438</v>
      </c>
      <c r="D391" s="26" t="s">
        <v>16</v>
      </c>
      <c r="E391" s="24">
        <v>1000</v>
      </c>
      <c r="F391" s="24">
        <v>1000</v>
      </c>
      <c r="G391" s="25">
        <v>0</v>
      </c>
      <c r="H391" s="24">
        <f t="shared" si="22"/>
        <v>1000</v>
      </c>
      <c r="I391" s="24">
        <v>1000</v>
      </c>
      <c r="J391" s="25">
        <v>0</v>
      </c>
      <c r="K391" s="26">
        <v>1</v>
      </c>
      <c r="L391" s="26"/>
      <c r="M391" s="27"/>
    </row>
    <row r="392" spans="1:13" ht="48">
      <c r="A392" s="1">
        <v>13</v>
      </c>
      <c r="B392" s="22">
        <v>7</v>
      </c>
      <c r="C392" s="23" t="s">
        <v>439</v>
      </c>
      <c r="D392" s="26" t="s">
        <v>19</v>
      </c>
      <c r="E392" s="24">
        <f>2000+2800</f>
        <v>4800</v>
      </c>
      <c r="F392" s="24">
        <f>2000+2800</f>
        <v>4800</v>
      </c>
      <c r="G392" s="25">
        <f>0+0</f>
        <v>0</v>
      </c>
      <c r="H392" s="24">
        <f t="shared" si="22"/>
        <v>4800</v>
      </c>
      <c r="I392" s="24">
        <v>4800</v>
      </c>
      <c r="J392" s="25">
        <v>0</v>
      </c>
      <c r="K392" s="26">
        <v>1</v>
      </c>
      <c r="L392" s="26">
        <v>1</v>
      </c>
      <c r="M392" s="27" t="s">
        <v>23</v>
      </c>
    </row>
    <row r="393" spans="1:13" ht="48">
      <c r="A393" s="1">
        <v>13</v>
      </c>
      <c r="B393" s="22">
        <v>8</v>
      </c>
      <c r="C393" s="23" t="s">
        <v>440</v>
      </c>
      <c r="D393" s="26" t="s">
        <v>16</v>
      </c>
      <c r="E393" s="24">
        <f>2000+1700</f>
        <v>3700</v>
      </c>
      <c r="F393" s="24">
        <f>2000+1700</f>
        <v>3700</v>
      </c>
      <c r="G393" s="25">
        <f>0+0</f>
        <v>0</v>
      </c>
      <c r="H393" s="24">
        <f t="shared" si="22"/>
        <v>3700</v>
      </c>
      <c r="I393" s="24">
        <v>3700</v>
      </c>
      <c r="J393" s="25">
        <v>0</v>
      </c>
      <c r="K393" s="26">
        <v>1</v>
      </c>
      <c r="L393" s="26"/>
      <c r="M393" s="27" t="s">
        <v>23</v>
      </c>
    </row>
    <row r="394" spans="1:13" ht="64">
      <c r="A394" s="1">
        <v>13</v>
      </c>
      <c r="B394" s="22">
        <v>9</v>
      </c>
      <c r="C394" s="23" t="s">
        <v>441</v>
      </c>
      <c r="D394" s="26" t="s">
        <v>151</v>
      </c>
      <c r="E394" s="24">
        <v>8826.7150000000001</v>
      </c>
      <c r="F394" s="24">
        <v>6826.7150000000001</v>
      </c>
      <c r="G394" s="25">
        <v>2000</v>
      </c>
      <c r="H394" s="24">
        <f t="shared" ref="H394:H457" si="24">I394+J394</f>
        <v>8826.7150000000001</v>
      </c>
      <c r="I394" s="24">
        <v>6826.7150000000001</v>
      </c>
      <c r="J394" s="25">
        <v>2000</v>
      </c>
      <c r="K394" s="26">
        <v>1</v>
      </c>
      <c r="L394" s="26"/>
      <c r="M394" s="27"/>
    </row>
    <row r="395" spans="1:13" ht="32">
      <c r="A395" s="1">
        <v>13</v>
      </c>
      <c r="B395" s="22">
        <v>10</v>
      </c>
      <c r="C395" s="23" t="s">
        <v>442</v>
      </c>
      <c r="D395" s="26" t="s">
        <v>16</v>
      </c>
      <c r="E395" s="24">
        <f>3500+1237</f>
        <v>4737</v>
      </c>
      <c r="F395" s="24">
        <f>3500+1237</f>
        <v>4737</v>
      </c>
      <c r="G395" s="25">
        <f>0+0</f>
        <v>0</v>
      </c>
      <c r="H395" s="24">
        <f t="shared" si="24"/>
        <v>858.30799999999999</v>
      </c>
      <c r="I395" s="24">
        <v>858.30799999999999</v>
      </c>
      <c r="J395" s="25">
        <v>0</v>
      </c>
      <c r="K395" s="26">
        <v>1</v>
      </c>
      <c r="L395" s="26"/>
      <c r="M395" s="27" t="s">
        <v>23</v>
      </c>
    </row>
    <row r="396" spans="1:13" ht="48">
      <c r="A396" s="1">
        <v>13</v>
      </c>
      <c r="B396" s="22">
        <v>11</v>
      </c>
      <c r="C396" s="23" t="s">
        <v>443</v>
      </c>
      <c r="D396" s="29" t="s">
        <v>21</v>
      </c>
      <c r="E396" s="24">
        <f>1100+1100</f>
        <v>2200</v>
      </c>
      <c r="F396" s="24">
        <f>1100+0</f>
        <v>1100</v>
      </c>
      <c r="G396" s="25">
        <f>0+1100</f>
        <v>1100</v>
      </c>
      <c r="H396" s="24">
        <f t="shared" si="24"/>
        <v>2159.777</v>
      </c>
      <c r="I396" s="24">
        <v>1098.3340000000001</v>
      </c>
      <c r="J396" s="25">
        <v>1061.443</v>
      </c>
      <c r="K396" s="26">
        <v>1</v>
      </c>
      <c r="L396" s="26">
        <v>1</v>
      </c>
      <c r="M396" s="27" t="s">
        <v>23</v>
      </c>
    </row>
    <row r="397" spans="1:13" ht="48">
      <c r="A397" s="1">
        <v>13</v>
      </c>
      <c r="B397" s="22">
        <v>12</v>
      </c>
      <c r="C397" s="23" t="s">
        <v>444</v>
      </c>
      <c r="D397" s="26" t="s">
        <v>342</v>
      </c>
      <c r="E397" s="24">
        <f>2000+3000</f>
        <v>5000</v>
      </c>
      <c r="F397" s="24">
        <f>2000+0</f>
        <v>2000</v>
      </c>
      <c r="G397" s="25">
        <f>0+3000</f>
        <v>3000</v>
      </c>
      <c r="H397" s="24">
        <f t="shared" si="24"/>
        <v>5000</v>
      </c>
      <c r="I397" s="24">
        <v>2000</v>
      </c>
      <c r="J397" s="25">
        <v>3000</v>
      </c>
      <c r="K397" s="26">
        <v>1</v>
      </c>
      <c r="L397" s="26"/>
      <c r="M397" s="27" t="s">
        <v>23</v>
      </c>
    </row>
    <row r="398" spans="1:13" ht="32">
      <c r="A398" s="1">
        <v>13</v>
      </c>
      <c r="B398" s="22">
        <v>13</v>
      </c>
      <c r="C398" s="23" t="s">
        <v>445</v>
      </c>
      <c r="D398" s="26" t="s">
        <v>21</v>
      </c>
      <c r="E398" s="24">
        <f>11200+4000</f>
        <v>15200</v>
      </c>
      <c r="F398" s="24">
        <f>8029.407+0</f>
        <v>8029.4070000000002</v>
      </c>
      <c r="G398" s="25">
        <f>3170.593+4000</f>
        <v>7170.5929999999998</v>
      </c>
      <c r="H398" s="24">
        <f t="shared" si="24"/>
        <v>15134.125</v>
      </c>
      <c r="I398" s="24">
        <v>8026.1970000000001</v>
      </c>
      <c r="J398" s="25">
        <v>7107.9279999999999</v>
      </c>
      <c r="K398" s="26">
        <v>1</v>
      </c>
      <c r="L398" s="26">
        <v>1</v>
      </c>
      <c r="M398" s="27" t="s">
        <v>23</v>
      </c>
    </row>
    <row r="399" spans="1:13" ht="48">
      <c r="A399" s="1">
        <v>13</v>
      </c>
      <c r="B399" s="22">
        <v>14</v>
      </c>
      <c r="C399" s="23" t="s">
        <v>446</v>
      </c>
      <c r="D399" s="26" t="s">
        <v>21</v>
      </c>
      <c r="E399" s="24">
        <f>15000+2000</f>
        <v>17000</v>
      </c>
      <c r="F399" s="24">
        <f>15000+0</f>
        <v>15000</v>
      </c>
      <c r="G399" s="25">
        <f>0+2000</f>
        <v>2000</v>
      </c>
      <c r="H399" s="24">
        <f t="shared" si="24"/>
        <v>15434.343000000001</v>
      </c>
      <c r="I399" s="24">
        <v>15000</v>
      </c>
      <c r="J399" s="25">
        <v>434.34300000000002</v>
      </c>
      <c r="K399" s="26">
        <v>1</v>
      </c>
      <c r="L399" s="26"/>
      <c r="M399" s="27" t="s">
        <v>23</v>
      </c>
    </row>
    <row r="400" spans="1:13" ht="48">
      <c r="A400" s="1">
        <v>13</v>
      </c>
      <c r="B400" s="22">
        <v>15</v>
      </c>
      <c r="C400" s="23" t="s">
        <v>447</v>
      </c>
      <c r="D400" s="26" t="s">
        <v>338</v>
      </c>
      <c r="E400" s="24">
        <v>12150</v>
      </c>
      <c r="F400" s="24">
        <v>12150</v>
      </c>
      <c r="G400" s="25">
        <v>0</v>
      </c>
      <c r="H400" s="24">
        <f t="shared" si="24"/>
        <v>12149.991</v>
      </c>
      <c r="I400" s="24">
        <v>12149.991</v>
      </c>
      <c r="J400" s="25">
        <v>0</v>
      </c>
      <c r="K400" s="26">
        <v>1</v>
      </c>
      <c r="L400" s="26"/>
      <c r="M400" s="27"/>
    </row>
    <row r="401" spans="1:13" ht="48">
      <c r="A401" s="1">
        <v>13</v>
      </c>
      <c r="B401" s="22">
        <v>16</v>
      </c>
      <c r="C401" s="23" t="s">
        <v>448</v>
      </c>
      <c r="D401" s="26" t="s">
        <v>19</v>
      </c>
      <c r="E401" s="24">
        <v>3500</v>
      </c>
      <c r="F401" s="24">
        <v>3500</v>
      </c>
      <c r="G401" s="25">
        <v>0</v>
      </c>
      <c r="H401" s="24">
        <f t="shared" si="24"/>
        <v>3500</v>
      </c>
      <c r="I401" s="24">
        <v>3500</v>
      </c>
      <c r="J401" s="25">
        <v>0</v>
      </c>
      <c r="K401" s="26">
        <v>1</v>
      </c>
      <c r="L401" s="26"/>
      <c r="M401" s="27"/>
    </row>
    <row r="402" spans="1:13" ht="64">
      <c r="A402" s="1">
        <v>13</v>
      </c>
      <c r="B402" s="22">
        <v>17</v>
      </c>
      <c r="C402" s="23" t="s">
        <v>449</v>
      </c>
      <c r="D402" s="26" t="s">
        <v>61</v>
      </c>
      <c r="E402" s="24">
        <f>3854.859-1000</f>
        <v>2854.8589999999999</v>
      </c>
      <c r="F402" s="24">
        <f>3854.859-1000</f>
        <v>2854.8589999999999</v>
      </c>
      <c r="G402" s="25">
        <f>0-0</f>
        <v>0</v>
      </c>
      <c r="H402" s="24">
        <f t="shared" si="24"/>
        <v>2854.7890000000002</v>
      </c>
      <c r="I402" s="24">
        <v>2854.7890000000002</v>
      </c>
      <c r="J402" s="25">
        <v>0</v>
      </c>
      <c r="K402" s="26">
        <v>1</v>
      </c>
      <c r="L402" s="26"/>
      <c r="M402" s="27" t="s">
        <v>48</v>
      </c>
    </row>
    <row r="403" spans="1:13" ht="32">
      <c r="A403" s="1">
        <v>13</v>
      </c>
      <c r="B403" s="22">
        <v>18</v>
      </c>
      <c r="C403" s="23" t="s">
        <v>450</v>
      </c>
      <c r="D403" s="26" t="s">
        <v>16</v>
      </c>
      <c r="E403" s="24">
        <f>2000+1000</f>
        <v>3000</v>
      </c>
      <c r="F403" s="24">
        <f>2000+1000</f>
        <v>3000</v>
      </c>
      <c r="G403" s="25">
        <f>0+0</f>
        <v>0</v>
      </c>
      <c r="H403" s="24">
        <f t="shared" si="24"/>
        <v>3000</v>
      </c>
      <c r="I403" s="24">
        <v>3000</v>
      </c>
      <c r="J403" s="25">
        <v>0</v>
      </c>
      <c r="K403" s="26">
        <v>1</v>
      </c>
      <c r="L403" s="26"/>
      <c r="M403" s="27" t="s">
        <v>23</v>
      </c>
    </row>
    <row r="404" spans="1:13" ht="48">
      <c r="A404" s="1">
        <v>13</v>
      </c>
      <c r="B404" s="22">
        <v>19</v>
      </c>
      <c r="C404" s="23" t="s">
        <v>451</v>
      </c>
      <c r="D404" s="26">
        <v>2019</v>
      </c>
      <c r="E404" s="24">
        <f>4000+15000</f>
        <v>19000</v>
      </c>
      <c r="F404" s="24">
        <f>2000+15000</f>
        <v>17000</v>
      </c>
      <c r="G404" s="25">
        <v>2000</v>
      </c>
      <c r="H404" s="24">
        <f t="shared" si="24"/>
        <v>17766.157999999999</v>
      </c>
      <c r="I404" s="24">
        <v>15766.157999999999</v>
      </c>
      <c r="J404" s="25">
        <v>2000</v>
      </c>
      <c r="K404" s="26">
        <v>1</v>
      </c>
      <c r="L404" s="26">
        <v>1</v>
      </c>
      <c r="M404" s="27" t="s">
        <v>23</v>
      </c>
    </row>
    <row r="405" spans="1:13" ht="32">
      <c r="A405" s="1">
        <v>13</v>
      </c>
      <c r="B405" s="22">
        <v>20</v>
      </c>
      <c r="C405" s="23" t="s">
        <v>452</v>
      </c>
      <c r="D405" s="26" t="s">
        <v>453</v>
      </c>
      <c r="E405" s="24">
        <v>3000</v>
      </c>
      <c r="F405" s="24">
        <v>3000</v>
      </c>
      <c r="G405" s="25">
        <v>0</v>
      </c>
      <c r="H405" s="24">
        <f t="shared" si="24"/>
        <v>3000</v>
      </c>
      <c r="I405" s="24">
        <v>3000</v>
      </c>
      <c r="J405" s="25">
        <v>0</v>
      </c>
      <c r="K405" s="26">
        <v>1</v>
      </c>
      <c r="L405" s="26"/>
      <c r="M405" s="27"/>
    </row>
    <row r="406" spans="1:13" ht="48">
      <c r="A406" s="1">
        <v>13</v>
      </c>
      <c r="B406" s="22">
        <v>21</v>
      </c>
      <c r="C406" s="23" t="s">
        <v>454</v>
      </c>
      <c r="D406" s="26" t="s">
        <v>342</v>
      </c>
      <c r="E406" s="24">
        <v>11000</v>
      </c>
      <c r="F406" s="24">
        <v>11000</v>
      </c>
      <c r="G406" s="25">
        <v>0</v>
      </c>
      <c r="H406" s="24">
        <f t="shared" si="24"/>
        <v>11000</v>
      </c>
      <c r="I406" s="24">
        <v>11000</v>
      </c>
      <c r="J406" s="25">
        <v>0</v>
      </c>
      <c r="K406" s="26">
        <v>1</v>
      </c>
      <c r="L406" s="26"/>
      <c r="M406" s="27"/>
    </row>
    <row r="407" spans="1:13" ht="32">
      <c r="A407" s="1">
        <v>13</v>
      </c>
      <c r="B407" s="30">
        <v>22</v>
      </c>
      <c r="C407" s="31" t="s">
        <v>455</v>
      </c>
      <c r="D407" s="71"/>
      <c r="E407" s="32">
        <f>2000-2000</f>
        <v>0</v>
      </c>
      <c r="F407" s="32">
        <f>2000-2000</f>
        <v>0</v>
      </c>
      <c r="G407" s="33">
        <f>0-0</f>
        <v>0</v>
      </c>
      <c r="H407" s="32">
        <f t="shared" si="24"/>
        <v>0</v>
      </c>
      <c r="I407" s="32"/>
      <c r="J407" s="33"/>
      <c r="K407" s="34">
        <f>1-1</f>
        <v>0</v>
      </c>
      <c r="L407" s="34">
        <f>1-1</f>
        <v>0</v>
      </c>
      <c r="M407" s="35" t="s">
        <v>28</v>
      </c>
    </row>
    <row r="408" spans="1:13" ht="48">
      <c r="A408" s="1">
        <v>13</v>
      </c>
      <c r="B408" s="22">
        <v>23</v>
      </c>
      <c r="C408" s="23" t="s">
        <v>456</v>
      </c>
      <c r="D408" s="26" t="s">
        <v>16</v>
      </c>
      <c r="E408" s="24">
        <f>7000+2000</f>
        <v>9000</v>
      </c>
      <c r="F408" s="24">
        <f>7000+2000</f>
        <v>9000</v>
      </c>
      <c r="G408" s="25">
        <f>0+0</f>
        <v>0</v>
      </c>
      <c r="H408" s="24">
        <f t="shared" si="24"/>
        <v>8994.5769999999993</v>
      </c>
      <c r="I408" s="24">
        <v>8994.5769999999993</v>
      </c>
      <c r="J408" s="25">
        <v>0</v>
      </c>
      <c r="K408" s="26">
        <v>1</v>
      </c>
      <c r="L408" s="26"/>
      <c r="M408" s="27" t="s">
        <v>23</v>
      </c>
    </row>
    <row r="409" spans="1:13" ht="32">
      <c r="A409" s="1">
        <v>13</v>
      </c>
      <c r="B409" s="22">
        <v>24</v>
      </c>
      <c r="C409" s="23" t="s">
        <v>457</v>
      </c>
      <c r="D409" s="26" t="s">
        <v>16</v>
      </c>
      <c r="E409" s="24">
        <v>2000</v>
      </c>
      <c r="F409" s="24">
        <v>2000</v>
      </c>
      <c r="G409" s="25">
        <v>0</v>
      </c>
      <c r="H409" s="24">
        <f t="shared" si="24"/>
        <v>2000</v>
      </c>
      <c r="I409" s="24">
        <v>2000</v>
      </c>
      <c r="J409" s="25">
        <v>0</v>
      </c>
      <c r="K409" s="26">
        <v>1</v>
      </c>
      <c r="L409" s="26"/>
      <c r="M409" s="27"/>
    </row>
    <row r="410" spans="1:13" ht="80">
      <c r="A410" s="1">
        <v>13</v>
      </c>
      <c r="B410" s="22">
        <v>25</v>
      </c>
      <c r="C410" s="23" t="s">
        <v>458</v>
      </c>
      <c r="D410" s="26" t="s">
        <v>34</v>
      </c>
      <c r="E410" s="24">
        <f>2000+2000</f>
        <v>4000</v>
      </c>
      <c r="F410" s="24">
        <f>2000+1900</f>
        <v>3900</v>
      </c>
      <c r="G410" s="25">
        <f>0+100</f>
        <v>100</v>
      </c>
      <c r="H410" s="24">
        <f t="shared" si="24"/>
        <v>3995.4</v>
      </c>
      <c r="I410" s="24">
        <v>3900</v>
      </c>
      <c r="J410" s="25">
        <v>95.4</v>
      </c>
      <c r="K410" s="26">
        <v>1</v>
      </c>
      <c r="L410" s="26"/>
      <c r="M410" s="27" t="s">
        <v>23</v>
      </c>
    </row>
    <row r="411" spans="1:13" ht="48">
      <c r="A411" s="1">
        <v>13</v>
      </c>
      <c r="B411" s="22">
        <v>26</v>
      </c>
      <c r="C411" s="23" t="s">
        <v>459</v>
      </c>
      <c r="D411" s="24" t="s">
        <v>16</v>
      </c>
      <c r="E411" s="24">
        <v>17531.973000000002</v>
      </c>
      <c r="F411" s="24">
        <v>12000</v>
      </c>
      <c r="G411" s="25">
        <v>5531.973</v>
      </c>
      <c r="H411" s="24">
        <f t="shared" si="24"/>
        <v>17113.178</v>
      </c>
      <c r="I411" s="24">
        <v>11868.48</v>
      </c>
      <c r="J411" s="25">
        <v>5244.6980000000003</v>
      </c>
      <c r="K411" s="26">
        <v>1</v>
      </c>
      <c r="L411" s="26"/>
      <c r="M411" s="27"/>
    </row>
    <row r="412" spans="1:13" ht="48">
      <c r="A412" s="1">
        <v>13</v>
      </c>
      <c r="B412" s="22">
        <v>27</v>
      </c>
      <c r="C412" s="23" t="s">
        <v>460</v>
      </c>
      <c r="D412" s="26" t="s">
        <v>16</v>
      </c>
      <c r="E412" s="24">
        <v>1500</v>
      </c>
      <c r="F412" s="24">
        <v>1500</v>
      </c>
      <c r="G412" s="25">
        <v>0</v>
      </c>
      <c r="H412" s="24">
        <f t="shared" si="24"/>
        <v>1500</v>
      </c>
      <c r="I412" s="24">
        <v>1500</v>
      </c>
      <c r="J412" s="25">
        <v>0</v>
      </c>
      <c r="K412" s="26">
        <v>1</v>
      </c>
      <c r="L412" s="26"/>
      <c r="M412" s="27"/>
    </row>
    <row r="413" spans="1:13" ht="64">
      <c r="A413" s="1">
        <v>13</v>
      </c>
      <c r="B413" s="22">
        <v>28</v>
      </c>
      <c r="C413" s="23" t="s">
        <v>461</v>
      </c>
      <c r="D413" s="26" t="s">
        <v>34</v>
      </c>
      <c r="E413" s="24">
        <f>5000-1888</f>
        <v>3112</v>
      </c>
      <c r="F413" s="24">
        <f>3000-1888</f>
        <v>1112</v>
      </c>
      <c r="G413" s="25">
        <f>2000-0</f>
        <v>2000</v>
      </c>
      <c r="H413" s="24">
        <f t="shared" si="24"/>
        <v>3112</v>
      </c>
      <c r="I413" s="24">
        <v>1112</v>
      </c>
      <c r="J413" s="25">
        <v>2000</v>
      </c>
      <c r="K413" s="26">
        <v>1</v>
      </c>
      <c r="L413" s="26"/>
      <c r="M413" s="27" t="s">
        <v>48</v>
      </c>
    </row>
    <row r="414" spans="1:13" ht="48">
      <c r="A414" s="1">
        <v>13</v>
      </c>
      <c r="B414" s="22">
        <v>29</v>
      </c>
      <c r="C414" s="23" t="s">
        <v>462</v>
      </c>
      <c r="D414" s="26">
        <v>2019</v>
      </c>
      <c r="E414" s="24">
        <f>4650+2900</f>
        <v>7550</v>
      </c>
      <c r="F414" s="24">
        <f>3000+2900</f>
        <v>5900</v>
      </c>
      <c r="G414" s="25">
        <f>1650+0</f>
        <v>1650</v>
      </c>
      <c r="H414" s="24">
        <f t="shared" si="24"/>
        <v>5973.2489999999998</v>
      </c>
      <c r="I414" s="24">
        <v>4324.2719999999999</v>
      </c>
      <c r="J414" s="25">
        <v>1648.9770000000001</v>
      </c>
      <c r="K414" s="26">
        <v>1</v>
      </c>
      <c r="L414" s="26">
        <v>1</v>
      </c>
      <c r="M414" s="27" t="s">
        <v>23</v>
      </c>
    </row>
    <row r="415" spans="1:13" ht="32">
      <c r="A415" s="1">
        <v>13</v>
      </c>
      <c r="B415" s="22">
        <v>30</v>
      </c>
      <c r="C415" s="23" t="s">
        <v>463</v>
      </c>
      <c r="D415" s="26" t="s">
        <v>464</v>
      </c>
      <c r="E415" s="24">
        <v>1000</v>
      </c>
      <c r="F415" s="24">
        <v>1000</v>
      </c>
      <c r="G415" s="25">
        <v>0</v>
      </c>
      <c r="H415" s="24">
        <f t="shared" si="24"/>
        <v>1000</v>
      </c>
      <c r="I415" s="24">
        <v>1000</v>
      </c>
      <c r="J415" s="25">
        <v>0</v>
      </c>
      <c r="K415" s="26">
        <v>1</v>
      </c>
      <c r="L415" s="26"/>
      <c r="M415" s="27"/>
    </row>
    <row r="416" spans="1:13" ht="48">
      <c r="A416" s="1">
        <v>13</v>
      </c>
      <c r="B416" s="22">
        <v>31</v>
      </c>
      <c r="C416" s="23" t="s">
        <v>465</v>
      </c>
      <c r="D416" s="26">
        <v>2019</v>
      </c>
      <c r="E416" s="24">
        <f>2000+1425.342</f>
        <v>3425.3420000000001</v>
      </c>
      <c r="F416" s="24">
        <f>2000+1425.342</f>
        <v>3425.3420000000001</v>
      </c>
      <c r="G416" s="25">
        <f>0+0</f>
        <v>0</v>
      </c>
      <c r="H416" s="24">
        <f t="shared" si="24"/>
        <v>3420.9969999999998</v>
      </c>
      <c r="I416" s="24">
        <v>3420.9969999999998</v>
      </c>
      <c r="J416" s="25">
        <v>0</v>
      </c>
      <c r="K416" s="26">
        <v>1</v>
      </c>
      <c r="L416" s="26"/>
      <c r="M416" s="27" t="s">
        <v>23</v>
      </c>
    </row>
    <row r="417" spans="1:13" ht="32">
      <c r="A417" s="1">
        <v>13</v>
      </c>
      <c r="B417" s="22">
        <v>32</v>
      </c>
      <c r="C417" s="23" t="s">
        <v>466</v>
      </c>
      <c r="D417" s="26" t="s">
        <v>34</v>
      </c>
      <c r="E417" s="24">
        <v>3500</v>
      </c>
      <c r="F417" s="24">
        <v>3500</v>
      </c>
      <c r="G417" s="25">
        <v>0</v>
      </c>
      <c r="H417" s="24">
        <f t="shared" si="24"/>
        <v>3498.8589999999999</v>
      </c>
      <c r="I417" s="24">
        <v>3498.8589999999999</v>
      </c>
      <c r="J417" s="25">
        <v>0</v>
      </c>
      <c r="K417" s="26">
        <v>1</v>
      </c>
      <c r="L417" s="26"/>
      <c r="M417" s="27"/>
    </row>
    <row r="418" spans="1:13" ht="64">
      <c r="A418" s="1">
        <v>13</v>
      </c>
      <c r="B418" s="22">
        <v>33</v>
      </c>
      <c r="C418" s="23" t="s">
        <v>467</v>
      </c>
      <c r="D418" s="26">
        <v>2019</v>
      </c>
      <c r="E418" s="24">
        <v>24639.811000000002</v>
      </c>
      <c r="F418" s="24">
        <v>16203.188</v>
      </c>
      <c r="G418" s="25">
        <v>8436.6229999999996</v>
      </c>
      <c r="H418" s="24">
        <f t="shared" si="24"/>
        <v>24562.724000000002</v>
      </c>
      <c r="I418" s="24">
        <v>16126.101000000001</v>
      </c>
      <c r="J418" s="25">
        <v>8436.6229999999996</v>
      </c>
      <c r="K418" s="26">
        <v>1</v>
      </c>
      <c r="L418" s="26"/>
      <c r="M418" s="27"/>
    </row>
    <row r="419" spans="1:13" ht="32">
      <c r="A419" s="1">
        <v>13</v>
      </c>
      <c r="B419" s="22">
        <v>34</v>
      </c>
      <c r="C419" s="23" t="s">
        <v>468</v>
      </c>
      <c r="D419" s="26">
        <v>2019</v>
      </c>
      <c r="E419" s="24">
        <v>10000</v>
      </c>
      <c r="F419" s="24">
        <v>10000</v>
      </c>
      <c r="G419" s="25">
        <v>0</v>
      </c>
      <c r="H419" s="24">
        <f t="shared" si="24"/>
        <v>10000</v>
      </c>
      <c r="I419" s="24">
        <v>10000</v>
      </c>
      <c r="J419" s="25">
        <v>0</v>
      </c>
      <c r="K419" s="26">
        <v>1</v>
      </c>
      <c r="L419" s="26"/>
      <c r="M419" s="27"/>
    </row>
    <row r="420" spans="1:13" ht="32">
      <c r="A420" s="1">
        <v>13</v>
      </c>
      <c r="B420" s="22">
        <v>35</v>
      </c>
      <c r="C420" s="23" t="s">
        <v>469</v>
      </c>
      <c r="D420" s="26">
        <v>2019</v>
      </c>
      <c r="E420" s="24">
        <v>3500</v>
      </c>
      <c r="F420" s="24">
        <v>3500</v>
      </c>
      <c r="G420" s="25">
        <v>0</v>
      </c>
      <c r="H420" s="24">
        <f t="shared" si="24"/>
        <v>3493.2379999999998</v>
      </c>
      <c r="I420" s="24">
        <v>3493.2379999999998</v>
      </c>
      <c r="J420" s="25">
        <v>0</v>
      </c>
      <c r="K420" s="26">
        <v>1</v>
      </c>
      <c r="L420" s="26"/>
      <c r="M420" s="27"/>
    </row>
    <row r="421" spans="1:13" ht="32">
      <c r="A421" s="1">
        <v>13</v>
      </c>
      <c r="B421" s="22">
        <v>36</v>
      </c>
      <c r="C421" s="23" t="s">
        <v>470</v>
      </c>
      <c r="D421" s="26">
        <v>2019</v>
      </c>
      <c r="E421" s="24">
        <v>3450</v>
      </c>
      <c r="F421" s="24">
        <v>3450</v>
      </c>
      <c r="G421" s="25">
        <v>0</v>
      </c>
      <c r="H421" s="24">
        <f t="shared" si="24"/>
        <v>3240.576</v>
      </c>
      <c r="I421" s="24">
        <v>3240.576</v>
      </c>
      <c r="J421" s="25">
        <v>0</v>
      </c>
      <c r="K421" s="26">
        <v>1</v>
      </c>
      <c r="L421" s="26"/>
      <c r="M421" s="27"/>
    </row>
    <row r="422" spans="1:13" ht="48">
      <c r="A422" s="1">
        <v>13</v>
      </c>
      <c r="B422" s="22">
        <v>37</v>
      </c>
      <c r="C422" s="23" t="s">
        <v>471</v>
      </c>
      <c r="D422" s="26" t="s">
        <v>34</v>
      </c>
      <c r="E422" s="24">
        <v>6500</v>
      </c>
      <c r="F422" s="24">
        <v>6500</v>
      </c>
      <c r="G422" s="25">
        <v>0</v>
      </c>
      <c r="H422" s="24">
        <f t="shared" si="24"/>
        <v>6493.9409999999998</v>
      </c>
      <c r="I422" s="24">
        <v>6493.9409999999998</v>
      </c>
      <c r="J422" s="25">
        <v>0</v>
      </c>
      <c r="K422" s="26">
        <v>1</v>
      </c>
      <c r="L422" s="26"/>
      <c r="M422" s="27"/>
    </row>
    <row r="423" spans="1:13" ht="32">
      <c r="A423" s="1">
        <v>13</v>
      </c>
      <c r="B423" s="22">
        <v>38</v>
      </c>
      <c r="C423" s="23" t="s">
        <v>472</v>
      </c>
      <c r="D423" s="26">
        <v>2019</v>
      </c>
      <c r="E423" s="24">
        <v>4128.9040000000005</v>
      </c>
      <c r="F423" s="24">
        <v>4128.9040000000005</v>
      </c>
      <c r="G423" s="25">
        <v>0</v>
      </c>
      <c r="H423" s="24">
        <f t="shared" si="24"/>
        <v>3638.7</v>
      </c>
      <c r="I423" s="24">
        <v>3638.7</v>
      </c>
      <c r="J423" s="25">
        <v>0</v>
      </c>
      <c r="K423" s="26">
        <v>1</v>
      </c>
      <c r="L423" s="26">
        <v>1</v>
      </c>
      <c r="M423" s="27"/>
    </row>
    <row r="424" spans="1:13" ht="48">
      <c r="A424" s="1">
        <v>13</v>
      </c>
      <c r="B424" s="22">
        <v>39</v>
      </c>
      <c r="C424" s="23" t="s">
        <v>473</v>
      </c>
      <c r="D424" s="26" t="s">
        <v>474</v>
      </c>
      <c r="E424" s="24">
        <v>1000</v>
      </c>
      <c r="F424" s="24">
        <v>1000</v>
      </c>
      <c r="G424" s="25">
        <v>0</v>
      </c>
      <c r="H424" s="24">
        <f t="shared" si="24"/>
        <v>1000</v>
      </c>
      <c r="I424" s="24">
        <v>1000</v>
      </c>
      <c r="J424" s="25">
        <v>0</v>
      </c>
      <c r="K424" s="26">
        <v>1</v>
      </c>
      <c r="L424" s="26"/>
      <c r="M424" s="27"/>
    </row>
    <row r="425" spans="1:13" ht="48">
      <c r="A425" s="1">
        <v>13</v>
      </c>
      <c r="B425" s="30">
        <v>40</v>
      </c>
      <c r="C425" s="31" t="s">
        <v>475</v>
      </c>
      <c r="D425" s="72"/>
      <c r="E425" s="32">
        <f>3500-3500</f>
        <v>0</v>
      </c>
      <c r="F425" s="32">
        <f>3500-3500</f>
        <v>0</v>
      </c>
      <c r="G425" s="33">
        <f>0-0</f>
        <v>0</v>
      </c>
      <c r="H425" s="32">
        <f t="shared" si="24"/>
        <v>0</v>
      </c>
      <c r="I425" s="32"/>
      <c r="J425" s="33"/>
      <c r="K425" s="34">
        <f>1-1</f>
        <v>0</v>
      </c>
      <c r="L425" s="34">
        <f>1-1</f>
        <v>0</v>
      </c>
      <c r="M425" s="35" t="s">
        <v>28</v>
      </c>
    </row>
    <row r="426" spans="1:13" ht="32">
      <c r="A426" s="1">
        <v>13</v>
      </c>
      <c r="B426" s="22">
        <v>41</v>
      </c>
      <c r="C426" s="23" t="s">
        <v>476</v>
      </c>
      <c r="D426" s="26" t="s">
        <v>338</v>
      </c>
      <c r="E426" s="24">
        <v>23255.463</v>
      </c>
      <c r="F426" s="24">
        <v>23255.463</v>
      </c>
      <c r="G426" s="25">
        <v>0</v>
      </c>
      <c r="H426" s="24">
        <f t="shared" si="24"/>
        <v>23255.463</v>
      </c>
      <c r="I426" s="24">
        <v>23255.463</v>
      </c>
      <c r="J426" s="25">
        <v>0</v>
      </c>
      <c r="K426" s="26">
        <v>1</v>
      </c>
      <c r="L426" s="26">
        <v>1</v>
      </c>
      <c r="M426" s="27"/>
    </row>
    <row r="427" spans="1:13" ht="32">
      <c r="A427" s="1">
        <v>13</v>
      </c>
      <c r="B427" s="22">
        <v>42</v>
      </c>
      <c r="C427" s="23" t="s">
        <v>477</v>
      </c>
      <c r="D427" s="26" t="s">
        <v>19</v>
      </c>
      <c r="E427" s="24">
        <f>19374.342-13374.342</f>
        <v>6000</v>
      </c>
      <c r="F427" s="24">
        <f>19374.342-13374.342</f>
        <v>6000</v>
      </c>
      <c r="G427" s="25">
        <v>0</v>
      </c>
      <c r="H427" s="24">
        <f t="shared" si="24"/>
        <v>3083.768</v>
      </c>
      <c r="I427" s="24">
        <v>3083.768</v>
      </c>
      <c r="J427" s="25">
        <v>0</v>
      </c>
      <c r="K427" s="26">
        <v>1</v>
      </c>
      <c r="L427" s="26"/>
      <c r="M427" s="27" t="s">
        <v>48</v>
      </c>
    </row>
    <row r="428" spans="1:13" ht="64">
      <c r="A428" s="1">
        <v>13</v>
      </c>
      <c r="B428" s="22">
        <v>43</v>
      </c>
      <c r="C428" s="23" t="s">
        <v>478</v>
      </c>
      <c r="D428" s="26" t="s">
        <v>34</v>
      </c>
      <c r="E428" s="24">
        <v>5000</v>
      </c>
      <c r="F428" s="24">
        <v>5000</v>
      </c>
      <c r="G428" s="25">
        <v>0</v>
      </c>
      <c r="H428" s="24">
        <f t="shared" si="24"/>
        <v>5000</v>
      </c>
      <c r="I428" s="24">
        <v>5000</v>
      </c>
      <c r="J428" s="25">
        <v>0</v>
      </c>
      <c r="K428" s="26">
        <v>1</v>
      </c>
      <c r="L428" s="26"/>
      <c r="M428" s="27"/>
    </row>
    <row r="429" spans="1:13" ht="32">
      <c r="A429" s="1">
        <v>13</v>
      </c>
      <c r="B429" s="22">
        <v>44</v>
      </c>
      <c r="C429" s="23" t="s">
        <v>479</v>
      </c>
      <c r="D429" s="70">
        <v>2019</v>
      </c>
      <c r="E429" s="24">
        <v>6885.41</v>
      </c>
      <c r="F429" s="24">
        <v>6885.41</v>
      </c>
      <c r="G429" s="25">
        <v>0</v>
      </c>
      <c r="H429" s="24">
        <f t="shared" si="24"/>
        <v>6336.4250000000002</v>
      </c>
      <c r="I429" s="24">
        <v>6336.4250000000002</v>
      </c>
      <c r="J429" s="25">
        <v>0</v>
      </c>
      <c r="K429" s="26">
        <v>1</v>
      </c>
      <c r="L429" s="26">
        <v>1</v>
      </c>
      <c r="M429" s="27"/>
    </row>
    <row r="430" spans="1:13" ht="32">
      <c r="A430" s="1">
        <v>13</v>
      </c>
      <c r="B430" s="22">
        <v>45</v>
      </c>
      <c r="C430" s="23" t="s">
        <v>480</v>
      </c>
      <c r="D430" s="26" t="s">
        <v>342</v>
      </c>
      <c r="E430" s="24">
        <v>3456.3130000000001</v>
      </c>
      <c r="F430" s="24">
        <v>3456.3130000000001</v>
      </c>
      <c r="G430" s="25">
        <v>0</v>
      </c>
      <c r="H430" s="24">
        <f t="shared" si="24"/>
        <v>2911.085</v>
      </c>
      <c r="I430" s="24">
        <v>2911.085</v>
      </c>
      <c r="J430" s="25">
        <v>0</v>
      </c>
      <c r="K430" s="26">
        <v>1</v>
      </c>
      <c r="L430" s="26">
        <v>1</v>
      </c>
      <c r="M430" s="27"/>
    </row>
    <row r="431" spans="1:13" ht="32">
      <c r="A431" s="1">
        <v>13</v>
      </c>
      <c r="B431" s="22">
        <v>46</v>
      </c>
      <c r="C431" s="23" t="s">
        <v>481</v>
      </c>
      <c r="D431" s="26" t="s">
        <v>34</v>
      </c>
      <c r="E431" s="24">
        <v>7000</v>
      </c>
      <c r="F431" s="24">
        <v>7000</v>
      </c>
      <c r="G431" s="25">
        <v>0</v>
      </c>
      <c r="H431" s="24">
        <f t="shared" si="24"/>
        <v>7000</v>
      </c>
      <c r="I431" s="24">
        <v>7000</v>
      </c>
      <c r="J431" s="25">
        <v>0</v>
      </c>
      <c r="K431" s="26">
        <v>1</v>
      </c>
      <c r="L431" s="26"/>
      <c r="M431" s="27"/>
    </row>
    <row r="432" spans="1:13" ht="32">
      <c r="A432" s="1">
        <v>13</v>
      </c>
      <c r="B432" s="22">
        <v>47</v>
      </c>
      <c r="C432" s="23" t="s">
        <v>482</v>
      </c>
      <c r="D432" s="26">
        <v>2019</v>
      </c>
      <c r="E432" s="24">
        <v>5600</v>
      </c>
      <c r="F432" s="24">
        <v>5600</v>
      </c>
      <c r="G432" s="25">
        <v>0</v>
      </c>
      <c r="H432" s="24">
        <f t="shared" si="24"/>
        <v>5594.8370000000004</v>
      </c>
      <c r="I432" s="24">
        <v>5594.8370000000004</v>
      </c>
      <c r="J432" s="25">
        <v>0</v>
      </c>
      <c r="K432" s="26">
        <v>1</v>
      </c>
      <c r="L432" s="26">
        <v>1</v>
      </c>
      <c r="M432" s="27"/>
    </row>
    <row r="433" spans="1:13" ht="48">
      <c r="A433" s="1">
        <v>13</v>
      </c>
      <c r="B433" s="22">
        <v>48</v>
      </c>
      <c r="C433" s="23" t="s">
        <v>483</v>
      </c>
      <c r="D433" s="26" t="s">
        <v>484</v>
      </c>
      <c r="E433" s="24">
        <v>7000</v>
      </c>
      <c r="F433" s="24">
        <v>7000</v>
      </c>
      <c r="G433" s="25">
        <v>0</v>
      </c>
      <c r="H433" s="24">
        <f t="shared" si="24"/>
        <v>7000</v>
      </c>
      <c r="I433" s="24">
        <v>7000</v>
      </c>
      <c r="J433" s="25">
        <v>0</v>
      </c>
      <c r="K433" s="26">
        <v>1</v>
      </c>
      <c r="L433" s="26"/>
      <c r="M433" s="27"/>
    </row>
    <row r="434" spans="1:13" ht="64">
      <c r="A434" s="1">
        <v>13</v>
      </c>
      <c r="B434" s="22">
        <v>49</v>
      </c>
      <c r="C434" s="23" t="s">
        <v>485</v>
      </c>
      <c r="D434" s="24" t="s">
        <v>34</v>
      </c>
      <c r="E434" s="24">
        <v>9545.1409999999996</v>
      </c>
      <c r="F434" s="24">
        <v>5900</v>
      </c>
      <c r="G434" s="25">
        <v>3645.1410000000001</v>
      </c>
      <c r="H434" s="24">
        <f t="shared" si="24"/>
        <v>9510.107</v>
      </c>
      <c r="I434" s="24">
        <v>5864.9660000000003</v>
      </c>
      <c r="J434" s="25">
        <v>3645.1410000000001</v>
      </c>
      <c r="K434" s="26">
        <v>1</v>
      </c>
      <c r="L434" s="26"/>
      <c r="M434" s="27"/>
    </row>
    <row r="435" spans="1:13" ht="32">
      <c r="A435" s="1">
        <v>13</v>
      </c>
      <c r="B435" s="22">
        <v>50</v>
      </c>
      <c r="C435" s="23" t="s">
        <v>486</v>
      </c>
      <c r="D435" s="73">
        <v>2019</v>
      </c>
      <c r="E435" s="24">
        <v>4000</v>
      </c>
      <c r="F435" s="24">
        <v>4000</v>
      </c>
      <c r="G435" s="25">
        <v>0</v>
      </c>
      <c r="H435" s="24">
        <f t="shared" si="24"/>
        <v>3992.027</v>
      </c>
      <c r="I435" s="24">
        <v>3992.027</v>
      </c>
      <c r="J435" s="25">
        <v>0</v>
      </c>
      <c r="K435" s="26">
        <v>1</v>
      </c>
      <c r="L435" s="26">
        <v>1</v>
      </c>
      <c r="M435" s="27"/>
    </row>
    <row r="436" spans="1:13" ht="48">
      <c r="A436" s="1">
        <v>13</v>
      </c>
      <c r="B436" s="22">
        <v>51</v>
      </c>
      <c r="C436" s="23" t="s">
        <v>487</v>
      </c>
      <c r="D436" s="26" t="s">
        <v>34</v>
      </c>
      <c r="E436" s="24">
        <f>9000+3500</f>
        <v>12500</v>
      </c>
      <c r="F436" s="24">
        <f>9000+2400</f>
        <v>11400</v>
      </c>
      <c r="G436" s="25">
        <f>0+1100</f>
        <v>1100</v>
      </c>
      <c r="H436" s="24">
        <f t="shared" si="24"/>
        <v>12492.319</v>
      </c>
      <c r="I436" s="24">
        <v>11392.319</v>
      </c>
      <c r="J436" s="25">
        <v>1100</v>
      </c>
      <c r="K436" s="26">
        <v>1</v>
      </c>
      <c r="L436" s="26"/>
      <c r="M436" s="27" t="s">
        <v>23</v>
      </c>
    </row>
    <row r="437" spans="1:13" ht="65" thickBot="1">
      <c r="A437" s="1">
        <v>13</v>
      </c>
      <c r="B437" s="36">
        <v>52</v>
      </c>
      <c r="C437" s="37" t="s">
        <v>488</v>
      </c>
      <c r="D437" s="38" t="s">
        <v>34</v>
      </c>
      <c r="E437" s="38">
        <v>6570.7219999999998</v>
      </c>
      <c r="F437" s="38">
        <v>3570.7220000000002</v>
      </c>
      <c r="G437" s="39">
        <v>3000</v>
      </c>
      <c r="H437" s="38">
        <f t="shared" si="24"/>
        <v>3965.1910000000003</v>
      </c>
      <c r="I437" s="38">
        <v>970.78599999999994</v>
      </c>
      <c r="J437" s="39">
        <v>2994.4050000000002</v>
      </c>
      <c r="K437" s="40">
        <v>1</v>
      </c>
      <c r="L437" s="40"/>
      <c r="M437" s="41"/>
    </row>
    <row r="438" spans="1:13" ht="64">
      <c r="A438" s="1">
        <v>14</v>
      </c>
      <c r="B438" s="15"/>
      <c r="C438" s="16" t="s">
        <v>489</v>
      </c>
      <c r="D438" s="16"/>
      <c r="E438" s="17">
        <f>SUM(E439:E443)</f>
        <v>153993.21399999998</v>
      </c>
      <c r="F438" s="17">
        <f t="shared" ref="F438:J438" si="25">SUM(F439:F443)</f>
        <v>132515.77799999999</v>
      </c>
      <c r="G438" s="18">
        <f t="shared" si="25"/>
        <v>21477.436000000002</v>
      </c>
      <c r="H438" s="17">
        <f t="shared" si="24"/>
        <v>104577.32100000001</v>
      </c>
      <c r="I438" s="17">
        <f t="shared" si="25"/>
        <v>95658.426000000007</v>
      </c>
      <c r="J438" s="18">
        <f t="shared" si="25"/>
        <v>8918.8950000000004</v>
      </c>
      <c r="K438" s="20">
        <f t="shared" ref="K438:L438" si="26">SUM(K439:K443)</f>
        <v>5</v>
      </c>
      <c r="L438" s="20">
        <f t="shared" si="26"/>
        <v>0</v>
      </c>
      <c r="M438" s="21"/>
    </row>
    <row r="439" spans="1:13" ht="48">
      <c r="A439" s="1">
        <v>14</v>
      </c>
      <c r="B439" s="22">
        <v>1</v>
      </c>
      <c r="C439" s="23" t="s">
        <v>490</v>
      </c>
      <c r="D439" s="23"/>
      <c r="E439" s="24">
        <v>13965.544</v>
      </c>
      <c r="F439" s="24">
        <v>13965.544</v>
      </c>
      <c r="G439" s="25">
        <v>0</v>
      </c>
      <c r="H439" s="24">
        <f t="shared" si="24"/>
        <v>12901.377</v>
      </c>
      <c r="I439" s="24">
        <v>12901.377</v>
      </c>
      <c r="J439" s="25">
        <v>0</v>
      </c>
      <c r="K439" s="26">
        <v>1</v>
      </c>
      <c r="L439" s="26"/>
      <c r="M439" s="27"/>
    </row>
    <row r="440" spans="1:13" ht="64">
      <c r="A440" s="1">
        <v>14</v>
      </c>
      <c r="B440" s="22">
        <v>2</v>
      </c>
      <c r="C440" s="23" t="s">
        <v>491</v>
      </c>
      <c r="D440" s="23"/>
      <c r="E440" s="24">
        <f>41508.028+4733.882</f>
        <v>46241.909999999996</v>
      </c>
      <c r="F440" s="24">
        <f>41508.028+3337.849</f>
        <v>44845.877</v>
      </c>
      <c r="G440" s="25">
        <f>0+1396.033</f>
        <v>1396.0329999999999</v>
      </c>
      <c r="H440" s="24">
        <f t="shared" si="24"/>
        <v>21490.072</v>
      </c>
      <c r="I440" s="24">
        <v>21490.072</v>
      </c>
      <c r="J440" s="25">
        <v>0</v>
      </c>
      <c r="K440" s="26">
        <v>1</v>
      </c>
      <c r="L440" s="26"/>
      <c r="M440" s="27" t="s">
        <v>23</v>
      </c>
    </row>
    <row r="441" spans="1:13" ht="48">
      <c r="A441" s="1">
        <v>14</v>
      </c>
      <c r="B441" s="22">
        <v>3</v>
      </c>
      <c r="C441" s="23" t="s">
        <v>492</v>
      </c>
      <c r="D441" s="23"/>
      <c r="E441" s="24">
        <v>19000</v>
      </c>
      <c r="F441" s="24">
        <v>648.52700000000004</v>
      </c>
      <c r="G441" s="25">
        <v>18351.473000000002</v>
      </c>
      <c r="H441" s="24">
        <f t="shared" si="24"/>
        <v>8918.8950000000004</v>
      </c>
      <c r="I441" s="24">
        <v>0</v>
      </c>
      <c r="J441" s="25">
        <v>8918.8950000000004</v>
      </c>
      <c r="K441" s="26">
        <v>1</v>
      </c>
      <c r="L441" s="26"/>
      <c r="M441" s="27"/>
    </row>
    <row r="442" spans="1:13" ht="32">
      <c r="A442" s="1">
        <v>14</v>
      </c>
      <c r="B442" s="22">
        <v>4</v>
      </c>
      <c r="C442" s="23" t="s">
        <v>493</v>
      </c>
      <c r="D442" s="23"/>
      <c r="E442" s="24">
        <v>1729.93</v>
      </c>
      <c r="F442" s="24">
        <v>0</v>
      </c>
      <c r="G442" s="25">
        <v>1729.93</v>
      </c>
      <c r="H442" s="24">
        <f t="shared" si="24"/>
        <v>0</v>
      </c>
      <c r="I442" s="24">
        <v>0</v>
      </c>
      <c r="J442" s="25">
        <v>0</v>
      </c>
      <c r="K442" s="26">
        <v>1</v>
      </c>
      <c r="L442" s="26"/>
      <c r="M442" s="27"/>
    </row>
    <row r="443" spans="1:13" ht="49" thickBot="1">
      <c r="A443" s="1">
        <v>14</v>
      </c>
      <c r="B443" s="36">
        <v>5</v>
      </c>
      <c r="C443" s="37" t="s">
        <v>494</v>
      </c>
      <c r="D443" s="37"/>
      <c r="E443" s="38">
        <v>73055.83</v>
      </c>
      <c r="F443" s="38">
        <v>73055.83</v>
      </c>
      <c r="G443" s="39">
        <v>0</v>
      </c>
      <c r="H443" s="38">
        <f t="shared" si="24"/>
        <v>61266.976999999999</v>
      </c>
      <c r="I443" s="38">
        <v>61266.976999999999</v>
      </c>
      <c r="J443" s="39">
        <v>0</v>
      </c>
      <c r="K443" s="40">
        <v>1</v>
      </c>
      <c r="L443" s="40"/>
      <c r="M443" s="41"/>
    </row>
    <row r="444" spans="1:13" ht="64">
      <c r="A444" s="1">
        <v>15</v>
      </c>
      <c r="B444" s="15"/>
      <c r="C444" s="16" t="s">
        <v>495</v>
      </c>
      <c r="D444" s="16"/>
      <c r="E444" s="17">
        <f>SUM(E445:E459)</f>
        <v>323563.35200000001</v>
      </c>
      <c r="F444" s="17">
        <f t="shared" ref="F444:J444" si="27">SUM(F445:F459)</f>
        <v>281369.24699999997</v>
      </c>
      <c r="G444" s="18">
        <f t="shared" si="27"/>
        <v>42194.104999999996</v>
      </c>
      <c r="H444" s="17">
        <f t="shared" si="24"/>
        <v>188850.94700000001</v>
      </c>
      <c r="I444" s="17">
        <f t="shared" si="27"/>
        <v>166671.56000000003</v>
      </c>
      <c r="J444" s="18">
        <f t="shared" si="27"/>
        <v>22179.386999999999</v>
      </c>
      <c r="K444" s="20">
        <f t="shared" ref="K444:L444" si="28">SUM(K445:K459)</f>
        <v>14</v>
      </c>
      <c r="L444" s="20">
        <f t="shared" si="28"/>
        <v>4</v>
      </c>
      <c r="M444" s="21"/>
    </row>
    <row r="445" spans="1:13" ht="32">
      <c r="A445" s="1">
        <v>15</v>
      </c>
      <c r="B445" s="22">
        <v>1</v>
      </c>
      <c r="C445" s="23" t="s">
        <v>496</v>
      </c>
      <c r="D445" s="23"/>
      <c r="E445" s="24">
        <f>52786.695+41183.705-45000</f>
        <v>48970.399999999994</v>
      </c>
      <c r="F445" s="24">
        <f>52786.695+41183.705-45000</f>
        <v>48970.399999999994</v>
      </c>
      <c r="G445" s="25">
        <f>0+0-0</f>
        <v>0</v>
      </c>
      <c r="H445" s="24">
        <f t="shared" si="24"/>
        <v>25380</v>
      </c>
      <c r="I445" s="24">
        <v>25380</v>
      </c>
      <c r="J445" s="25">
        <v>0</v>
      </c>
      <c r="K445" s="26">
        <v>1</v>
      </c>
      <c r="L445" s="26"/>
      <c r="M445" s="27" t="s">
        <v>497</v>
      </c>
    </row>
    <row r="446" spans="1:13" ht="48">
      <c r="A446" s="1">
        <v>15</v>
      </c>
      <c r="B446" s="22">
        <v>2</v>
      </c>
      <c r="C446" s="23" t="s">
        <v>498</v>
      </c>
      <c r="D446" s="23"/>
      <c r="E446" s="24">
        <f>800-80.735</f>
        <v>719.26499999999999</v>
      </c>
      <c r="F446" s="24">
        <f>800-80.735</f>
        <v>719.26499999999999</v>
      </c>
      <c r="G446" s="25">
        <f>0-0</f>
        <v>0</v>
      </c>
      <c r="H446" s="24">
        <f t="shared" si="24"/>
        <v>719.26499999999999</v>
      </c>
      <c r="I446" s="24">
        <v>719.26499999999999</v>
      </c>
      <c r="J446" s="25">
        <v>0</v>
      </c>
      <c r="K446" s="26">
        <v>1</v>
      </c>
      <c r="L446" s="26">
        <v>1</v>
      </c>
      <c r="M446" s="27" t="s">
        <v>48</v>
      </c>
    </row>
    <row r="447" spans="1:13" ht="64">
      <c r="A447" s="1">
        <v>15</v>
      </c>
      <c r="B447" s="22">
        <v>3</v>
      </c>
      <c r="C447" s="23" t="s">
        <v>499</v>
      </c>
      <c r="D447" s="23"/>
      <c r="E447" s="24">
        <v>11098</v>
      </c>
      <c r="F447" s="24">
        <v>11098</v>
      </c>
      <c r="G447" s="25">
        <v>0</v>
      </c>
      <c r="H447" s="24">
        <f t="shared" si="24"/>
        <v>11064.254000000001</v>
      </c>
      <c r="I447" s="24">
        <v>11064.254000000001</v>
      </c>
      <c r="J447" s="25">
        <v>0</v>
      </c>
      <c r="K447" s="26">
        <v>1</v>
      </c>
      <c r="L447" s="26">
        <v>1</v>
      </c>
      <c r="M447" s="27"/>
    </row>
    <row r="448" spans="1:13" ht="64">
      <c r="A448" s="1">
        <v>15</v>
      </c>
      <c r="B448" s="22">
        <v>4</v>
      </c>
      <c r="C448" s="23" t="s">
        <v>500</v>
      </c>
      <c r="D448" s="23"/>
      <c r="E448" s="24">
        <f>17087.58-7196.804</f>
        <v>9890.7760000000017</v>
      </c>
      <c r="F448" s="24">
        <f>17087.58-7196.804</f>
        <v>9890.7760000000017</v>
      </c>
      <c r="G448" s="25">
        <f>0-0</f>
        <v>0</v>
      </c>
      <c r="H448" s="24">
        <f t="shared" si="24"/>
        <v>9890.7759999999998</v>
      </c>
      <c r="I448" s="24">
        <v>9890.7759999999998</v>
      </c>
      <c r="J448" s="25">
        <v>0</v>
      </c>
      <c r="K448" s="26">
        <v>1</v>
      </c>
      <c r="L448" s="26">
        <v>1</v>
      </c>
      <c r="M448" s="27" t="s">
        <v>48</v>
      </c>
    </row>
    <row r="449" spans="1:13" ht="48">
      <c r="A449" s="1">
        <v>15</v>
      </c>
      <c r="B449" s="22">
        <v>5</v>
      </c>
      <c r="C449" s="23" t="s">
        <v>501</v>
      </c>
      <c r="D449" s="23"/>
      <c r="E449" s="24">
        <v>50000</v>
      </c>
      <c r="F449" s="24">
        <v>30000</v>
      </c>
      <c r="G449" s="25">
        <v>20000</v>
      </c>
      <c r="H449" s="24">
        <f t="shared" si="24"/>
        <v>28519.407999999999</v>
      </c>
      <c r="I449" s="24">
        <v>16847.357</v>
      </c>
      <c r="J449" s="25">
        <v>11672.050999999999</v>
      </c>
      <c r="K449" s="26">
        <v>1</v>
      </c>
      <c r="L449" s="26"/>
      <c r="M449" s="27"/>
    </row>
    <row r="450" spans="1:13" ht="32">
      <c r="A450" s="1">
        <v>15</v>
      </c>
      <c r="B450" s="22">
        <v>6</v>
      </c>
      <c r="C450" s="23" t="s">
        <v>502</v>
      </c>
      <c r="D450" s="23"/>
      <c r="E450" s="24">
        <v>17000</v>
      </c>
      <c r="F450" s="24">
        <v>17000</v>
      </c>
      <c r="G450" s="25">
        <v>0</v>
      </c>
      <c r="H450" s="24">
        <f t="shared" si="24"/>
        <v>16752.366000000002</v>
      </c>
      <c r="I450" s="24">
        <v>16752.366000000002</v>
      </c>
      <c r="J450" s="25">
        <v>0</v>
      </c>
      <c r="K450" s="26">
        <v>1</v>
      </c>
      <c r="L450" s="26"/>
      <c r="M450" s="27"/>
    </row>
    <row r="451" spans="1:13" ht="48">
      <c r="A451" s="1">
        <v>15</v>
      </c>
      <c r="B451" s="22">
        <v>7</v>
      </c>
      <c r="C451" s="23" t="s">
        <v>503</v>
      </c>
      <c r="D451" s="23"/>
      <c r="E451" s="24">
        <v>15000</v>
      </c>
      <c r="F451" s="24">
        <v>15000</v>
      </c>
      <c r="G451" s="25">
        <v>0</v>
      </c>
      <c r="H451" s="24">
        <f t="shared" si="24"/>
        <v>12214.143</v>
      </c>
      <c r="I451" s="24">
        <v>12214.143</v>
      </c>
      <c r="J451" s="25">
        <v>0</v>
      </c>
      <c r="K451" s="26">
        <v>1</v>
      </c>
      <c r="L451" s="26"/>
      <c r="M451" s="27"/>
    </row>
    <row r="452" spans="1:13" ht="64">
      <c r="A452" s="1">
        <v>15</v>
      </c>
      <c r="B452" s="22">
        <v>8</v>
      </c>
      <c r="C452" s="23" t="s">
        <v>504</v>
      </c>
      <c r="D452" s="23"/>
      <c r="E452" s="24">
        <f>6465.398-320.702</f>
        <v>6144.6959999999999</v>
      </c>
      <c r="F452" s="24">
        <f>6465.398-320.702</f>
        <v>6144.6959999999999</v>
      </c>
      <c r="G452" s="25">
        <f>0-0</f>
        <v>0</v>
      </c>
      <c r="H452" s="24">
        <f t="shared" si="24"/>
        <v>6144.6959999999999</v>
      </c>
      <c r="I452" s="24">
        <v>6144.6959999999999</v>
      </c>
      <c r="J452" s="25">
        <v>0</v>
      </c>
      <c r="K452" s="26">
        <v>1</v>
      </c>
      <c r="L452" s="26">
        <v>1</v>
      </c>
      <c r="M452" s="27" t="s">
        <v>48</v>
      </c>
    </row>
    <row r="453" spans="1:13" ht="32">
      <c r="A453" s="1">
        <v>15</v>
      </c>
      <c r="B453" s="30">
        <v>9</v>
      </c>
      <c r="C453" s="31" t="s">
        <v>505</v>
      </c>
      <c r="D453" s="31"/>
      <c r="E453" s="32">
        <f>23000-23000</f>
        <v>0</v>
      </c>
      <c r="F453" s="32">
        <f>18000-18000</f>
        <v>0</v>
      </c>
      <c r="G453" s="33">
        <f>5000-5000</f>
        <v>0</v>
      </c>
      <c r="H453" s="32">
        <f t="shared" si="24"/>
        <v>0</v>
      </c>
      <c r="I453" s="32"/>
      <c r="J453" s="33"/>
      <c r="K453" s="34">
        <f>1-1</f>
        <v>0</v>
      </c>
      <c r="L453" s="34">
        <f>1-1</f>
        <v>0</v>
      </c>
      <c r="M453" s="35" t="s">
        <v>28</v>
      </c>
    </row>
    <row r="454" spans="1:13" ht="80">
      <c r="A454" s="1">
        <v>15</v>
      </c>
      <c r="B454" s="22">
        <v>10</v>
      </c>
      <c r="C454" s="23" t="s">
        <v>506</v>
      </c>
      <c r="D454" s="23"/>
      <c r="E454" s="24">
        <v>23180</v>
      </c>
      <c r="F454" s="24">
        <v>18180</v>
      </c>
      <c r="G454" s="25">
        <v>5000</v>
      </c>
      <c r="H454" s="24">
        <f t="shared" si="24"/>
        <v>10205.562</v>
      </c>
      <c r="I454" s="24">
        <v>7098.2259999999997</v>
      </c>
      <c r="J454" s="25">
        <v>3107.3359999999998</v>
      </c>
      <c r="K454" s="26">
        <v>1</v>
      </c>
      <c r="L454" s="26"/>
      <c r="M454" s="27"/>
    </row>
    <row r="455" spans="1:13" ht="48">
      <c r="A455" s="1">
        <v>15</v>
      </c>
      <c r="B455" s="22">
        <v>11</v>
      </c>
      <c r="C455" s="23" t="s">
        <v>507</v>
      </c>
      <c r="D455" s="23"/>
      <c r="E455" s="24">
        <f>10903.649+35000</f>
        <v>45903.648999999998</v>
      </c>
      <c r="F455" s="24">
        <f>8709.544+30000</f>
        <v>38709.544000000002</v>
      </c>
      <c r="G455" s="25">
        <f>2194.105+5000</f>
        <v>7194.1049999999996</v>
      </c>
      <c r="H455" s="24">
        <f t="shared" si="24"/>
        <v>0</v>
      </c>
      <c r="I455" s="24">
        <v>0</v>
      </c>
      <c r="J455" s="25">
        <v>0</v>
      </c>
      <c r="K455" s="26">
        <v>1</v>
      </c>
      <c r="L455" s="26"/>
      <c r="M455" s="27" t="s">
        <v>23</v>
      </c>
    </row>
    <row r="456" spans="1:13" ht="64">
      <c r="A456" s="1">
        <v>15</v>
      </c>
      <c r="B456" s="22">
        <v>12</v>
      </c>
      <c r="C456" s="23" t="s">
        <v>508</v>
      </c>
      <c r="D456" s="23"/>
      <c r="E456" s="24">
        <f>10000+20398.241</f>
        <v>30398.241000000002</v>
      </c>
      <c r="F456" s="24">
        <f>7000+20398.241</f>
        <v>27398.241000000002</v>
      </c>
      <c r="G456" s="25">
        <f>3000+0</f>
        <v>3000</v>
      </c>
      <c r="H456" s="24">
        <f t="shared" si="24"/>
        <v>28486.878000000001</v>
      </c>
      <c r="I456" s="24">
        <v>26086.878000000001</v>
      </c>
      <c r="J456" s="25">
        <v>2400</v>
      </c>
      <c r="K456" s="26">
        <v>1</v>
      </c>
      <c r="L456" s="26"/>
      <c r="M456" s="27" t="s">
        <v>23</v>
      </c>
    </row>
    <row r="457" spans="1:13" ht="64">
      <c r="A457" s="1">
        <v>15</v>
      </c>
      <c r="B457" s="22">
        <v>13</v>
      </c>
      <c r="C457" s="23" t="s">
        <v>509</v>
      </c>
      <c r="D457" s="23"/>
      <c r="E457" s="24">
        <f>11070-1800</f>
        <v>9270</v>
      </c>
      <c r="F457" s="24">
        <f>11070-1800</f>
        <v>9270</v>
      </c>
      <c r="G457" s="25">
        <f>0-0</f>
        <v>0</v>
      </c>
      <c r="H457" s="24">
        <f t="shared" si="24"/>
        <v>4946.491</v>
      </c>
      <c r="I457" s="24">
        <v>4946.491</v>
      </c>
      <c r="J457" s="25">
        <v>0</v>
      </c>
      <c r="K457" s="26">
        <v>1</v>
      </c>
      <c r="L457" s="26"/>
      <c r="M457" s="27" t="s">
        <v>48</v>
      </c>
    </row>
    <row r="458" spans="1:13" ht="48">
      <c r="A458" s="1">
        <v>15</v>
      </c>
      <c r="B458" s="74">
        <v>14</v>
      </c>
      <c r="C458" s="46" t="s">
        <v>510</v>
      </c>
      <c r="D458" s="46"/>
      <c r="E458" s="47">
        <v>33988.324999999997</v>
      </c>
      <c r="F458" s="47">
        <v>26988.325000000001</v>
      </c>
      <c r="G458" s="75">
        <v>7000</v>
      </c>
      <c r="H458" s="47">
        <f t="shared" ref="H458:H521" si="29">I458+J458</f>
        <v>12527.108</v>
      </c>
      <c r="I458" s="47">
        <v>7527.1080000000002</v>
      </c>
      <c r="J458" s="75">
        <v>5000</v>
      </c>
      <c r="K458" s="29">
        <v>1</v>
      </c>
      <c r="L458" s="29"/>
      <c r="M458" s="76"/>
    </row>
    <row r="459" spans="1:13" ht="65" thickBot="1">
      <c r="A459" s="1">
        <v>15</v>
      </c>
      <c r="B459" s="36">
        <v>15</v>
      </c>
      <c r="C459" s="37" t="s">
        <v>511</v>
      </c>
      <c r="D459" s="37"/>
      <c r="E459" s="38">
        <f>0+22000</f>
        <v>22000</v>
      </c>
      <c r="F459" s="38">
        <f>0+22000</f>
        <v>22000</v>
      </c>
      <c r="G459" s="39">
        <f>0+0</f>
        <v>0</v>
      </c>
      <c r="H459" s="38">
        <f t="shared" si="29"/>
        <v>22000</v>
      </c>
      <c r="I459" s="38">
        <v>22000</v>
      </c>
      <c r="J459" s="39">
        <v>0</v>
      </c>
      <c r="K459" s="40">
        <f>0+1</f>
        <v>1</v>
      </c>
      <c r="L459" s="40"/>
      <c r="M459" s="41" t="s">
        <v>271</v>
      </c>
    </row>
    <row r="460" spans="1:13" ht="64">
      <c r="A460" s="1">
        <v>16</v>
      </c>
      <c r="B460" s="15"/>
      <c r="C460" s="16" t="s">
        <v>512</v>
      </c>
      <c r="D460" s="16"/>
      <c r="E460" s="17">
        <f>SUM(E461:E466)</f>
        <v>190687.94200000001</v>
      </c>
      <c r="F460" s="17">
        <f t="shared" ref="F460:J460" si="30">SUM(F461:F466)</f>
        <v>165821.383</v>
      </c>
      <c r="G460" s="18">
        <f t="shared" si="30"/>
        <v>24866.559000000001</v>
      </c>
      <c r="H460" s="17">
        <f t="shared" si="29"/>
        <v>107221.462</v>
      </c>
      <c r="I460" s="17">
        <f t="shared" si="30"/>
        <v>85293.554000000004</v>
      </c>
      <c r="J460" s="18">
        <f t="shared" si="30"/>
        <v>21927.907999999999</v>
      </c>
      <c r="K460" s="20">
        <f t="shared" ref="K460:L460" si="31">SUM(K461:K466)</f>
        <v>6</v>
      </c>
      <c r="L460" s="20">
        <f t="shared" si="31"/>
        <v>4</v>
      </c>
      <c r="M460" s="21"/>
    </row>
    <row r="461" spans="1:13" ht="48">
      <c r="A461" s="1">
        <v>16</v>
      </c>
      <c r="B461" s="22">
        <v>1</v>
      </c>
      <c r="C461" s="23" t="s">
        <v>513</v>
      </c>
      <c r="D461" s="77" t="s">
        <v>21</v>
      </c>
      <c r="E461" s="24">
        <v>4715.9650000000001</v>
      </c>
      <c r="F461" s="24">
        <v>4715.9650000000001</v>
      </c>
      <c r="G461" s="25">
        <v>0</v>
      </c>
      <c r="H461" s="24">
        <f t="shared" si="29"/>
        <v>3798.8780000000002</v>
      </c>
      <c r="I461" s="24">
        <v>3798.8780000000002</v>
      </c>
      <c r="J461" s="25">
        <v>0</v>
      </c>
      <c r="K461" s="26">
        <v>1</v>
      </c>
      <c r="L461" s="26">
        <v>1</v>
      </c>
      <c r="M461" s="27"/>
    </row>
    <row r="462" spans="1:13" ht="64">
      <c r="A462" s="1">
        <v>16</v>
      </c>
      <c r="B462" s="22">
        <v>2</v>
      </c>
      <c r="C462" s="23" t="s">
        <v>514</v>
      </c>
      <c r="D462" s="23" t="s">
        <v>61</v>
      </c>
      <c r="E462" s="24">
        <v>4251.1540000000005</v>
      </c>
      <c r="F462" s="24">
        <v>3251.154</v>
      </c>
      <c r="G462" s="25">
        <v>1000</v>
      </c>
      <c r="H462" s="24">
        <f t="shared" si="29"/>
        <v>2681.8670000000002</v>
      </c>
      <c r="I462" s="24">
        <v>1681.867</v>
      </c>
      <c r="J462" s="25">
        <v>1000</v>
      </c>
      <c r="K462" s="26">
        <v>1</v>
      </c>
      <c r="L462" s="26"/>
      <c r="M462" s="27"/>
    </row>
    <row r="463" spans="1:13" ht="64">
      <c r="A463" s="1">
        <v>16</v>
      </c>
      <c r="B463" s="22">
        <v>3</v>
      </c>
      <c r="C463" s="23" t="s">
        <v>515</v>
      </c>
      <c r="D463" s="23" t="s">
        <v>19</v>
      </c>
      <c r="E463" s="24">
        <v>115563.011</v>
      </c>
      <c r="F463" s="24">
        <v>104604.264</v>
      </c>
      <c r="G463" s="25">
        <v>10958.746999999999</v>
      </c>
      <c r="H463" s="24">
        <f t="shared" si="29"/>
        <v>58048.864000000001</v>
      </c>
      <c r="I463" s="24">
        <v>47090.118000000002</v>
      </c>
      <c r="J463" s="25">
        <v>10958.745999999999</v>
      </c>
      <c r="K463" s="26">
        <v>1</v>
      </c>
      <c r="L463" s="26">
        <v>1</v>
      </c>
      <c r="M463" s="27"/>
    </row>
    <row r="464" spans="1:13" ht="32">
      <c r="A464" s="1">
        <v>16</v>
      </c>
      <c r="B464" s="22">
        <v>4</v>
      </c>
      <c r="C464" s="23" t="s">
        <v>516</v>
      </c>
      <c r="D464" s="23" t="s">
        <v>16</v>
      </c>
      <c r="E464" s="24">
        <v>35907.811999999998</v>
      </c>
      <c r="F464" s="24">
        <v>24000</v>
      </c>
      <c r="G464" s="25">
        <v>11907.812</v>
      </c>
      <c r="H464" s="24">
        <f t="shared" si="29"/>
        <v>17169.162</v>
      </c>
      <c r="I464" s="24">
        <v>7200</v>
      </c>
      <c r="J464" s="25">
        <v>9969.1620000000003</v>
      </c>
      <c r="K464" s="26">
        <v>1</v>
      </c>
      <c r="L464" s="26">
        <v>1</v>
      </c>
      <c r="M464" s="27"/>
    </row>
    <row r="465" spans="1:13" ht="48">
      <c r="A465" s="1">
        <v>16</v>
      </c>
      <c r="B465" s="22">
        <v>5</v>
      </c>
      <c r="C465" s="23" t="s">
        <v>517</v>
      </c>
      <c r="D465" s="23" t="s">
        <v>16</v>
      </c>
      <c r="E465" s="24">
        <v>5250</v>
      </c>
      <c r="F465" s="24">
        <v>4250</v>
      </c>
      <c r="G465" s="25">
        <v>1000</v>
      </c>
      <c r="H465" s="24">
        <f t="shared" si="29"/>
        <v>571.88199999999995</v>
      </c>
      <c r="I465" s="24">
        <v>571.88199999999995</v>
      </c>
      <c r="J465" s="25">
        <v>0</v>
      </c>
      <c r="K465" s="26">
        <v>1</v>
      </c>
      <c r="L465" s="26">
        <v>1</v>
      </c>
      <c r="M465" s="27"/>
    </row>
    <row r="466" spans="1:13" ht="33" thickBot="1">
      <c r="A466" s="1">
        <v>16</v>
      </c>
      <c r="B466" s="36">
        <v>6</v>
      </c>
      <c r="C466" s="37" t="s">
        <v>518</v>
      </c>
      <c r="D466" s="37" t="s">
        <v>21</v>
      </c>
      <c r="E466" s="38">
        <v>25000</v>
      </c>
      <c r="F466" s="38">
        <v>25000</v>
      </c>
      <c r="G466" s="39">
        <v>0</v>
      </c>
      <c r="H466" s="38">
        <f t="shared" si="29"/>
        <v>24950.809000000001</v>
      </c>
      <c r="I466" s="38">
        <v>24950.809000000001</v>
      </c>
      <c r="J466" s="39">
        <v>0</v>
      </c>
      <c r="K466" s="40">
        <v>1</v>
      </c>
      <c r="L466" s="40"/>
      <c r="M466" s="41" t="s">
        <v>97</v>
      </c>
    </row>
    <row r="467" spans="1:13" ht="64">
      <c r="A467" s="1">
        <v>17</v>
      </c>
      <c r="B467" s="15"/>
      <c r="C467" s="16" t="s">
        <v>519</v>
      </c>
      <c r="D467" s="16"/>
      <c r="E467" s="17">
        <f>SUM(E468:E489)</f>
        <v>246146.14199999999</v>
      </c>
      <c r="F467" s="17">
        <f t="shared" ref="F467:L467" si="32">SUM(F468:F489)</f>
        <v>214047.58600000001</v>
      </c>
      <c r="G467" s="18">
        <f t="shared" si="32"/>
        <v>32098.556</v>
      </c>
      <c r="H467" s="17">
        <f t="shared" si="29"/>
        <v>235694.69100000005</v>
      </c>
      <c r="I467" s="17">
        <f t="shared" si="32"/>
        <v>203596.13500000004</v>
      </c>
      <c r="J467" s="18">
        <f t="shared" si="32"/>
        <v>32098.556</v>
      </c>
      <c r="K467" s="20">
        <f t="shared" si="32"/>
        <v>20</v>
      </c>
      <c r="L467" s="20">
        <f t="shared" si="32"/>
        <v>6</v>
      </c>
      <c r="M467" s="21"/>
    </row>
    <row r="468" spans="1:13" ht="80">
      <c r="A468" s="1">
        <v>17</v>
      </c>
      <c r="B468" s="22">
        <v>1</v>
      </c>
      <c r="C468" s="23" t="s">
        <v>520</v>
      </c>
      <c r="D468" s="26" t="s">
        <v>61</v>
      </c>
      <c r="E468" s="24">
        <f>55892+10000</f>
        <v>65892</v>
      </c>
      <c r="F468" s="24">
        <f>55892+0</f>
        <v>55892</v>
      </c>
      <c r="G468" s="25">
        <f>0+10000</f>
        <v>10000</v>
      </c>
      <c r="H468" s="24">
        <f t="shared" si="29"/>
        <v>65892</v>
      </c>
      <c r="I468" s="24">
        <v>55892</v>
      </c>
      <c r="J468" s="25">
        <v>10000</v>
      </c>
      <c r="K468" s="26">
        <v>1</v>
      </c>
      <c r="L468" s="26"/>
      <c r="M468" s="27" t="s">
        <v>23</v>
      </c>
    </row>
    <row r="469" spans="1:13" ht="32">
      <c r="A469" s="1">
        <v>17</v>
      </c>
      <c r="B469" s="22">
        <v>2</v>
      </c>
      <c r="C469" s="23" t="s">
        <v>521</v>
      </c>
      <c r="D469" s="26" t="s">
        <v>16</v>
      </c>
      <c r="E469" s="24">
        <v>15000</v>
      </c>
      <c r="F469" s="24">
        <v>15000</v>
      </c>
      <c r="G469" s="25">
        <v>0</v>
      </c>
      <c r="H469" s="24">
        <f t="shared" si="29"/>
        <v>13953.1</v>
      </c>
      <c r="I469" s="24">
        <v>13953.1</v>
      </c>
      <c r="J469" s="25">
        <v>0</v>
      </c>
      <c r="K469" s="26">
        <v>1</v>
      </c>
      <c r="L469" s="26"/>
      <c r="M469" s="27"/>
    </row>
    <row r="470" spans="1:13" ht="80">
      <c r="A470" s="1">
        <v>17</v>
      </c>
      <c r="B470" s="22">
        <v>3</v>
      </c>
      <c r="C470" s="23" t="s">
        <v>522</v>
      </c>
      <c r="D470" s="26" t="s">
        <v>21</v>
      </c>
      <c r="E470" s="24">
        <f>8000+2500</f>
        <v>10500</v>
      </c>
      <c r="F470" s="24">
        <f>8000+2500</f>
        <v>10500</v>
      </c>
      <c r="G470" s="25">
        <f>0+0</f>
        <v>0</v>
      </c>
      <c r="H470" s="24">
        <f t="shared" si="29"/>
        <v>10191.838</v>
      </c>
      <c r="I470" s="24">
        <v>10191.838</v>
      </c>
      <c r="J470" s="25">
        <v>0</v>
      </c>
      <c r="K470" s="26">
        <v>1</v>
      </c>
      <c r="L470" s="26">
        <v>1</v>
      </c>
      <c r="M470" s="27" t="s">
        <v>23</v>
      </c>
    </row>
    <row r="471" spans="1:13" ht="48">
      <c r="A471" s="1">
        <v>17</v>
      </c>
      <c r="B471" s="22">
        <v>4</v>
      </c>
      <c r="C471" s="23" t="s">
        <v>523</v>
      </c>
      <c r="D471" s="26" t="s">
        <v>16</v>
      </c>
      <c r="E471" s="24">
        <v>15000</v>
      </c>
      <c r="F471" s="24">
        <v>15000</v>
      </c>
      <c r="G471" s="25">
        <v>0</v>
      </c>
      <c r="H471" s="24">
        <f t="shared" si="29"/>
        <v>15000</v>
      </c>
      <c r="I471" s="24">
        <v>15000</v>
      </c>
      <c r="J471" s="25">
        <v>0</v>
      </c>
      <c r="K471" s="26">
        <v>1</v>
      </c>
      <c r="L471" s="26"/>
      <c r="M471" s="27"/>
    </row>
    <row r="472" spans="1:13" ht="48">
      <c r="A472" s="1">
        <v>17</v>
      </c>
      <c r="B472" s="22">
        <v>5</v>
      </c>
      <c r="C472" s="23" t="s">
        <v>524</v>
      </c>
      <c r="D472" s="26">
        <v>2019</v>
      </c>
      <c r="E472" s="24">
        <v>13200</v>
      </c>
      <c r="F472" s="24">
        <v>13200</v>
      </c>
      <c r="G472" s="25">
        <v>0</v>
      </c>
      <c r="H472" s="24">
        <f t="shared" si="29"/>
        <v>11422</v>
      </c>
      <c r="I472" s="24">
        <v>11422</v>
      </c>
      <c r="J472" s="25">
        <v>0</v>
      </c>
      <c r="K472" s="26">
        <v>1</v>
      </c>
      <c r="L472" s="26"/>
      <c r="M472" s="27"/>
    </row>
    <row r="473" spans="1:13" ht="48">
      <c r="A473" s="1">
        <v>17</v>
      </c>
      <c r="B473" s="22">
        <v>6</v>
      </c>
      <c r="C473" s="23" t="s">
        <v>525</v>
      </c>
      <c r="D473" s="26">
        <v>2019</v>
      </c>
      <c r="E473" s="24">
        <v>2970</v>
      </c>
      <c r="F473" s="24">
        <v>2970</v>
      </c>
      <c r="G473" s="25">
        <v>0</v>
      </c>
      <c r="H473" s="24">
        <f t="shared" si="29"/>
        <v>2970</v>
      </c>
      <c r="I473" s="24">
        <v>2970</v>
      </c>
      <c r="J473" s="25">
        <v>0</v>
      </c>
      <c r="K473" s="26">
        <v>1</v>
      </c>
      <c r="L473" s="26">
        <v>1</v>
      </c>
      <c r="M473" s="27"/>
    </row>
    <row r="474" spans="1:13" ht="32">
      <c r="A474" s="1">
        <v>17</v>
      </c>
      <c r="B474" s="22">
        <v>7</v>
      </c>
      <c r="C474" s="23" t="s">
        <v>526</v>
      </c>
      <c r="D474" s="26" t="s">
        <v>16</v>
      </c>
      <c r="E474" s="24">
        <f>16874+4000</f>
        <v>20874</v>
      </c>
      <c r="F474" s="24">
        <f>16874+4000</f>
        <v>20874</v>
      </c>
      <c r="G474" s="25">
        <f>0+0</f>
        <v>0</v>
      </c>
      <c r="H474" s="24">
        <f t="shared" si="29"/>
        <v>20874</v>
      </c>
      <c r="I474" s="24">
        <v>20874</v>
      </c>
      <c r="J474" s="25">
        <v>0</v>
      </c>
      <c r="K474" s="26">
        <v>1</v>
      </c>
      <c r="L474" s="26"/>
      <c r="M474" s="27" t="s">
        <v>23</v>
      </c>
    </row>
    <row r="475" spans="1:13" ht="32">
      <c r="A475" s="1">
        <v>17</v>
      </c>
      <c r="B475" s="22">
        <v>8</v>
      </c>
      <c r="C475" s="23" t="s">
        <v>527</v>
      </c>
      <c r="D475" s="26" t="s">
        <v>21</v>
      </c>
      <c r="E475" s="24">
        <f>3593+2500</f>
        <v>6093</v>
      </c>
      <c r="F475" s="24">
        <f>3593+2500</f>
        <v>6093</v>
      </c>
      <c r="G475" s="25">
        <f>0+0</f>
        <v>0</v>
      </c>
      <c r="H475" s="24">
        <f t="shared" si="29"/>
        <v>6093</v>
      </c>
      <c r="I475" s="24">
        <v>6093</v>
      </c>
      <c r="J475" s="25">
        <v>0</v>
      </c>
      <c r="K475" s="26">
        <v>1</v>
      </c>
      <c r="L475" s="26"/>
      <c r="M475" s="27" t="s">
        <v>23</v>
      </c>
    </row>
    <row r="476" spans="1:13" ht="48">
      <c r="A476" s="1">
        <v>17</v>
      </c>
      <c r="B476" s="22">
        <v>9</v>
      </c>
      <c r="C476" s="23" t="s">
        <v>528</v>
      </c>
      <c r="D476" s="26" t="s">
        <v>81</v>
      </c>
      <c r="E476" s="24">
        <f>7000+10899.483</f>
        <v>17899.483</v>
      </c>
      <c r="F476" s="24">
        <f>7000+8800.927</f>
        <v>15800.927</v>
      </c>
      <c r="G476" s="25">
        <f>0+2098.556</f>
        <v>2098.556</v>
      </c>
      <c r="H476" s="24">
        <f t="shared" si="29"/>
        <v>17899.483</v>
      </c>
      <c r="I476" s="24">
        <v>15800.927</v>
      </c>
      <c r="J476" s="25">
        <v>2098.556</v>
      </c>
      <c r="K476" s="26">
        <v>1</v>
      </c>
      <c r="L476" s="26"/>
      <c r="M476" s="27" t="s">
        <v>23</v>
      </c>
    </row>
    <row r="477" spans="1:13" ht="80">
      <c r="A477" s="1">
        <v>17</v>
      </c>
      <c r="B477" s="22">
        <v>10</v>
      </c>
      <c r="C477" s="23" t="s">
        <v>529</v>
      </c>
      <c r="D477" s="26" t="s">
        <v>19</v>
      </c>
      <c r="E477" s="24">
        <v>10000</v>
      </c>
      <c r="F477" s="24">
        <v>10000</v>
      </c>
      <c r="G477" s="25">
        <v>0</v>
      </c>
      <c r="H477" s="24">
        <f t="shared" si="29"/>
        <v>10000</v>
      </c>
      <c r="I477" s="24">
        <v>10000</v>
      </c>
      <c r="J477" s="25">
        <v>0</v>
      </c>
      <c r="K477" s="26">
        <v>1</v>
      </c>
      <c r="L477" s="26"/>
      <c r="M477" s="27"/>
    </row>
    <row r="478" spans="1:13" ht="48">
      <c r="A478" s="1">
        <v>17</v>
      </c>
      <c r="B478" s="22">
        <v>11</v>
      </c>
      <c r="C478" s="23" t="s">
        <v>530</v>
      </c>
      <c r="D478" s="26" t="s">
        <v>21</v>
      </c>
      <c r="E478" s="24">
        <v>1500</v>
      </c>
      <c r="F478" s="24">
        <v>1500</v>
      </c>
      <c r="G478" s="25">
        <v>0</v>
      </c>
      <c r="H478" s="24">
        <f t="shared" si="29"/>
        <v>891</v>
      </c>
      <c r="I478" s="24">
        <v>891</v>
      </c>
      <c r="J478" s="25">
        <v>0</v>
      </c>
      <c r="K478" s="26">
        <v>1</v>
      </c>
      <c r="L478" s="26">
        <v>1</v>
      </c>
      <c r="M478" s="27"/>
    </row>
    <row r="479" spans="1:13" ht="48">
      <c r="A479" s="1">
        <v>17</v>
      </c>
      <c r="B479" s="22">
        <v>12</v>
      </c>
      <c r="C479" s="23" t="s">
        <v>531</v>
      </c>
      <c r="D479" s="26" t="s">
        <v>16</v>
      </c>
      <c r="E479" s="24">
        <f>4000+7000</f>
        <v>11000</v>
      </c>
      <c r="F479" s="24">
        <f>4000+0</f>
        <v>4000</v>
      </c>
      <c r="G479" s="25">
        <f>0+7000</f>
        <v>7000</v>
      </c>
      <c r="H479" s="24">
        <f t="shared" si="29"/>
        <v>11000</v>
      </c>
      <c r="I479" s="24">
        <v>4000</v>
      </c>
      <c r="J479" s="25">
        <v>7000</v>
      </c>
      <c r="K479" s="26">
        <v>1</v>
      </c>
      <c r="L479" s="26"/>
      <c r="M479" s="27" t="s">
        <v>23</v>
      </c>
    </row>
    <row r="480" spans="1:13" ht="32">
      <c r="A480" s="1">
        <v>17</v>
      </c>
      <c r="B480" s="22">
        <v>13</v>
      </c>
      <c r="C480" s="23" t="s">
        <v>532</v>
      </c>
      <c r="D480" s="26" t="s">
        <v>32</v>
      </c>
      <c r="E480" s="24">
        <v>10900</v>
      </c>
      <c r="F480" s="24">
        <v>10900</v>
      </c>
      <c r="G480" s="25">
        <v>0</v>
      </c>
      <c r="H480" s="24">
        <f t="shared" si="29"/>
        <v>10900</v>
      </c>
      <c r="I480" s="24">
        <v>10900</v>
      </c>
      <c r="J480" s="25">
        <v>0</v>
      </c>
      <c r="K480" s="26">
        <v>1</v>
      </c>
      <c r="L480" s="26"/>
      <c r="M480" s="27"/>
    </row>
    <row r="481" spans="1:13" ht="64">
      <c r="A481" s="1">
        <v>17</v>
      </c>
      <c r="B481" s="22">
        <v>14</v>
      </c>
      <c r="C481" s="23" t="s">
        <v>533</v>
      </c>
      <c r="D481" s="26" t="s">
        <v>19</v>
      </c>
      <c r="E481" s="24">
        <v>2582</v>
      </c>
      <c r="F481" s="24">
        <v>2582</v>
      </c>
      <c r="G481" s="25">
        <v>0</v>
      </c>
      <c r="H481" s="24">
        <f t="shared" si="29"/>
        <v>2294.7109999999998</v>
      </c>
      <c r="I481" s="24">
        <v>2294.7109999999998</v>
      </c>
      <c r="J481" s="25">
        <v>0</v>
      </c>
      <c r="K481" s="26">
        <v>1</v>
      </c>
      <c r="L481" s="26">
        <v>1</v>
      </c>
      <c r="M481" s="27"/>
    </row>
    <row r="482" spans="1:13" ht="32">
      <c r="A482" s="1">
        <v>17</v>
      </c>
      <c r="B482" s="22">
        <v>15</v>
      </c>
      <c r="C482" s="23" t="s">
        <v>534</v>
      </c>
      <c r="D482" s="26">
        <v>2019</v>
      </c>
      <c r="E482" s="24">
        <v>7000</v>
      </c>
      <c r="F482" s="24">
        <v>7000</v>
      </c>
      <c r="G482" s="25">
        <v>0</v>
      </c>
      <c r="H482" s="24">
        <f t="shared" si="29"/>
        <v>7000</v>
      </c>
      <c r="I482" s="24">
        <v>7000</v>
      </c>
      <c r="J482" s="25">
        <v>0</v>
      </c>
      <c r="K482" s="26">
        <v>1</v>
      </c>
      <c r="L482" s="26"/>
      <c r="M482" s="27"/>
    </row>
    <row r="483" spans="1:13" ht="32">
      <c r="A483" s="1">
        <v>17</v>
      </c>
      <c r="B483" s="22">
        <v>16</v>
      </c>
      <c r="C483" s="23" t="s">
        <v>535</v>
      </c>
      <c r="D483" s="26" t="s">
        <v>16</v>
      </c>
      <c r="E483" s="24">
        <v>15000</v>
      </c>
      <c r="F483" s="24">
        <v>15000</v>
      </c>
      <c r="G483" s="25">
        <v>0</v>
      </c>
      <c r="H483" s="24">
        <f t="shared" si="29"/>
        <v>8983</v>
      </c>
      <c r="I483" s="24">
        <v>8983</v>
      </c>
      <c r="J483" s="25">
        <v>0</v>
      </c>
      <c r="K483" s="26">
        <v>1</v>
      </c>
      <c r="L483" s="26"/>
      <c r="M483" s="27"/>
    </row>
    <row r="484" spans="1:13" ht="48">
      <c r="A484" s="1">
        <v>17</v>
      </c>
      <c r="B484" s="22">
        <v>17</v>
      </c>
      <c r="C484" s="23" t="s">
        <v>536</v>
      </c>
      <c r="D484" s="26" t="s">
        <v>19</v>
      </c>
      <c r="E484" s="24">
        <v>3200</v>
      </c>
      <c r="F484" s="24">
        <v>3200</v>
      </c>
      <c r="G484" s="25">
        <v>0</v>
      </c>
      <c r="H484" s="24">
        <f t="shared" si="29"/>
        <v>3021.55</v>
      </c>
      <c r="I484" s="24">
        <v>3021.55</v>
      </c>
      <c r="J484" s="25">
        <v>0</v>
      </c>
      <c r="K484" s="26">
        <v>1</v>
      </c>
      <c r="L484" s="26">
        <v>1</v>
      </c>
      <c r="M484" s="27"/>
    </row>
    <row r="485" spans="1:13" ht="32">
      <c r="A485" s="1">
        <v>17</v>
      </c>
      <c r="B485" s="22">
        <v>18</v>
      </c>
      <c r="C485" s="23" t="s">
        <v>537</v>
      </c>
      <c r="D485" s="26" t="s">
        <v>32</v>
      </c>
      <c r="E485" s="24">
        <f>10000-9344.341</f>
        <v>655.65899999999965</v>
      </c>
      <c r="F485" s="24">
        <f>10000-9344.341</f>
        <v>655.65899999999965</v>
      </c>
      <c r="G485" s="25">
        <f>0-0</f>
        <v>0</v>
      </c>
      <c r="H485" s="24">
        <f t="shared" si="29"/>
        <v>655.65899999999999</v>
      </c>
      <c r="I485" s="24">
        <v>655.65899999999999</v>
      </c>
      <c r="J485" s="25">
        <v>0</v>
      </c>
      <c r="K485" s="26">
        <v>1</v>
      </c>
      <c r="L485" s="26"/>
      <c r="M485" s="27" t="s">
        <v>48</v>
      </c>
    </row>
    <row r="486" spans="1:13" ht="48">
      <c r="A486" s="1">
        <v>17</v>
      </c>
      <c r="B486" s="22">
        <v>19</v>
      </c>
      <c r="C486" s="23" t="s">
        <v>538</v>
      </c>
      <c r="D486" s="26" t="s">
        <v>19</v>
      </c>
      <c r="E486" s="24">
        <v>1380</v>
      </c>
      <c r="F486" s="24">
        <v>1380</v>
      </c>
      <c r="G486" s="25">
        <v>0</v>
      </c>
      <c r="H486" s="24">
        <f t="shared" si="29"/>
        <v>1153.3499999999999</v>
      </c>
      <c r="I486" s="24">
        <v>1153.3499999999999</v>
      </c>
      <c r="J486" s="25">
        <v>0</v>
      </c>
      <c r="K486" s="26">
        <v>1</v>
      </c>
      <c r="L486" s="26">
        <v>1</v>
      </c>
      <c r="M486" s="27"/>
    </row>
    <row r="487" spans="1:13" ht="48">
      <c r="A487" s="1">
        <v>17</v>
      </c>
      <c r="B487" s="22">
        <v>20</v>
      </c>
      <c r="C487" s="23" t="s">
        <v>539</v>
      </c>
      <c r="D487" s="26" t="s">
        <v>34</v>
      </c>
      <c r="E487" s="24">
        <f>10500+5000</f>
        <v>15500</v>
      </c>
      <c r="F487" s="24">
        <f>2500+0</f>
        <v>2500</v>
      </c>
      <c r="G487" s="25">
        <f>8000+5000</f>
        <v>13000</v>
      </c>
      <c r="H487" s="24">
        <f t="shared" si="29"/>
        <v>15500</v>
      </c>
      <c r="I487" s="24">
        <v>2500</v>
      </c>
      <c r="J487" s="25">
        <v>13000</v>
      </c>
      <c r="K487" s="26">
        <v>1</v>
      </c>
      <c r="L487" s="26"/>
      <c r="M487" s="27" t="s">
        <v>23</v>
      </c>
    </row>
    <row r="488" spans="1:13" ht="32">
      <c r="A488" s="1">
        <v>17</v>
      </c>
      <c r="B488" s="30">
        <v>21</v>
      </c>
      <c r="C488" s="31" t="s">
        <v>540</v>
      </c>
      <c r="D488" s="34" t="s">
        <v>541</v>
      </c>
      <c r="E488" s="32">
        <f>22055.142-22055.142</f>
        <v>0</v>
      </c>
      <c r="F488" s="32">
        <f>5956.586-5956.586</f>
        <v>0</v>
      </c>
      <c r="G488" s="33">
        <f>16098.556-16098.556</f>
        <v>0</v>
      </c>
      <c r="H488" s="32">
        <f t="shared" si="29"/>
        <v>0</v>
      </c>
      <c r="I488" s="32"/>
      <c r="J488" s="33"/>
      <c r="K488" s="34">
        <v>0</v>
      </c>
      <c r="L488" s="34">
        <v>0</v>
      </c>
      <c r="M488" s="35" t="s">
        <v>28</v>
      </c>
    </row>
    <row r="489" spans="1:13" ht="33" thickBot="1">
      <c r="A489" s="1">
        <v>17</v>
      </c>
      <c r="B489" s="78">
        <v>22</v>
      </c>
      <c r="C489" s="79" t="s">
        <v>542</v>
      </c>
      <c r="D489" s="80"/>
      <c r="E489" s="81">
        <f>10500-10500</f>
        <v>0</v>
      </c>
      <c r="F489" s="81">
        <f>2500-2500</f>
        <v>0</v>
      </c>
      <c r="G489" s="82">
        <f>8000-8000</f>
        <v>0</v>
      </c>
      <c r="H489" s="81">
        <f t="shared" si="29"/>
        <v>0</v>
      </c>
      <c r="I489" s="81"/>
      <c r="J489" s="82"/>
      <c r="K489" s="80">
        <v>0</v>
      </c>
      <c r="L489" s="80">
        <v>0</v>
      </c>
      <c r="M489" s="83" t="s">
        <v>28</v>
      </c>
    </row>
    <row r="490" spans="1:13" ht="64">
      <c r="A490" s="1">
        <v>18</v>
      </c>
      <c r="B490" s="15"/>
      <c r="C490" s="16" t="s">
        <v>543</v>
      </c>
      <c r="D490" s="16"/>
      <c r="E490" s="17">
        <f>SUM(E491:E527)</f>
        <v>230262.47499999998</v>
      </c>
      <c r="F490" s="17">
        <f t="shared" ref="F490:J490" si="33">SUM(F491:F527)</f>
        <v>198147.76500000001</v>
      </c>
      <c r="G490" s="18">
        <f t="shared" si="33"/>
        <v>32114.71</v>
      </c>
      <c r="H490" s="17">
        <f t="shared" si="29"/>
        <v>167289.90700000001</v>
      </c>
      <c r="I490" s="17">
        <f t="shared" si="33"/>
        <v>141125.791</v>
      </c>
      <c r="J490" s="18">
        <f t="shared" si="33"/>
        <v>26164.115999999998</v>
      </c>
      <c r="K490" s="20">
        <f t="shared" ref="K490:L490" si="34">SUM(K491:K527)</f>
        <v>33</v>
      </c>
      <c r="L490" s="20">
        <f t="shared" si="34"/>
        <v>19</v>
      </c>
      <c r="M490" s="21"/>
    </row>
    <row r="491" spans="1:13" ht="64">
      <c r="A491" s="1">
        <v>18</v>
      </c>
      <c r="B491" s="22">
        <v>1</v>
      </c>
      <c r="C491" s="23" t="s">
        <v>544</v>
      </c>
      <c r="D491" s="23" t="s">
        <v>19</v>
      </c>
      <c r="E491" s="24">
        <v>1915.3510000000001</v>
      </c>
      <c r="F491" s="24">
        <v>1915.3510000000001</v>
      </c>
      <c r="G491" s="25">
        <v>0</v>
      </c>
      <c r="H491" s="24">
        <f t="shared" si="29"/>
        <v>1877.8910000000001</v>
      </c>
      <c r="I491" s="24">
        <v>1877.8910000000001</v>
      </c>
      <c r="J491" s="25">
        <v>0</v>
      </c>
      <c r="K491" s="26">
        <v>1</v>
      </c>
      <c r="L491" s="26">
        <v>1</v>
      </c>
      <c r="M491" s="27"/>
    </row>
    <row r="492" spans="1:13" ht="48">
      <c r="A492" s="1">
        <v>18</v>
      </c>
      <c r="B492" s="22">
        <v>2</v>
      </c>
      <c r="C492" s="23" t="s">
        <v>545</v>
      </c>
      <c r="D492" s="23" t="s">
        <v>16</v>
      </c>
      <c r="E492" s="24">
        <v>4670.0929999999998</v>
      </c>
      <c r="F492" s="24">
        <v>4670.0929999999998</v>
      </c>
      <c r="G492" s="25">
        <v>0</v>
      </c>
      <c r="H492" s="24">
        <f t="shared" si="29"/>
        <v>3989.154</v>
      </c>
      <c r="I492" s="24">
        <v>3989.154</v>
      </c>
      <c r="J492" s="25">
        <v>0</v>
      </c>
      <c r="K492" s="26">
        <v>1</v>
      </c>
      <c r="L492" s="26">
        <v>1</v>
      </c>
      <c r="M492" s="27"/>
    </row>
    <row r="493" spans="1:13" ht="48">
      <c r="A493" s="1">
        <v>18</v>
      </c>
      <c r="B493" s="22">
        <v>3</v>
      </c>
      <c r="C493" s="23" t="s">
        <v>546</v>
      </c>
      <c r="D493" s="23" t="s">
        <v>19</v>
      </c>
      <c r="E493" s="24">
        <v>246.96799999999999</v>
      </c>
      <c r="F493" s="24">
        <v>246.96799999999999</v>
      </c>
      <c r="G493" s="25">
        <v>0</v>
      </c>
      <c r="H493" s="24">
        <f t="shared" si="29"/>
        <v>246.96799999999999</v>
      </c>
      <c r="I493" s="24">
        <v>246.96799999999999</v>
      </c>
      <c r="J493" s="25">
        <v>0</v>
      </c>
      <c r="K493" s="26">
        <v>1</v>
      </c>
      <c r="L493" s="26">
        <v>1</v>
      </c>
      <c r="M493" s="27"/>
    </row>
    <row r="494" spans="1:13" ht="32">
      <c r="A494" s="1">
        <v>18</v>
      </c>
      <c r="B494" s="22">
        <v>4</v>
      </c>
      <c r="C494" s="23" t="s">
        <v>547</v>
      </c>
      <c r="D494" s="23" t="s">
        <v>548</v>
      </c>
      <c r="E494" s="24">
        <v>13374.355</v>
      </c>
      <c r="F494" s="24">
        <v>13374.355</v>
      </c>
      <c r="G494" s="25">
        <v>0</v>
      </c>
      <c r="H494" s="24">
        <f t="shared" si="29"/>
        <v>7727.3440000000001</v>
      </c>
      <c r="I494" s="24">
        <v>7727.3440000000001</v>
      </c>
      <c r="J494" s="25">
        <v>0</v>
      </c>
      <c r="K494" s="26">
        <v>1</v>
      </c>
      <c r="L494" s="26">
        <v>1</v>
      </c>
      <c r="M494" s="27"/>
    </row>
    <row r="495" spans="1:13" ht="32">
      <c r="A495" s="1">
        <v>18</v>
      </c>
      <c r="B495" s="22">
        <v>5</v>
      </c>
      <c r="C495" s="23" t="s">
        <v>549</v>
      </c>
      <c r="D495" s="23" t="s">
        <v>19</v>
      </c>
      <c r="E495" s="24">
        <v>14362.861999999999</v>
      </c>
      <c r="F495" s="24">
        <v>14362.861999999999</v>
      </c>
      <c r="G495" s="25">
        <v>0</v>
      </c>
      <c r="H495" s="24">
        <f t="shared" si="29"/>
        <v>14362.861999999999</v>
      </c>
      <c r="I495" s="24">
        <v>14362.861999999999</v>
      </c>
      <c r="J495" s="25">
        <v>0</v>
      </c>
      <c r="K495" s="26">
        <v>1</v>
      </c>
      <c r="L495" s="26"/>
      <c r="M495" s="27"/>
    </row>
    <row r="496" spans="1:13" ht="48">
      <c r="A496" s="1">
        <v>18</v>
      </c>
      <c r="B496" s="22">
        <v>6</v>
      </c>
      <c r="C496" s="23" t="s">
        <v>550</v>
      </c>
      <c r="D496" s="23" t="s">
        <v>548</v>
      </c>
      <c r="E496" s="24">
        <v>24000</v>
      </c>
      <c r="F496" s="24">
        <v>24000</v>
      </c>
      <c r="G496" s="25">
        <v>0</v>
      </c>
      <c r="H496" s="24">
        <f t="shared" si="29"/>
        <v>14842.887000000001</v>
      </c>
      <c r="I496" s="24">
        <v>14842.887000000001</v>
      </c>
      <c r="J496" s="25">
        <v>0</v>
      </c>
      <c r="K496" s="26">
        <v>1</v>
      </c>
      <c r="L496" s="26">
        <v>1</v>
      </c>
      <c r="M496" s="27"/>
    </row>
    <row r="497" spans="1:13" ht="48">
      <c r="A497" s="1">
        <v>18</v>
      </c>
      <c r="B497" s="22">
        <v>7</v>
      </c>
      <c r="C497" s="23" t="s">
        <v>551</v>
      </c>
      <c r="D497" s="23" t="s">
        <v>16</v>
      </c>
      <c r="E497" s="24">
        <v>11135.986000000001</v>
      </c>
      <c r="F497" s="24">
        <v>11135.986000000001</v>
      </c>
      <c r="G497" s="25">
        <v>0</v>
      </c>
      <c r="H497" s="24">
        <f t="shared" si="29"/>
        <v>5465.3879999999999</v>
      </c>
      <c r="I497" s="24">
        <v>5465.3879999999999</v>
      </c>
      <c r="J497" s="25">
        <v>0</v>
      </c>
      <c r="K497" s="26">
        <v>1</v>
      </c>
      <c r="L497" s="26"/>
      <c r="M497" s="27"/>
    </row>
    <row r="498" spans="1:13" ht="32">
      <c r="A498" s="1">
        <v>18</v>
      </c>
      <c r="B498" s="22">
        <v>8</v>
      </c>
      <c r="C498" s="23" t="s">
        <v>552</v>
      </c>
      <c r="D498" s="23" t="s">
        <v>19</v>
      </c>
      <c r="E498" s="24">
        <v>2528.6930000000002</v>
      </c>
      <c r="F498" s="24">
        <v>2528.6930000000002</v>
      </c>
      <c r="G498" s="25">
        <v>0</v>
      </c>
      <c r="H498" s="24">
        <f t="shared" si="29"/>
        <v>1985.76</v>
      </c>
      <c r="I498" s="24">
        <v>1985.76</v>
      </c>
      <c r="J498" s="25">
        <v>0</v>
      </c>
      <c r="K498" s="26">
        <v>1</v>
      </c>
      <c r="L498" s="26"/>
      <c r="M498" s="27"/>
    </row>
    <row r="499" spans="1:13" ht="32">
      <c r="A499" s="1">
        <v>18</v>
      </c>
      <c r="B499" s="22">
        <v>9</v>
      </c>
      <c r="C499" s="23" t="s">
        <v>553</v>
      </c>
      <c r="D499" s="23" t="s">
        <v>19</v>
      </c>
      <c r="E499" s="24">
        <v>2808.6669999999999</v>
      </c>
      <c r="F499" s="24">
        <v>2808.6669999999999</v>
      </c>
      <c r="G499" s="25">
        <v>0</v>
      </c>
      <c r="H499" s="24">
        <f t="shared" si="29"/>
        <v>1440.4459999999999</v>
      </c>
      <c r="I499" s="24">
        <v>1440.4459999999999</v>
      </c>
      <c r="J499" s="25">
        <v>0</v>
      </c>
      <c r="K499" s="26">
        <v>1</v>
      </c>
      <c r="L499" s="26"/>
      <c r="M499" s="27"/>
    </row>
    <row r="500" spans="1:13" ht="48">
      <c r="A500" s="1">
        <v>18</v>
      </c>
      <c r="B500" s="30">
        <v>10</v>
      </c>
      <c r="C500" s="31" t="s">
        <v>554</v>
      </c>
      <c r="D500" s="31"/>
      <c r="E500" s="32">
        <f>910.22-910.22</f>
        <v>0</v>
      </c>
      <c r="F500" s="32">
        <f>910.22-910.22</f>
        <v>0</v>
      </c>
      <c r="G500" s="33">
        <f>0-0</f>
        <v>0</v>
      </c>
      <c r="H500" s="32">
        <f t="shared" si="29"/>
        <v>0</v>
      </c>
      <c r="I500" s="32"/>
      <c r="J500" s="33"/>
      <c r="K500" s="34">
        <f>1-1</f>
        <v>0</v>
      </c>
      <c r="L500" s="34">
        <v>0</v>
      </c>
      <c r="M500" s="35" t="s">
        <v>28</v>
      </c>
    </row>
    <row r="501" spans="1:13" ht="48">
      <c r="A501" s="1">
        <v>18</v>
      </c>
      <c r="B501" s="22">
        <v>11</v>
      </c>
      <c r="C501" s="23" t="s">
        <v>555</v>
      </c>
      <c r="D501" s="23" t="s">
        <v>19</v>
      </c>
      <c r="E501" s="24">
        <v>688.55499999999995</v>
      </c>
      <c r="F501" s="24">
        <v>688.55499999999995</v>
      </c>
      <c r="G501" s="25">
        <v>0</v>
      </c>
      <c r="H501" s="24">
        <f t="shared" si="29"/>
        <v>688.55499999999995</v>
      </c>
      <c r="I501" s="24">
        <v>688.55499999999995</v>
      </c>
      <c r="J501" s="25">
        <v>0</v>
      </c>
      <c r="K501" s="26">
        <v>1</v>
      </c>
      <c r="L501" s="26"/>
      <c r="M501" s="27"/>
    </row>
    <row r="502" spans="1:13" ht="64">
      <c r="A502" s="1">
        <v>18</v>
      </c>
      <c r="B502" s="22">
        <v>12</v>
      </c>
      <c r="C502" s="23" t="s">
        <v>556</v>
      </c>
      <c r="D502" s="23" t="s">
        <v>19</v>
      </c>
      <c r="E502" s="24">
        <v>1911.1310000000001</v>
      </c>
      <c r="F502" s="24">
        <v>1911.1310000000001</v>
      </c>
      <c r="G502" s="25">
        <v>0</v>
      </c>
      <c r="H502" s="24">
        <f t="shared" si="29"/>
        <v>1906.87</v>
      </c>
      <c r="I502" s="24">
        <v>1906.87</v>
      </c>
      <c r="J502" s="25">
        <v>0</v>
      </c>
      <c r="K502" s="26">
        <v>1</v>
      </c>
      <c r="L502" s="26">
        <v>1</v>
      </c>
      <c r="M502" s="27"/>
    </row>
    <row r="503" spans="1:13" ht="48">
      <c r="A503" s="1">
        <v>18</v>
      </c>
      <c r="B503" s="22">
        <v>13</v>
      </c>
      <c r="C503" s="23" t="s">
        <v>557</v>
      </c>
      <c r="D503" s="23" t="s">
        <v>16</v>
      </c>
      <c r="E503" s="24">
        <v>4982.7060000000001</v>
      </c>
      <c r="F503" s="24">
        <v>4982.7060000000001</v>
      </c>
      <c r="G503" s="25">
        <v>0</v>
      </c>
      <c r="H503" s="24">
        <f t="shared" si="29"/>
        <v>4963.7749999999996</v>
      </c>
      <c r="I503" s="24">
        <v>4963.7749999999996</v>
      </c>
      <c r="J503" s="25">
        <v>0</v>
      </c>
      <c r="K503" s="26">
        <v>1</v>
      </c>
      <c r="L503" s="26">
        <v>1</v>
      </c>
      <c r="M503" s="27"/>
    </row>
    <row r="504" spans="1:13" ht="32">
      <c r="A504" s="1">
        <v>18</v>
      </c>
      <c r="B504" s="22">
        <v>14</v>
      </c>
      <c r="C504" s="23" t="s">
        <v>558</v>
      </c>
      <c r="D504" s="23" t="s">
        <v>19</v>
      </c>
      <c r="E504" s="24">
        <v>539.88499999999999</v>
      </c>
      <c r="F504" s="24">
        <v>539.88499999999999</v>
      </c>
      <c r="G504" s="25">
        <v>0</v>
      </c>
      <c r="H504" s="24">
        <f t="shared" si="29"/>
        <v>536.98500000000001</v>
      </c>
      <c r="I504" s="24">
        <v>536.98500000000001</v>
      </c>
      <c r="J504" s="25">
        <v>0</v>
      </c>
      <c r="K504" s="26">
        <v>1</v>
      </c>
      <c r="L504" s="26">
        <v>1</v>
      </c>
      <c r="M504" s="27"/>
    </row>
    <row r="505" spans="1:13" ht="48">
      <c r="A505" s="1">
        <v>18</v>
      </c>
      <c r="B505" s="22">
        <v>15</v>
      </c>
      <c r="C505" s="23" t="s">
        <v>559</v>
      </c>
      <c r="D505" s="23" t="s">
        <v>19</v>
      </c>
      <c r="E505" s="24">
        <v>1223.481</v>
      </c>
      <c r="F505" s="24">
        <v>1223.481</v>
      </c>
      <c r="G505" s="25">
        <v>0</v>
      </c>
      <c r="H505" s="24">
        <f t="shared" si="29"/>
        <v>1223.481</v>
      </c>
      <c r="I505" s="24">
        <v>1223.481</v>
      </c>
      <c r="J505" s="25">
        <v>0</v>
      </c>
      <c r="K505" s="26">
        <v>1</v>
      </c>
      <c r="L505" s="26">
        <v>1</v>
      </c>
      <c r="M505" s="27"/>
    </row>
    <row r="506" spans="1:13" ht="32">
      <c r="A506" s="1">
        <v>18</v>
      </c>
      <c r="B506" s="30">
        <v>16</v>
      </c>
      <c r="C506" s="31" t="s">
        <v>560</v>
      </c>
      <c r="D506" s="31"/>
      <c r="E506" s="32">
        <f>11521.37-11521.37</f>
        <v>0</v>
      </c>
      <c r="F506" s="32">
        <f>11521.37-11521.37</f>
        <v>0</v>
      </c>
      <c r="G506" s="33">
        <f>0-0</f>
        <v>0</v>
      </c>
      <c r="H506" s="32">
        <f t="shared" si="29"/>
        <v>0</v>
      </c>
      <c r="I506" s="32"/>
      <c r="J506" s="33"/>
      <c r="K506" s="34">
        <f>1-1</f>
        <v>0</v>
      </c>
      <c r="L506" s="34">
        <v>0</v>
      </c>
      <c r="M506" s="35" t="s">
        <v>28</v>
      </c>
    </row>
    <row r="507" spans="1:13" ht="48">
      <c r="A507" s="1">
        <v>18</v>
      </c>
      <c r="B507" s="30">
        <v>17</v>
      </c>
      <c r="C507" s="31" t="s">
        <v>561</v>
      </c>
      <c r="D507" s="31"/>
      <c r="E507" s="32">
        <f>1724.472-1724.472</f>
        <v>0</v>
      </c>
      <c r="F507" s="32">
        <f>1724.472-1724.472</f>
        <v>0</v>
      </c>
      <c r="G507" s="33">
        <f>0-0</f>
        <v>0</v>
      </c>
      <c r="H507" s="32">
        <f t="shared" si="29"/>
        <v>0</v>
      </c>
      <c r="I507" s="32"/>
      <c r="J507" s="33"/>
      <c r="K507" s="34">
        <f>1-1</f>
        <v>0</v>
      </c>
      <c r="L507" s="34">
        <v>0</v>
      </c>
      <c r="M507" s="35" t="s">
        <v>28</v>
      </c>
    </row>
    <row r="508" spans="1:13" ht="64">
      <c r="A508" s="1">
        <v>18</v>
      </c>
      <c r="B508" s="22">
        <v>18</v>
      </c>
      <c r="C508" s="23" t="s">
        <v>562</v>
      </c>
      <c r="D508" s="23" t="s">
        <v>19</v>
      </c>
      <c r="E508" s="24">
        <v>1003.68</v>
      </c>
      <c r="F508" s="24">
        <v>1003.68</v>
      </c>
      <c r="G508" s="25">
        <v>0</v>
      </c>
      <c r="H508" s="24">
        <f t="shared" si="29"/>
        <v>1003.68</v>
      </c>
      <c r="I508" s="24">
        <v>1003.68</v>
      </c>
      <c r="J508" s="25">
        <v>0</v>
      </c>
      <c r="K508" s="26">
        <v>1</v>
      </c>
      <c r="L508" s="26">
        <v>1</v>
      </c>
      <c r="M508" s="27"/>
    </row>
    <row r="509" spans="1:13" ht="48">
      <c r="A509" s="1">
        <v>18</v>
      </c>
      <c r="B509" s="22">
        <v>19</v>
      </c>
      <c r="C509" s="23" t="s">
        <v>563</v>
      </c>
      <c r="D509" s="23" t="s">
        <v>81</v>
      </c>
      <c r="E509" s="24">
        <v>2907.306</v>
      </c>
      <c r="F509" s="24">
        <v>2907.306</v>
      </c>
      <c r="G509" s="25">
        <v>0</v>
      </c>
      <c r="H509" s="24">
        <f t="shared" si="29"/>
        <v>670.41399999999999</v>
      </c>
      <c r="I509" s="24">
        <v>670.41399999999999</v>
      </c>
      <c r="J509" s="25">
        <v>0</v>
      </c>
      <c r="K509" s="26">
        <v>1</v>
      </c>
      <c r="L509" s="26"/>
      <c r="M509" s="27"/>
    </row>
    <row r="510" spans="1:13" ht="64">
      <c r="A510" s="1">
        <v>18</v>
      </c>
      <c r="B510" s="22">
        <v>20</v>
      </c>
      <c r="C510" s="23" t="s">
        <v>564</v>
      </c>
      <c r="D510" s="23">
        <v>2017</v>
      </c>
      <c r="E510" s="24">
        <v>1098.72</v>
      </c>
      <c r="F510" s="24">
        <v>1098.72</v>
      </c>
      <c r="G510" s="25">
        <v>0</v>
      </c>
      <c r="H510" s="24">
        <f t="shared" si="29"/>
        <v>1098.72</v>
      </c>
      <c r="I510" s="24">
        <v>1098.72</v>
      </c>
      <c r="J510" s="25">
        <v>0</v>
      </c>
      <c r="K510" s="26">
        <v>1</v>
      </c>
      <c r="L510" s="26">
        <v>1</v>
      </c>
      <c r="M510" s="27"/>
    </row>
    <row r="511" spans="1:13" ht="64">
      <c r="A511" s="1">
        <v>18</v>
      </c>
      <c r="B511" s="22">
        <v>21</v>
      </c>
      <c r="C511" s="23" t="s">
        <v>565</v>
      </c>
      <c r="D511" s="23" t="s">
        <v>34</v>
      </c>
      <c r="E511" s="24">
        <f>21268.023+4463.918</f>
        <v>25731.940999999999</v>
      </c>
      <c r="F511" s="24">
        <f>21268.023+2376.461</f>
        <v>23644.484</v>
      </c>
      <c r="G511" s="25">
        <f>0+2087.457</f>
        <v>2087.4569999999999</v>
      </c>
      <c r="H511" s="24">
        <f t="shared" si="29"/>
        <v>21877.938999999998</v>
      </c>
      <c r="I511" s="24">
        <v>21877.938999999998</v>
      </c>
      <c r="J511" s="25">
        <v>0</v>
      </c>
      <c r="K511" s="26">
        <v>1</v>
      </c>
      <c r="L511" s="26"/>
      <c r="M511" s="27" t="s">
        <v>23</v>
      </c>
    </row>
    <row r="512" spans="1:13" ht="48">
      <c r="A512" s="1">
        <v>18</v>
      </c>
      <c r="B512" s="22">
        <v>22</v>
      </c>
      <c r="C512" s="23" t="s">
        <v>566</v>
      </c>
      <c r="D512" s="23">
        <v>2019</v>
      </c>
      <c r="E512" s="24">
        <v>9407.3880000000008</v>
      </c>
      <c r="F512" s="24">
        <v>9407.3880000000008</v>
      </c>
      <c r="G512" s="25">
        <v>0</v>
      </c>
      <c r="H512" s="24">
        <f t="shared" si="29"/>
        <v>7143.9459999999999</v>
      </c>
      <c r="I512" s="24">
        <v>7143.9459999999999</v>
      </c>
      <c r="J512" s="25">
        <v>0</v>
      </c>
      <c r="K512" s="26">
        <v>1</v>
      </c>
      <c r="L512" s="26">
        <v>1</v>
      </c>
      <c r="M512" s="27"/>
    </row>
    <row r="513" spans="1:13" ht="48">
      <c r="A513" s="1">
        <v>18</v>
      </c>
      <c r="B513" s="22">
        <v>23</v>
      </c>
      <c r="C513" s="23" t="s">
        <v>567</v>
      </c>
      <c r="D513" s="23">
        <v>2019</v>
      </c>
      <c r="E513" s="24">
        <v>15000</v>
      </c>
      <c r="F513" s="24">
        <v>8000</v>
      </c>
      <c r="G513" s="25">
        <v>7000</v>
      </c>
      <c r="H513" s="24">
        <f t="shared" si="29"/>
        <v>15000</v>
      </c>
      <c r="I513" s="24">
        <v>8000</v>
      </c>
      <c r="J513" s="25">
        <v>7000</v>
      </c>
      <c r="K513" s="26">
        <v>1</v>
      </c>
      <c r="L513" s="26"/>
      <c r="M513" s="27" t="s">
        <v>23</v>
      </c>
    </row>
    <row r="514" spans="1:13" ht="48">
      <c r="A514" s="1">
        <v>18</v>
      </c>
      <c r="B514" s="22">
        <v>24</v>
      </c>
      <c r="C514" s="23" t="s">
        <v>568</v>
      </c>
      <c r="D514" s="23" t="s">
        <v>34</v>
      </c>
      <c r="E514" s="24">
        <v>10914.16</v>
      </c>
      <c r="F514" s="24">
        <v>8185.62</v>
      </c>
      <c r="G514" s="25">
        <v>2728.54</v>
      </c>
      <c r="H514" s="24">
        <f t="shared" si="29"/>
        <v>7139.491</v>
      </c>
      <c r="I514" s="24">
        <v>4410.951</v>
      </c>
      <c r="J514" s="25">
        <v>2728.54</v>
      </c>
      <c r="K514" s="26">
        <v>1</v>
      </c>
      <c r="L514" s="26">
        <v>1</v>
      </c>
      <c r="M514" s="27"/>
    </row>
    <row r="515" spans="1:13" ht="32">
      <c r="A515" s="1">
        <v>18</v>
      </c>
      <c r="B515" s="22">
        <v>25</v>
      </c>
      <c r="C515" s="23" t="s">
        <v>569</v>
      </c>
      <c r="D515" s="23">
        <v>2019</v>
      </c>
      <c r="E515" s="24">
        <v>4243.1229999999996</v>
      </c>
      <c r="F515" s="24">
        <v>3182.3420000000001</v>
      </c>
      <c r="G515" s="25">
        <v>1060.7809999999999</v>
      </c>
      <c r="H515" s="24">
        <f t="shared" si="29"/>
        <v>4243.1229999999996</v>
      </c>
      <c r="I515" s="24">
        <v>3182.3420000000001</v>
      </c>
      <c r="J515" s="25">
        <v>1060.7809999999999</v>
      </c>
      <c r="K515" s="26">
        <v>1</v>
      </c>
      <c r="L515" s="26">
        <v>1</v>
      </c>
      <c r="M515" s="27"/>
    </row>
    <row r="516" spans="1:13" ht="48">
      <c r="A516" s="1">
        <v>18</v>
      </c>
      <c r="B516" s="22">
        <v>26</v>
      </c>
      <c r="C516" s="23" t="s">
        <v>570</v>
      </c>
      <c r="D516" s="23" t="s">
        <v>34</v>
      </c>
      <c r="E516" s="24">
        <v>5722.7169999999996</v>
      </c>
      <c r="F516" s="24">
        <v>4292.0370000000003</v>
      </c>
      <c r="G516" s="25">
        <v>1430.68</v>
      </c>
      <c r="H516" s="24">
        <f t="shared" si="29"/>
        <v>1533.8220000000001</v>
      </c>
      <c r="I516" s="24">
        <v>103.142</v>
      </c>
      <c r="J516" s="25">
        <v>1430.68</v>
      </c>
      <c r="K516" s="26">
        <v>1</v>
      </c>
      <c r="L516" s="26">
        <v>1</v>
      </c>
      <c r="M516" s="27"/>
    </row>
    <row r="517" spans="1:13" ht="48">
      <c r="A517" s="1">
        <v>18</v>
      </c>
      <c r="B517" s="22">
        <v>27</v>
      </c>
      <c r="C517" s="23" t="s">
        <v>571</v>
      </c>
      <c r="D517" s="23" t="s">
        <v>548</v>
      </c>
      <c r="E517" s="24">
        <f>3500+3000</f>
        <v>6500</v>
      </c>
      <c r="F517" s="24">
        <f>3500+3000</f>
        <v>6500</v>
      </c>
      <c r="G517" s="25">
        <f>0+0</f>
        <v>0</v>
      </c>
      <c r="H517" s="24">
        <f t="shared" si="29"/>
        <v>4924.7359999999999</v>
      </c>
      <c r="I517" s="24">
        <v>4924.7359999999999</v>
      </c>
      <c r="J517" s="25">
        <v>0</v>
      </c>
      <c r="K517" s="26">
        <v>1</v>
      </c>
      <c r="L517" s="26"/>
      <c r="M517" s="27" t="s">
        <v>23</v>
      </c>
    </row>
    <row r="518" spans="1:13" ht="48">
      <c r="A518" s="1">
        <v>18</v>
      </c>
      <c r="B518" s="22">
        <v>28</v>
      </c>
      <c r="C518" s="23" t="s">
        <v>572</v>
      </c>
      <c r="D518" s="23">
        <v>2019</v>
      </c>
      <c r="E518" s="24">
        <v>5164.5119999999997</v>
      </c>
      <c r="F518" s="24">
        <v>3563.788</v>
      </c>
      <c r="G518" s="25">
        <v>1600.7239999999999</v>
      </c>
      <c r="H518" s="24">
        <f t="shared" si="29"/>
        <v>3717.7510000000002</v>
      </c>
      <c r="I518" s="24">
        <v>2363.2049999999999</v>
      </c>
      <c r="J518" s="25">
        <v>1354.546</v>
      </c>
      <c r="K518" s="26">
        <v>1</v>
      </c>
      <c r="L518" s="26">
        <v>1</v>
      </c>
      <c r="M518" s="27"/>
    </row>
    <row r="519" spans="1:13" ht="32">
      <c r="A519" s="1">
        <v>18</v>
      </c>
      <c r="B519" s="22">
        <v>29</v>
      </c>
      <c r="C519" s="23" t="s">
        <v>573</v>
      </c>
      <c r="D519" s="23" t="s">
        <v>34</v>
      </c>
      <c r="E519" s="24">
        <f>11134.798+9024.684</f>
        <v>20159.482</v>
      </c>
      <c r="F519" s="24">
        <f>8833.908+9024.684</f>
        <v>17858.591999999997</v>
      </c>
      <c r="G519" s="25">
        <f>2300.89+0</f>
        <v>2300.89</v>
      </c>
      <c r="H519" s="24">
        <f t="shared" si="29"/>
        <v>12534.025</v>
      </c>
      <c r="I519" s="24">
        <v>10233.135</v>
      </c>
      <c r="J519" s="25">
        <v>2300.89</v>
      </c>
      <c r="K519" s="26">
        <v>1</v>
      </c>
      <c r="L519" s="26"/>
      <c r="M519" s="27" t="s">
        <v>23</v>
      </c>
    </row>
    <row r="520" spans="1:13" ht="80">
      <c r="A520" s="1">
        <v>18</v>
      </c>
      <c r="B520" s="22">
        <v>30</v>
      </c>
      <c r="C520" s="23" t="s">
        <v>574</v>
      </c>
      <c r="D520" s="23">
        <v>2019</v>
      </c>
      <c r="E520" s="24">
        <v>4900</v>
      </c>
      <c r="F520" s="24">
        <v>3675</v>
      </c>
      <c r="G520" s="25">
        <v>1225</v>
      </c>
      <c r="H520" s="24">
        <f t="shared" si="29"/>
        <v>4900</v>
      </c>
      <c r="I520" s="24">
        <v>3675</v>
      </c>
      <c r="J520" s="25">
        <v>1225</v>
      </c>
      <c r="K520" s="26">
        <v>1</v>
      </c>
      <c r="L520" s="26">
        <v>1</v>
      </c>
      <c r="M520" s="27"/>
    </row>
    <row r="521" spans="1:13" ht="96">
      <c r="A521" s="1">
        <v>18</v>
      </c>
      <c r="B521" s="22">
        <v>31</v>
      </c>
      <c r="C521" s="23" t="s">
        <v>575</v>
      </c>
      <c r="D521" s="23">
        <v>2019</v>
      </c>
      <c r="E521" s="24">
        <v>5000</v>
      </c>
      <c r="F521" s="24">
        <v>3000</v>
      </c>
      <c r="G521" s="25">
        <v>2000</v>
      </c>
      <c r="H521" s="24">
        <f t="shared" si="29"/>
        <v>5000</v>
      </c>
      <c r="I521" s="24">
        <v>3000</v>
      </c>
      <c r="J521" s="25">
        <v>2000</v>
      </c>
      <c r="K521" s="26">
        <v>1</v>
      </c>
      <c r="L521" s="26"/>
      <c r="M521" s="27"/>
    </row>
    <row r="522" spans="1:13" ht="48">
      <c r="A522" s="1">
        <v>18</v>
      </c>
      <c r="B522" s="30">
        <v>32</v>
      </c>
      <c r="C522" s="31" t="s">
        <v>576</v>
      </c>
      <c r="D522" s="31"/>
      <c r="E522" s="32">
        <f>7332.54-7332.54</f>
        <v>0</v>
      </c>
      <c r="F522" s="32">
        <f>7332.54-7332.54</f>
        <v>0</v>
      </c>
      <c r="G522" s="33">
        <f>0-0</f>
        <v>0</v>
      </c>
      <c r="H522" s="32">
        <f t="shared" ref="H522:H585" si="35">I522+J522</f>
        <v>0</v>
      </c>
      <c r="I522" s="32"/>
      <c r="J522" s="33"/>
      <c r="K522" s="34">
        <f>1-1</f>
        <v>0</v>
      </c>
      <c r="L522" s="34">
        <v>0</v>
      </c>
      <c r="M522" s="35" t="s">
        <v>28</v>
      </c>
    </row>
    <row r="523" spans="1:13" ht="48">
      <c r="A523" s="1">
        <v>18</v>
      </c>
      <c r="B523" s="22">
        <v>33</v>
      </c>
      <c r="C523" s="23" t="s">
        <v>577</v>
      </c>
      <c r="D523" s="23" t="s">
        <v>34</v>
      </c>
      <c r="E523" s="24">
        <v>4970.9160000000002</v>
      </c>
      <c r="F523" s="24">
        <v>3728.1869999999999</v>
      </c>
      <c r="G523" s="25">
        <v>1242.729</v>
      </c>
      <c r="H523" s="24">
        <f t="shared" si="35"/>
        <v>1206.0440000000001</v>
      </c>
      <c r="I523" s="24">
        <v>833.22500000000002</v>
      </c>
      <c r="J523" s="25">
        <v>372.81900000000002</v>
      </c>
      <c r="K523" s="26">
        <v>1</v>
      </c>
      <c r="L523" s="26"/>
      <c r="M523" s="27"/>
    </row>
    <row r="524" spans="1:13" ht="64">
      <c r="A524" s="1">
        <v>18</v>
      </c>
      <c r="B524" s="22">
        <v>34</v>
      </c>
      <c r="C524" s="23" t="s">
        <v>578</v>
      </c>
      <c r="D524" s="23" t="s">
        <v>34</v>
      </c>
      <c r="E524" s="24">
        <v>7898.1620000000003</v>
      </c>
      <c r="F524" s="24">
        <v>5923.1620000000003</v>
      </c>
      <c r="G524" s="25">
        <v>1975</v>
      </c>
      <c r="H524" s="24">
        <f t="shared" si="35"/>
        <v>0</v>
      </c>
      <c r="I524" s="24">
        <v>0</v>
      </c>
      <c r="J524" s="25">
        <v>0</v>
      </c>
      <c r="K524" s="26">
        <v>1</v>
      </c>
      <c r="L524" s="26">
        <v>1</v>
      </c>
      <c r="M524" s="27"/>
    </row>
    <row r="525" spans="1:13" ht="80">
      <c r="A525" s="1">
        <v>18</v>
      </c>
      <c r="B525" s="22">
        <v>35</v>
      </c>
      <c r="C525" s="23" t="s">
        <v>579</v>
      </c>
      <c r="D525" s="23" t="s">
        <v>34</v>
      </c>
      <c r="E525" s="24">
        <v>2700</v>
      </c>
      <c r="F525" s="24">
        <v>2000</v>
      </c>
      <c r="G525" s="25">
        <v>700</v>
      </c>
      <c r="H525" s="24">
        <f t="shared" si="35"/>
        <v>2690.953</v>
      </c>
      <c r="I525" s="24">
        <v>1990.953</v>
      </c>
      <c r="J525" s="25">
        <v>700</v>
      </c>
      <c r="K525" s="26">
        <v>1</v>
      </c>
      <c r="L525" s="26"/>
      <c r="M525" s="27"/>
    </row>
    <row r="526" spans="1:13" ht="64">
      <c r="A526" s="1">
        <v>18</v>
      </c>
      <c r="B526" s="22">
        <v>36</v>
      </c>
      <c r="C526" s="23" t="s">
        <v>580</v>
      </c>
      <c r="D526" s="23" t="s">
        <v>34</v>
      </c>
      <c r="E526" s="24">
        <v>5051.6350000000002</v>
      </c>
      <c r="F526" s="24">
        <v>3788.7260000000001</v>
      </c>
      <c r="G526" s="25">
        <v>1262.9090000000001</v>
      </c>
      <c r="H526" s="24">
        <f t="shared" si="35"/>
        <v>4637.4340000000002</v>
      </c>
      <c r="I526" s="24">
        <v>3374.5250000000001</v>
      </c>
      <c r="J526" s="25">
        <v>1262.9090000000001</v>
      </c>
      <c r="K526" s="26">
        <v>1</v>
      </c>
      <c r="L526" s="26"/>
      <c r="M526" s="27"/>
    </row>
    <row r="527" spans="1:13" ht="49" thickBot="1">
      <c r="A527" s="1">
        <v>18</v>
      </c>
      <c r="B527" s="36">
        <v>37</v>
      </c>
      <c r="C527" s="37" t="s">
        <v>581</v>
      </c>
      <c r="D527" s="37" t="s">
        <v>34</v>
      </c>
      <c r="E527" s="38">
        <v>7500</v>
      </c>
      <c r="F527" s="38">
        <v>2000</v>
      </c>
      <c r="G527" s="39">
        <v>5500</v>
      </c>
      <c r="H527" s="38">
        <f t="shared" si="35"/>
        <v>6709.4629999999997</v>
      </c>
      <c r="I527" s="38">
        <v>1981.5119999999999</v>
      </c>
      <c r="J527" s="39">
        <v>4727.951</v>
      </c>
      <c r="K527" s="40">
        <v>1</v>
      </c>
      <c r="L527" s="40">
        <v>1</v>
      </c>
      <c r="M527" s="41"/>
    </row>
    <row r="528" spans="1:13" ht="64">
      <c r="A528" s="1">
        <v>19</v>
      </c>
      <c r="B528" s="15"/>
      <c r="C528" s="16" t="s">
        <v>582</v>
      </c>
      <c r="D528" s="16"/>
      <c r="E528" s="17">
        <f>SUM(E529:E572)</f>
        <v>222475.03099999996</v>
      </c>
      <c r="F528" s="17">
        <f t="shared" ref="F528:L528" si="36">SUM(F529:F572)</f>
        <v>191446.43599999993</v>
      </c>
      <c r="G528" s="18">
        <f t="shared" si="36"/>
        <v>31028.594999999994</v>
      </c>
      <c r="H528" s="17">
        <f t="shared" si="35"/>
        <v>212248.01399999997</v>
      </c>
      <c r="I528" s="17">
        <f t="shared" si="36"/>
        <v>184730.23599999998</v>
      </c>
      <c r="J528" s="18">
        <f t="shared" si="36"/>
        <v>27517.777999999991</v>
      </c>
      <c r="K528" s="20">
        <f t="shared" si="36"/>
        <v>42</v>
      </c>
      <c r="L528" s="20">
        <f t="shared" si="36"/>
        <v>15</v>
      </c>
      <c r="M528" s="21"/>
    </row>
    <row r="529" spans="1:13" ht="48">
      <c r="A529" s="1">
        <v>19</v>
      </c>
      <c r="B529" s="22">
        <v>1</v>
      </c>
      <c r="C529" s="23" t="s">
        <v>583</v>
      </c>
      <c r="D529" s="26" t="s">
        <v>61</v>
      </c>
      <c r="E529" s="24">
        <v>6790</v>
      </c>
      <c r="F529" s="24">
        <v>6790</v>
      </c>
      <c r="G529" s="25">
        <v>0</v>
      </c>
      <c r="H529" s="24">
        <f t="shared" si="35"/>
        <v>6782.5659999999998</v>
      </c>
      <c r="I529" s="24">
        <v>6782.5659999999998</v>
      </c>
      <c r="J529" s="25">
        <v>0</v>
      </c>
      <c r="K529" s="26">
        <v>1</v>
      </c>
      <c r="L529" s="26"/>
      <c r="M529" s="27"/>
    </row>
    <row r="530" spans="1:13" ht="48">
      <c r="A530" s="1">
        <v>19</v>
      </c>
      <c r="B530" s="22">
        <v>2</v>
      </c>
      <c r="C530" s="23" t="s">
        <v>584</v>
      </c>
      <c r="D530" s="26" t="s">
        <v>16</v>
      </c>
      <c r="E530" s="24">
        <v>4394.8559999999998</v>
      </c>
      <c r="F530" s="24">
        <v>4394.8559999999998</v>
      </c>
      <c r="G530" s="25">
        <v>0</v>
      </c>
      <c r="H530" s="24">
        <f t="shared" si="35"/>
        <v>4390.174</v>
      </c>
      <c r="I530" s="24">
        <v>4390.174</v>
      </c>
      <c r="J530" s="25">
        <v>0</v>
      </c>
      <c r="K530" s="26">
        <v>1</v>
      </c>
      <c r="L530" s="26"/>
      <c r="M530" s="27"/>
    </row>
    <row r="531" spans="1:13" ht="48">
      <c r="A531" s="1">
        <v>19</v>
      </c>
      <c r="B531" s="22">
        <v>3</v>
      </c>
      <c r="C531" s="23" t="s">
        <v>585</v>
      </c>
      <c r="D531" s="26" t="s">
        <v>16</v>
      </c>
      <c r="E531" s="24">
        <v>3969.4769999999999</v>
      </c>
      <c r="F531" s="24">
        <v>3969.4769999999999</v>
      </c>
      <c r="G531" s="25">
        <v>0</v>
      </c>
      <c r="H531" s="24">
        <f t="shared" si="35"/>
        <v>3815.6489999999999</v>
      </c>
      <c r="I531" s="24">
        <v>3815.6489999999999</v>
      </c>
      <c r="J531" s="25">
        <v>0</v>
      </c>
      <c r="K531" s="26">
        <v>1</v>
      </c>
      <c r="L531" s="26"/>
      <c r="M531" s="27"/>
    </row>
    <row r="532" spans="1:13" ht="48">
      <c r="A532" s="1">
        <v>19</v>
      </c>
      <c r="B532" s="22">
        <v>4</v>
      </c>
      <c r="C532" s="23" t="s">
        <v>586</v>
      </c>
      <c r="D532" s="26" t="s">
        <v>16</v>
      </c>
      <c r="E532" s="24">
        <v>6873.0330000000004</v>
      </c>
      <c r="F532" s="24">
        <v>6873.0330000000004</v>
      </c>
      <c r="G532" s="25">
        <v>0</v>
      </c>
      <c r="H532" s="24">
        <f t="shared" si="35"/>
        <v>6873.0330000000004</v>
      </c>
      <c r="I532" s="24">
        <v>6873.0330000000004</v>
      </c>
      <c r="J532" s="25">
        <v>0</v>
      </c>
      <c r="K532" s="26">
        <v>1</v>
      </c>
      <c r="L532" s="26"/>
      <c r="M532" s="27"/>
    </row>
    <row r="533" spans="1:13" ht="64">
      <c r="A533" s="1">
        <v>19</v>
      </c>
      <c r="B533" s="22">
        <v>5</v>
      </c>
      <c r="C533" s="23" t="s">
        <v>587</v>
      </c>
      <c r="D533" s="26" t="s">
        <v>19</v>
      </c>
      <c r="E533" s="24">
        <v>1902.874</v>
      </c>
      <c r="F533" s="24">
        <v>1902.874</v>
      </c>
      <c r="G533" s="25">
        <v>0</v>
      </c>
      <c r="H533" s="24">
        <f t="shared" si="35"/>
        <v>1902.874</v>
      </c>
      <c r="I533" s="24">
        <v>1902.874</v>
      </c>
      <c r="J533" s="25">
        <v>0</v>
      </c>
      <c r="K533" s="26">
        <v>1</v>
      </c>
      <c r="L533" s="26">
        <v>1</v>
      </c>
      <c r="M533" s="27"/>
    </row>
    <row r="534" spans="1:13" ht="48">
      <c r="A534" s="1">
        <v>19</v>
      </c>
      <c r="B534" s="22">
        <v>6</v>
      </c>
      <c r="C534" s="23" t="s">
        <v>588</v>
      </c>
      <c r="D534" s="26" t="s">
        <v>61</v>
      </c>
      <c r="E534" s="24">
        <v>10000</v>
      </c>
      <c r="F534" s="24">
        <v>10000</v>
      </c>
      <c r="G534" s="25">
        <v>0</v>
      </c>
      <c r="H534" s="24">
        <f t="shared" si="35"/>
        <v>10000</v>
      </c>
      <c r="I534" s="24">
        <v>10000</v>
      </c>
      <c r="J534" s="25">
        <v>0</v>
      </c>
      <c r="K534" s="26">
        <v>1</v>
      </c>
      <c r="L534" s="26"/>
      <c r="M534" s="27"/>
    </row>
    <row r="535" spans="1:13" ht="32">
      <c r="A535" s="1">
        <v>19</v>
      </c>
      <c r="B535" s="22">
        <v>7</v>
      </c>
      <c r="C535" s="23" t="s">
        <v>589</v>
      </c>
      <c r="D535" s="26" t="s">
        <v>61</v>
      </c>
      <c r="E535" s="24">
        <f>10000+1500</f>
        <v>11500</v>
      </c>
      <c r="F535" s="24">
        <f>10000+1500</f>
        <v>11500</v>
      </c>
      <c r="G535" s="25">
        <f>0+0</f>
        <v>0</v>
      </c>
      <c r="H535" s="24">
        <f t="shared" si="35"/>
        <v>11499.802</v>
      </c>
      <c r="I535" s="24">
        <v>11499.802</v>
      </c>
      <c r="J535" s="25">
        <v>0</v>
      </c>
      <c r="K535" s="26">
        <v>1</v>
      </c>
      <c r="L535" s="26"/>
      <c r="M535" s="27" t="s">
        <v>23</v>
      </c>
    </row>
    <row r="536" spans="1:13" ht="32">
      <c r="A536" s="1">
        <v>19</v>
      </c>
      <c r="B536" s="22">
        <v>8</v>
      </c>
      <c r="C536" s="23" t="s">
        <v>590</v>
      </c>
      <c r="D536" s="26" t="s">
        <v>591</v>
      </c>
      <c r="E536" s="24">
        <v>2913.4879999999998</v>
      </c>
      <c r="F536" s="24">
        <v>2913.4879999999998</v>
      </c>
      <c r="G536" s="25">
        <v>0</v>
      </c>
      <c r="H536" s="24">
        <f t="shared" si="35"/>
        <v>2913.4879999999998</v>
      </c>
      <c r="I536" s="24">
        <v>2913.4879999999998</v>
      </c>
      <c r="J536" s="25">
        <v>0</v>
      </c>
      <c r="K536" s="26">
        <v>1</v>
      </c>
      <c r="L536" s="26">
        <v>1</v>
      </c>
      <c r="M536" s="27"/>
    </row>
    <row r="537" spans="1:13" ht="32">
      <c r="A537" s="1">
        <v>19</v>
      </c>
      <c r="B537" s="22">
        <v>9</v>
      </c>
      <c r="C537" s="23" t="s">
        <v>592</v>
      </c>
      <c r="D537" s="26" t="s">
        <v>61</v>
      </c>
      <c r="E537" s="24">
        <v>10000</v>
      </c>
      <c r="F537" s="24">
        <v>10000</v>
      </c>
      <c r="G537" s="25">
        <v>0</v>
      </c>
      <c r="H537" s="24">
        <f t="shared" si="35"/>
        <v>10000</v>
      </c>
      <c r="I537" s="24">
        <v>10000</v>
      </c>
      <c r="J537" s="25">
        <v>0</v>
      </c>
      <c r="K537" s="26">
        <v>1</v>
      </c>
      <c r="L537" s="26"/>
      <c r="M537" s="27"/>
    </row>
    <row r="538" spans="1:13" ht="32">
      <c r="A538" s="1">
        <v>19</v>
      </c>
      <c r="B538" s="22">
        <v>10</v>
      </c>
      <c r="C538" s="23" t="s">
        <v>593</v>
      </c>
      <c r="D538" s="26" t="s">
        <v>151</v>
      </c>
      <c r="E538" s="24">
        <v>3556.8519999999999</v>
      </c>
      <c r="F538" s="24">
        <v>3556.8519999999999</v>
      </c>
      <c r="G538" s="25">
        <v>0</v>
      </c>
      <c r="H538" s="24">
        <f t="shared" si="35"/>
        <v>3556.8519999999999</v>
      </c>
      <c r="I538" s="24">
        <v>3556.8519999999999</v>
      </c>
      <c r="J538" s="25">
        <v>0</v>
      </c>
      <c r="K538" s="26">
        <v>1</v>
      </c>
      <c r="L538" s="26">
        <v>1</v>
      </c>
      <c r="M538" s="27"/>
    </row>
    <row r="539" spans="1:13" ht="48">
      <c r="A539" s="1">
        <v>19</v>
      </c>
      <c r="B539" s="22">
        <v>11</v>
      </c>
      <c r="C539" s="23" t="s">
        <v>594</v>
      </c>
      <c r="D539" s="26" t="s">
        <v>19</v>
      </c>
      <c r="E539" s="24">
        <v>1335.319</v>
      </c>
      <c r="F539" s="24">
        <v>1335.319</v>
      </c>
      <c r="G539" s="25">
        <v>0</v>
      </c>
      <c r="H539" s="24">
        <f t="shared" si="35"/>
        <v>1330.204</v>
      </c>
      <c r="I539" s="24">
        <v>1330.204</v>
      </c>
      <c r="J539" s="25">
        <v>0</v>
      </c>
      <c r="K539" s="26">
        <v>1</v>
      </c>
      <c r="L539" s="26">
        <v>1</v>
      </c>
      <c r="M539" s="27"/>
    </row>
    <row r="540" spans="1:13" ht="48">
      <c r="A540" s="1">
        <v>19</v>
      </c>
      <c r="B540" s="22">
        <v>12</v>
      </c>
      <c r="C540" s="23" t="s">
        <v>595</v>
      </c>
      <c r="D540" s="26" t="s">
        <v>21</v>
      </c>
      <c r="E540" s="24">
        <v>6556.6139999999996</v>
      </c>
      <c r="F540" s="24">
        <v>6556.6139999999996</v>
      </c>
      <c r="G540" s="25">
        <v>0</v>
      </c>
      <c r="H540" s="24">
        <f t="shared" si="35"/>
        <v>6536.5889999999999</v>
      </c>
      <c r="I540" s="24">
        <v>6536.5889999999999</v>
      </c>
      <c r="J540" s="25">
        <v>0</v>
      </c>
      <c r="K540" s="26">
        <v>1</v>
      </c>
      <c r="L540" s="26">
        <v>1</v>
      </c>
      <c r="M540" s="27"/>
    </row>
    <row r="541" spans="1:13" ht="48">
      <c r="A541" s="1">
        <v>19</v>
      </c>
      <c r="B541" s="22">
        <v>13</v>
      </c>
      <c r="C541" s="23" t="s">
        <v>596</v>
      </c>
      <c r="D541" s="26" t="s">
        <v>16</v>
      </c>
      <c r="E541" s="24">
        <v>7261.9219999999996</v>
      </c>
      <c r="F541" s="24">
        <v>7261.9219999999996</v>
      </c>
      <c r="G541" s="25">
        <v>0</v>
      </c>
      <c r="H541" s="24">
        <f t="shared" si="35"/>
        <v>7253.18</v>
      </c>
      <c r="I541" s="24">
        <v>7253.18</v>
      </c>
      <c r="J541" s="25">
        <v>0</v>
      </c>
      <c r="K541" s="26">
        <v>1</v>
      </c>
      <c r="L541" s="26">
        <v>1</v>
      </c>
      <c r="M541" s="27"/>
    </row>
    <row r="542" spans="1:13" ht="80">
      <c r="A542" s="1">
        <v>19</v>
      </c>
      <c r="B542" s="22">
        <v>14</v>
      </c>
      <c r="C542" s="23" t="s">
        <v>597</v>
      </c>
      <c r="D542" s="26" t="s">
        <v>81</v>
      </c>
      <c r="E542" s="24">
        <f>10000+4737.356</f>
        <v>14737.356</v>
      </c>
      <c r="F542" s="24">
        <f>10000+2720.497</f>
        <v>12720.496999999999</v>
      </c>
      <c r="G542" s="25">
        <f>0+2016.859</f>
        <v>2016.8589999999999</v>
      </c>
      <c r="H542" s="24">
        <f t="shared" si="35"/>
        <v>14723.535</v>
      </c>
      <c r="I542" s="24">
        <v>12706.675999999999</v>
      </c>
      <c r="J542" s="25">
        <v>2016.8589999999999</v>
      </c>
      <c r="K542" s="26">
        <v>1</v>
      </c>
      <c r="L542" s="26"/>
      <c r="M542" s="27" t="s">
        <v>23</v>
      </c>
    </row>
    <row r="543" spans="1:13" ht="64">
      <c r="A543" s="1">
        <v>19</v>
      </c>
      <c r="B543" s="22">
        <v>15</v>
      </c>
      <c r="C543" s="23" t="s">
        <v>598</v>
      </c>
      <c r="D543" s="26" t="s">
        <v>19</v>
      </c>
      <c r="E543" s="24">
        <v>1747.713</v>
      </c>
      <c r="F543" s="24">
        <v>1747.713</v>
      </c>
      <c r="G543" s="25">
        <v>0</v>
      </c>
      <c r="H543" s="24">
        <f t="shared" si="35"/>
        <v>1663.01</v>
      </c>
      <c r="I543" s="24">
        <v>1663.01</v>
      </c>
      <c r="J543" s="25">
        <v>0</v>
      </c>
      <c r="K543" s="26">
        <v>1</v>
      </c>
      <c r="L543" s="26">
        <v>1</v>
      </c>
      <c r="M543" s="27"/>
    </row>
    <row r="544" spans="1:13" ht="48">
      <c r="A544" s="1">
        <v>19</v>
      </c>
      <c r="B544" s="22">
        <v>16</v>
      </c>
      <c r="C544" s="23" t="s">
        <v>599</v>
      </c>
      <c r="D544" s="26" t="s">
        <v>19</v>
      </c>
      <c r="E544" s="24">
        <v>5061.5349999999999</v>
      </c>
      <c r="F544" s="24">
        <v>5061.5349999999999</v>
      </c>
      <c r="G544" s="25">
        <v>0</v>
      </c>
      <c r="H544" s="24">
        <f t="shared" si="35"/>
        <v>5057.6369999999997</v>
      </c>
      <c r="I544" s="24">
        <v>5057.6369999999997</v>
      </c>
      <c r="J544" s="25">
        <v>0</v>
      </c>
      <c r="K544" s="26">
        <v>1</v>
      </c>
      <c r="L544" s="26">
        <v>1</v>
      </c>
      <c r="M544" s="27"/>
    </row>
    <row r="545" spans="1:13" ht="80">
      <c r="A545" s="1">
        <v>19</v>
      </c>
      <c r="B545" s="22">
        <v>17</v>
      </c>
      <c r="C545" s="23" t="s">
        <v>600</v>
      </c>
      <c r="D545" s="26" t="s">
        <v>19</v>
      </c>
      <c r="E545" s="24">
        <v>1190</v>
      </c>
      <c r="F545" s="24">
        <v>1190</v>
      </c>
      <c r="G545" s="25">
        <v>0</v>
      </c>
      <c r="H545" s="24">
        <f t="shared" si="35"/>
        <v>1180.982</v>
      </c>
      <c r="I545" s="24">
        <v>1180.982</v>
      </c>
      <c r="J545" s="25">
        <v>0</v>
      </c>
      <c r="K545" s="26">
        <v>1</v>
      </c>
      <c r="L545" s="26">
        <v>1</v>
      </c>
      <c r="M545" s="27"/>
    </row>
    <row r="546" spans="1:13" ht="48">
      <c r="A546" s="1">
        <v>19</v>
      </c>
      <c r="B546" s="22">
        <v>18</v>
      </c>
      <c r="C546" s="23" t="s">
        <v>601</v>
      </c>
      <c r="D546" s="26" t="s">
        <v>602</v>
      </c>
      <c r="E546" s="24">
        <v>8063.3209999999999</v>
      </c>
      <c r="F546" s="24">
        <v>8063.3209999999999</v>
      </c>
      <c r="G546" s="25">
        <v>0</v>
      </c>
      <c r="H546" s="24">
        <f t="shared" si="35"/>
        <v>6373.7209999999995</v>
      </c>
      <c r="I546" s="24">
        <v>6373.7209999999995</v>
      </c>
      <c r="J546" s="25">
        <v>0</v>
      </c>
      <c r="K546" s="26">
        <v>1</v>
      </c>
      <c r="L546" s="26"/>
      <c r="M546" s="27" t="s">
        <v>99</v>
      </c>
    </row>
    <row r="547" spans="1:13" ht="32">
      <c r="A547" s="1">
        <v>19</v>
      </c>
      <c r="B547" s="22">
        <v>19</v>
      </c>
      <c r="C547" s="46" t="s">
        <v>603</v>
      </c>
      <c r="D547" s="29" t="s">
        <v>604</v>
      </c>
      <c r="E547" s="24">
        <f>10000-5500</f>
        <v>4500</v>
      </c>
      <c r="F547" s="24">
        <f>10000-5500</f>
        <v>4500</v>
      </c>
      <c r="G547" s="25">
        <f>0-0</f>
        <v>0</v>
      </c>
      <c r="H547" s="24">
        <f t="shared" si="35"/>
        <v>4432.7910000000002</v>
      </c>
      <c r="I547" s="24">
        <v>4432.7910000000002</v>
      </c>
      <c r="J547" s="25">
        <v>0</v>
      </c>
      <c r="K547" s="26">
        <v>1</v>
      </c>
      <c r="L547" s="26"/>
      <c r="M547" s="27" t="s">
        <v>48</v>
      </c>
    </row>
    <row r="548" spans="1:13" ht="48">
      <c r="A548" s="1">
        <v>19</v>
      </c>
      <c r="B548" s="22">
        <v>20</v>
      </c>
      <c r="C548" s="23" t="s">
        <v>605</v>
      </c>
      <c r="D548" s="26" t="s">
        <v>151</v>
      </c>
      <c r="E548" s="24">
        <v>10394.352999999999</v>
      </c>
      <c r="F548" s="24">
        <v>10394.352999999999</v>
      </c>
      <c r="G548" s="25">
        <v>0</v>
      </c>
      <c r="H548" s="24">
        <f t="shared" si="35"/>
        <v>10297.312</v>
      </c>
      <c r="I548" s="24">
        <v>10297.312</v>
      </c>
      <c r="J548" s="25">
        <v>0</v>
      </c>
      <c r="K548" s="26">
        <v>1</v>
      </c>
      <c r="L548" s="26">
        <v>1</v>
      </c>
      <c r="M548" s="27"/>
    </row>
    <row r="549" spans="1:13" ht="32">
      <c r="A549" s="1">
        <v>19</v>
      </c>
      <c r="B549" s="22">
        <v>21</v>
      </c>
      <c r="C549" s="23" t="s">
        <v>606</v>
      </c>
      <c r="D549" s="26" t="s">
        <v>21</v>
      </c>
      <c r="E549" s="24">
        <v>3256.319</v>
      </c>
      <c r="F549" s="24">
        <v>3256.319</v>
      </c>
      <c r="G549" s="25">
        <v>0</v>
      </c>
      <c r="H549" s="24">
        <f t="shared" si="35"/>
        <v>3190.3789999999999</v>
      </c>
      <c r="I549" s="24">
        <v>3190.3789999999999</v>
      </c>
      <c r="J549" s="25">
        <v>0</v>
      </c>
      <c r="K549" s="26">
        <v>1</v>
      </c>
      <c r="L549" s="26">
        <v>1</v>
      </c>
      <c r="M549" s="27"/>
    </row>
    <row r="550" spans="1:13" ht="32">
      <c r="A550" s="1">
        <v>19</v>
      </c>
      <c r="B550" s="22">
        <v>22</v>
      </c>
      <c r="C550" s="23" t="s">
        <v>607</v>
      </c>
      <c r="D550" s="26" t="s">
        <v>81</v>
      </c>
      <c r="E550" s="24">
        <v>1000</v>
      </c>
      <c r="F550" s="24">
        <v>1000</v>
      </c>
      <c r="G550" s="25">
        <v>0</v>
      </c>
      <c r="H550" s="24">
        <f t="shared" si="35"/>
        <v>998.82899999999995</v>
      </c>
      <c r="I550" s="24">
        <v>998.82899999999995</v>
      </c>
      <c r="J550" s="25">
        <v>0</v>
      </c>
      <c r="K550" s="26">
        <v>1</v>
      </c>
      <c r="L550" s="26"/>
      <c r="M550" s="27"/>
    </row>
    <row r="551" spans="1:13" ht="64">
      <c r="A551" s="1">
        <v>19</v>
      </c>
      <c r="B551" s="22">
        <v>23</v>
      </c>
      <c r="C551" s="23" t="s">
        <v>608</v>
      </c>
      <c r="D551" s="26" t="s">
        <v>61</v>
      </c>
      <c r="E551" s="24">
        <v>6851.3980000000001</v>
      </c>
      <c r="F551" s="24">
        <v>6851.3980000000001</v>
      </c>
      <c r="G551" s="25">
        <v>0</v>
      </c>
      <c r="H551" s="24">
        <f t="shared" si="35"/>
        <v>6851.3980000000001</v>
      </c>
      <c r="I551" s="24">
        <v>6851.3980000000001</v>
      </c>
      <c r="J551" s="25">
        <v>0</v>
      </c>
      <c r="K551" s="26">
        <v>1</v>
      </c>
      <c r="L551" s="26"/>
      <c r="M551" s="27"/>
    </row>
    <row r="552" spans="1:13" ht="80">
      <c r="A552" s="1">
        <v>19</v>
      </c>
      <c r="B552" s="22">
        <v>24</v>
      </c>
      <c r="C552" s="23" t="s">
        <v>609</v>
      </c>
      <c r="D552" s="26" t="s">
        <v>61</v>
      </c>
      <c r="E552" s="24">
        <f>11564.936-737.356</f>
        <v>10827.58</v>
      </c>
      <c r="F552" s="24">
        <f>11564.936-737.356</f>
        <v>10827.58</v>
      </c>
      <c r="G552" s="25">
        <f>0-0</f>
        <v>0</v>
      </c>
      <c r="H552" s="24">
        <f t="shared" si="35"/>
        <v>10807.58</v>
      </c>
      <c r="I552" s="24">
        <v>10807.58</v>
      </c>
      <c r="J552" s="25">
        <v>0</v>
      </c>
      <c r="K552" s="26">
        <v>1</v>
      </c>
      <c r="L552" s="26"/>
      <c r="M552" s="27" t="s">
        <v>48</v>
      </c>
    </row>
    <row r="553" spans="1:13" ht="64">
      <c r="A553" s="1">
        <v>19</v>
      </c>
      <c r="B553" s="22">
        <v>25</v>
      </c>
      <c r="C553" s="23" t="s">
        <v>610</v>
      </c>
      <c r="D553" s="26" t="s">
        <v>21</v>
      </c>
      <c r="E553" s="24">
        <v>1974.7429999999999</v>
      </c>
      <c r="F553" s="24">
        <v>1974.7429999999999</v>
      </c>
      <c r="G553" s="25">
        <v>0</v>
      </c>
      <c r="H553" s="24">
        <f t="shared" si="35"/>
        <v>1973.731</v>
      </c>
      <c r="I553" s="24">
        <v>1973.731</v>
      </c>
      <c r="J553" s="25">
        <v>0</v>
      </c>
      <c r="K553" s="26">
        <v>1</v>
      </c>
      <c r="L553" s="26">
        <v>1</v>
      </c>
      <c r="M553" s="27"/>
    </row>
    <row r="554" spans="1:13" ht="64">
      <c r="A554" s="1">
        <v>19</v>
      </c>
      <c r="B554" s="22">
        <v>26</v>
      </c>
      <c r="C554" s="23" t="s">
        <v>611</v>
      </c>
      <c r="D554" s="26" t="s">
        <v>34</v>
      </c>
      <c r="E554" s="24">
        <f>2262.767+1000</f>
        <v>3262.7669999999998</v>
      </c>
      <c r="F554" s="24">
        <f>1396.9+617.341</f>
        <v>2014.241</v>
      </c>
      <c r="G554" s="25">
        <f>865.867+382.659</f>
        <v>1248.5259999999998</v>
      </c>
      <c r="H554" s="24">
        <f t="shared" si="35"/>
        <v>3260.1059999999998</v>
      </c>
      <c r="I554" s="24">
        <v>2012.6110000000001</v>
      </c>
      <c r="J554" s="25">
        <v>1247.4949999999999</v>
      </c>
      <c r="K554" s="26">
        <v>1</v>
      </c>
      <c r="L554" s="26"/>
      <c r="M554" s="27" t="s">
        <v>23</v>
      </c>
    </row>
    <row r="555" spans="1:13" ht="64">
      <c r="A555" s="1">
        <v>19</v>
      </c>
      <c r="B555" s="22">
        <v>27</v>
      </c>
      <c r="C555" s="23" t="s">
        <v>612</v>
      </c>
      <c r="D555" s="26">
        <v>2020</v>
      </c>
      <c r="E555" s="24">
        <v>7788.3620000000001</v>
      </c>
      <c r="F555" s="24">
        <v>4808.08</v>
      </c>
      <c r="G555" s="25">
        <v>2980.2820000000002</v>
      </c>
      <c r="H555" s="24">
        <f t="shared" si="35"/>
        <v>7358.8809999999994</v>
      </c>
      <c r="I555" s="24">
        <v>4806.7489999999998</v>
      </c>
      <c r="J555" s="25">
        <v>2552.1320000000001</v>
      </c>
      <c r="K555" s="26">
        <v>1</v>
      </c>
      <c r="L555" s="26"/>
      <c r="M555" s="27"/>
    </row>
    <row r="556" spans="1:13" ht="80">
      <c r="A556" s="1">
        <v>19</v>
      </c>
      <c r="B556" s="22">
        <v>28</v>
      </c>
      <c r="C556" s="23" t="s">
        <v>613</v>
      </c>
      <c r="D556" s="26" t="s">
        <v>32</v>
      </c>
      <c r="E556" s="24">
        <f>2916.923+1000</f>
        <v>3916.9229999999998</v>
      </c>
      <c r="F556" s="24">
        <f>1800.738+617.342</f>
        <v>2418.08</v>
      </c>
      <c r="G556" s="25">
        <f>1116.185+382.658</f>
        <v>1498.8429999999998</v>
      </c>
      <c r="H556" s="24">
        <f t="shared" si="35"/>
        <v>3233.3960000000002</v>
      </c>
      <c r="I556" s="24">
        <v>1807.2940000000001</v>
      </c>
      <c r="J556" s="25">
        <v>1426.1020000000001</v>
      </c>
      <c r="K556" s="26">
        <v>1</v>
      </c>
      <c r="L556" s="26"/>
      <c r="M556" s="27" t="s">
        <v>23</v>
      </c>
    </row>
    <row r="557" spans="1:13" ht="64">
      <c r="A557" s="1">
        <v>19</v>
      </c>
      <c r="B557" s="22">
        <v>29</v>
      </c>
      <c r="C557" s="23" t="s">
        <v>614</v>
      </c>
      <c r="D557" s="26" t="s">
        <v>34</v>
      </c>
      <c r="E557" s="24">
        <f>4037.789+3749.597</f>
        <v>7787.3860000000004</v>
      </c>
      <c r="F557" s="24">
        <f>2492.695+2314.782</f>
        <v>4807.4770000000008</v>
      </c>
      <c r="G557" s="25">
        <f>1545.094+1434.815</f>
        <v>2979.9090000000001</v>
      </c>
      <c r="H557" s="24">
        <f t="shared" si="35"/>
        <v>6305.4679999999998</v>
      </c>
      <c r="I557" s="24">
        <v>3892.5079999999998</v>
      </c>
      <c r="J557" s="25">
        <v>2412.96</v>
      </c>
      <c r="K557" s="26">
        <v>1</v>
      </c>
      <c r="L557" s="26"/>
      <c r="M557" s="27" t="s">
        <v>23</v>
      </c>
    </row>
    <row r="558" spans="1:13" ht="64">
      <c r="A558" s="1">
        <v>19</v>
      </c>
      <c r="B558" s="22">
        <v>30</v>
      </c>
      <c r="C558" s="23" t="s">
        <v>615</v>
      </c>
      <c r="D558" s="26" t="s">
        <v>32</v>
      </c>
      <c r="E558" s="24">
        <v>2279.8029999999999</v>
      </c>
      <c r="F558" s="24">
        <v>1407.4169999999999</v>
      </c>
      <c r="G558" s="25">
        <v>872.38599999999997</v>
      </c>
      <c r="H558" s="24">
        <f t="shared" si="35"/>
        <v>2277.0659999999998</v>
      </c>
      <c r="I558" s="24">
        <v>1405.73</v>
      </c>
      <c r="J558" s="25">
        <v>871.33600000000001</v>
      </c>
      <c r="K558" s="26">
        <v>1</v>
      </c>
      <c r="L558" s="26"/>
      <c r="M558" s="27"/>
    </row>
    <row r="559" spans="1:13" ht="48">
      <c r="A559" s="1">
        <v>19</v>
      </c>
      <c r="B559" s="22">
        <v>31</v>
      </c>
      <c r="C559" s="23" t="s">
        <v>616</v>
      </c>
      <c r="D559" s="26" t="s">
        <v>541</v>
      </c>
      <c r="E559" s="24">
        <v>3824.558</v>
      </c>
      <c r="F559" s="24">
        <v>2361.058</v>
      </c>
      <c r="G559" s="25">
        <v>1463.5</v>
      </c>
      <c r="H559" s="24">
        <f t="shared" si="35"/>
        <v>3820.1639999999998</v>
      </c>
      <c r="I559" s="24">
        <v>2361.058</v>
      </c>
      <c r="J559" s="25">
        <v>1459.106</v>
      </c>
      <c r="K559" s="26">
        <v>1</v>
      </c>
      <c r="L559" s="26"/>
      <c r="M559" s="27"/>
    </row>
    <row r="560" spans="1:13" ht="48">
      <c r="A560" s="1">
        <v>19</v>
      </c>
      <c r="B560" s="30">
        <v>32</v>
      </c>
      <c r="C560" s="31" t="s">
        <v>617</v>
      </c>
      <c r="D560" s="34"/>
      <c r="E560" s="32">
        <f>3749.597-3749.597</f>
        <v>0</v>
      </c>
      <c r="F560" s="32">
        <f>2314.782-2314.782</f>
        <v>0</v>
      </c>
      <c r="G560" s="33">
        <f>1434.815-1434.815</f>
        <v>0</v>
      </c>
      <c r="H560" s="32">
        <f t="shared" si="35"/>
        <v>0</v>
      </c>
      <c r="I560" s="32"/>
      <c r="J560" s="33"/>
      <c r="K560" s="34">
        <f>1-1</f>
        <v>0</v>
      </c>
      <c r="L560" s="34">
        <f>1-1</f>
        <v>0</v>
      </c>
      <c r="M560" s="35" t="s">
        <v>28</v>
      </c>
    </row>
    <row r="561" spans="1:13" ht="64">
      <c r="A561" s="1">
        <v>19</v>
      </c>
      <c r="B561" s="22">
        <v>33</v>
      </c>
      <c r="C561" s="23" t="s">
        <v>618</v>
      </c>
      <c r="D561" s="26">
        <v>2019</v>
      </c>
      <c r="E561" s="24">
        <v>3792.6460000000002</v>
      </c>
      <c r="F561" s="24">
        <v>2341.3580000000002</v>
      </c>
      <c r="G561" s="25">
        <v>1451.288</v>
      </c>
      <c r="H561" s="24">
        <f t="shared" si="35"/>
        <v>3487.3419999999996</v>
      </c>
      <c r="I561" s="24">
        <v>2154.6</v>
      </c>
      <c r="J561" s="25">
        <v>1332.742</v>
      </c>
      <c r="K561" s="26">
        <v>1</v>
      </c>
      <c r="L561" s="26">
        <v>1</v>
      </c>
      <c r="M561" s="27"/>
    </row>
    <row r="562" spans="1:13" ht="48">
      <c r="A562" s="1">
        <v>19</v>
      </c>
      <c r="B562" s="22">
        <v>34</v>
      </c>
      <c r="C562" s="23" t="s">
        <v>619</v>
      </c>
      <c r="D562" s="26" t="s">
        <v>32</v>
      </c>
      <c r="E562" s="24">
        <v>3500</v>
      </c>
      <c r="F562" s="24">
        <v>2160.6959999999999</v>
      </c>
      <c r="G562" s="25">
        <v>1339.3040000000001</v>
      </c>
      <c r="H562" s="24">
        <f t="shared" si="35"/>
        <v>3500</v>
      </c>
      <c r="I562" s="24">
        <v>2160.6959999999999</v>
      </c>
      <c r="J562" s="25">
        <v>1339.3040000000001</v>
      </c>
      <c r="K562" s="26">
        <v>1</v>
      </c>
      <c r="L562" s="26"/>
      <c r="M562" s="27"/>
    </row>
    <row r="563" spans="1:13" ht="48">
      <c r="A563" s="1">
        <v>19</v>
      </c>
      <c r="B563" s="22">
        <v>35</v>
      </c>
      <c r="C563" s="23" t="s">
        <v>620</v>
      </c>
      <c r="D563" s="26" t="s">
        <v>34</v>
      </c>
      <c r="E563" s="24">
        <v>4000</v>
      </c>
      <c r="F563" s="24">
        <v>2469.3649999999998</v>
      </c>
      <c r="G563" s="25">
        <v>1530.635</v>
      </c>
      <c r="H563" s="24">
        <f t="shared" si="35"/>
        <v>3999.5459999999998</v>
      </c>
      <c r="I563" s="24">
        <v>2469.3649999999998</v>
      </c>
      <c r="J563" s="25">
        <v>1530.181</v>
      </c>
      <c r="K563" s="26">
        <v>1</v>
      </c>
      <c r="L563" s="26"/>
      <c r="M563" s="27"/>
    </row>
    <row r="564" spans="1:13" ht="48">
      <c r="A564" s="1">
        <v>19</v>
      </c>
      <c r="B564" s="22">
        <v>36</v>
      </c>
      <c r="C564" s="23" t="s">
        <v>621</v>
      </c>
      <c r="D564" s="26" t="s">
        <v>34</v>
      </c>
      <c r="E564" s="24">
        <v>8000</v>
      </c>
      <c r="F564" s="24">
        <v>4938.7330000000002</v>
      </c>
      <c r="G564" s="25">
        <v>3061.2669999999998</v>
      </c>
      <c r="H564" s="24">
        <f t="shared" si="35"/>
        <v>7999.8620000000001</v>
      </c>
      <c r="I564" s="24">
        <v>4938.5950000000003</v>
      </c>
      <c r="J564" s="25">
        <v>3061.2669999999998</v>
      </c>
      <c r="K564" s="26">
        <v>1</v>
      </c>
      <c r="L564" s="26"/>
      <c r="M564" s="27"/>
    </row>
    <row r="565" spans="1:13" ht="48">
      <c r="A565" s="1">
        <v>19</v>
      </c>
      <c r="B565" s="22">
        <v>37</v>
      </c>
      <c r="C565" s="23" t="s">
        <v>622</v>
      </c>
      <c r="D565" s="26">
        <v>2020</v>
      </c>
      <c r="E565" s="24">
        <v>7697.78</v>
      </c>
      <c r="F565" s="24">
        <v>4752.16</v>
      </c>
      <c r="G565" s="25">
        <v>2945.62</v>
      </c>
      <c r="H565" s="24">
        <f t="shared" si="35"/>
        <v>7697.78</v>
      </c>
      <c r="I565" s="24">
        <v>4752.16</v>
      </c>
      <c r="J565" s="25">
        <v>2945.62</v>
      </c>
      <c r="K565" s="26">
        <v>1</v>
      </c>
      <c r="L565" s="26"/>
      <c r="M565" s="27"/>
    </row>
    <row r="566" spans="1:13" ht="48">
      <c r="A566" s="1">
        <v>19</v>
      </c>
      <c r="B566" s="22">
        <v>38</v>
      </c>
      <c r="C566" s="23" t="s">
        <v>623</v>
      </c>
      <c r="D566" s="26"/>
      <c r="E566" s="24">
        <v>4198.0460000000003</v>
      </c>
      <c r="F566" s="24">
        <v>2591.6289999999999</v>
      </c>
      <c r="G566" s="25">
        <v>1606.4169999999999</v>
      </c>
      <c r="H566" s="24">
        <f t="shared" si="35"/>
        <v>0</v>
      </c>
      <c r="I566" s="24">
        <v>0</v>
      </c>
      <c r="J566" s="25">
        <v>0</v>
      </c>
      <c r="K566" s="26">
        <v>1</v>
      </c>
      <c r="L566" s="26"/>
      <c r="M566" s="27"/>
    </row>
    <row r="567" spans="1:13" ht="80">
      <c r="A567" s="1">
        <v>19</v>
      </c>
      <c r="B567" s="22">
        <v>39</v>
      </c>
      <c r="C567" s="23" t="s">
        <v>624</v>
      </c>
      <c r="D567" s="26" t="s">
        <v>34</v>
      </c>
      <c r="E567" s="24">
        <v>3000</v>
      </c>
      <c r="F567" s="24">
        <v>1852.0250000000001</v>
      </c>
      <c r="G567" s="25">
        <v>1147.9749999999999</v>
      </c>
      <c r="H567" s="24">
        <f t="shared" si="35"/>
        <v>2995.8869999999997</v>
      </c>
      <c r="I567" s="24">
        <v>1848.9659999999999</v>
      </c>
      <c r="J567" s="25">
        <v>1146.921</v>
      </c>
      <c r="K567" s="26">
        <v>1</v>
      </c>
      <c r="L567" s="26"/>
      <c r="M567" s="27"/>
    </row>
    <row r="568" spans="1:13" ht="64">
      <c r="A568" s="1">
        <v>19</v>
      </c>
      <c r="B568" s="22">
        <v>40</v>
      </c>
      <c r="C568" s="23" t="s">
        <v>625</v>
      </c>
      <c r="D568" s="26" t="s">
        <v>32</v>
      </c>
      <c r="E568" s="24">
        <v>4429.6239999999998</v>
      </c>
      <c r="F568" s="24">
        <v>2734.5920000000001</v>
      </c>
      <c r="G568" s="25">
        <v>1695.0319999999999</v>
      </c>
      <c r="H568" s="24">
        <f t="shared" si="35"/>
        <v>4426.7260000000006</v>
      </c>
      <c r="I568" s="24">
        <v>2734.5920000000001</v>
      </c>
      <c r="J568" s="25">
        <v>1692.134</v>
      </c>
      <c r="K568" s="26">
        <v>1</v>
      </c>
      <c r="L568" s="26"/>
      <c r="M568" s="27"/>
    </row>
    <row r="569" spans="1:13" ht="64">
      <c r="A569" s="1">
        <v>19</v>
      </c>
      <c r="B569" s="22">
        <v>41</v>
      </c>
      <c r="C569" s="23" t="s">
        <v>626</v>
      </c>
      <c r="D569" s="26" t="s">
        <v>34</v>
      </c>
      <c r="E569" s="24">
        <v>4138.3829999999998</v>
      </c>
      <c r="F569" s="24">
        <v>2554.7959999999998</v>
      </c>
      <c r="G569" s="25">
        <v>1583.587</v>
      </c>
      <c r="H569" s="24">
        <f t="shared" si="35"/>
        <v>3515.4349999999999</v>
      </c>
      <c r="I569" s="24">
        <v>2554.7959999999998</v>
      </c>
      <c r="J569" s="25">
        <v>960.63900000000001</v>
      </c>
      <c r="K569" s="26">
        <v>1</v>
      </c>
      <c r="L569" s="26"/>
      <c r="M569" s="27"/>
    </row>
    <row r="570" spans="1:13" ht="48">
      <c r="A570" s="1">
        <v>19</v>
      </c>
      <c r="B570" s="30">
        <v>42</v>
      </c>
      <c r="C570" s="31" t="s">
        <v>627</v>
      </c>
      <c r="D570" s="34"/>
      <c r="E570" s="32">
        <f>2000-2000</f>
        <v>0</v>
      </c>
      <c r="F570" s="32">
        <f>1234.683-1234.683</f>
        <v>0</v>
      </c>
      <c r="G570" s="33">
        <f>765.317-765.317</f>
        <v>0</v>
      </c>
      <c r="H570" s="32">
        <f t="shared" si="35"/>
        <v>0</v>
      </c>
      <c r="I570" s="32"/>
      <c r="J570" s="33"/>
      <c r="K570" s="34">
        <f>1-1</f>
        <v>0</v>
      </c>
      <c r="L570" s="34">
        <f>1-1</f>
        <v>0</v>
      </c>
      <c r="M570" s="35" t="s">
        <v>28</v>
      </c>
    </row>
    <row r="571" spans="1:13" ht="80">
      <c r="A571" s="1">
        <v>19</v>
      </c>
      <c r="B571" s="22">
        <v>43</v>
      </c>
      <c r="C571" s="23" t="s">
        <v>628</v>
      </c>
      <c r="D571" s="26" t="s">
        <v>34</v>
      </c>
      <c r="E571" s="24">
        <v>2000</v>
      </c>
      <c r="F571" s="24">
        <v>1234.683</v>
      </c>
      <c r="G571" s="25">
        <v>765.31700000000001</v>
      </c>
      <c r="H571" s="24">
        <f t="shared" si="35"/>
        <v>2000</v>
      </c>
      <c r="I571" s="24">
        <v>1234.683</v>
      </c>
      <c r="J571" s="25">
        <v>765.31700000000001</v>
      </c>
      <c r="K571" s="26">
        <v>1</v>
      </c>
      <c r="L571" s="26">
        <v>1</v>
      </c>
      <c r="M571" s="27"/>
    </row>
    <row r="572" spans="1:13" ht="65" thickBot="1">
      <c r="A572" s="1">
        <v>19</v>
      </c>
      <c r="B572" s="36">
        <v>44</v>
      </c>
      <c r="C572" s="37" t="s">
        <v>629</v>
      </c>
      <c r="D572" s="40" t="s">
        <v>34</v>
      </c>
      <c r="E572" s="38">
        <v>2200</v>
      </c>
      <c r="F572" s="38">
        <v>1358.152</v>
      </c>
      <c r="G572" s="39">
        <v>841.84799999999996</v>
      </c>
      <c r="H572" s="38">
        <f t="shared" si="35"/>
        <v>1965.039</v>
      </c>
      <c r="I572" s="38">
        <v>1207.376</v>
      </c>
      <c r="J572" s="39">
        <v>757.66300000000001</v>
      </c>
      <c r="K572" s="40">
        <v>1</v>
      </c>
      <c r="L572" s="40">
        <v>1</v>
      </c>
      <c r="M572" s="41"/>
    </row>
    <row r="573" spans="1:13" ht="64">
      <c r="A573" s="1">
        <v>20</v>
      </c>
      <c r="B573" s="15"/>
      <c r="C573" s="16" t="s">
        <v>630</v>
      </c>
      <c r="D573" s="16"/>
      <c r="E573" s="17">
        <f>SUM(E574:E597)</f>
        <v>339714.63399999996</v>
      </c>
      <c r="F573" s="17">
        <f t="shared" ref="F573:L573" si="37">SUM(F574:F597)</f>
        <v>292216.59299999999</v>
      </c>
      <c r="G573" s="18">
        <f t="shared" si="37"/>
        <v>47498.040999999997</v>
      </c>
      <c r="H573" s="17">
        <f t="shared" si="35"/>
        <v>277476.00899999996</v>
      </c>
      <c r="I573" s="17">
        <f t="shared" si="37"/>
        <v>237949.88399999996</v>
      </c>
      <c r="J573" s="18">
        <f t="shared" si="37"/>
        <v>39526.125</v>
      </c>
      <c r="K573" s="20">
        <f t="shared" si="37"/>
        <v>24</v>
      </c>
      <c r="L573" s="20">
        <f t="shared" si="37"/>
        <v>4</v>
      </c>
      <c r="M573" s="21"/>
    </row>
    <row r="574" spans="1:13" ht="48">
      <c r="A574" s="1">
        <v>20</v>
      </c>
      <c r="B574" s="22">
        <v>1</v>
      </c>
      <c r="C574" s="23" t="s">
        <v>631</v>
      </c>
      <c r="D574" s="26" t="s">
        <v>21</v>
      </c>
      <c r="E574" s="24">
        <v>8048.1890000000003</v>
      </c>
      <c r="F574" s="24">
        <v>8048.1890000000003</v>
      </c>
      <c r="G574" s="25">
        <v>0</v>
      </c>
      <c r="H574" s="24">
        <f t="shared" si="35"/>
        <v>8035.7179999999998</v>
      </c>
      <c r="I574" s="24">
        <v>8035.7179999999998</v>
      </c>
      <c r="J574" s="25">
        <v>0</v>
      </c>
      <c r="K574" s="26">
        <v>1</v>
      </c>
      <c r="L574" s="26"/>
      <c r="M574" s="27"/>
    </row>
    <row r="575" spans="1:13" ht="32">
      <c r="A575" s="1">
        <v>20</v>
      </c>
      <c r="B575" s="22">
        <v>2</v>
      </c>
      <c r="C575" s="23" t="s">
        <v>632</v>
      </c>
      <c r="D575" s="26" t="s">
        <v>633</v>
      </c>
      <c r="E575" s="24">
        <v>7666.0839999999998</v>
      </c>
      <c r="F575" s="24">
        <v>7666.0839999999998</v>
      </c>
      <c r="G575" s="25">
        <v>0</v>
      </c>
      <c r="H575" s="24">
        <f t="shared" si="35"/>
        <v>2298.261</v>
      </c>
      <c r="I575" s="24">
        <v>2298.261</v>
      </c>
      <c r="J575" s="25">
        <v>0</v>
      </c>
      <c r="K575" s="26">
        <v>1</v>
      </c>
      <c r="L575" s="26"/>
      <c r="M575" s="27" t="s">
        <v>99</v>
      </c>
    </row>
    <row r="576" spans="1:13" ht="80">
      <c r="A576" s="1">
        <v>20</v>
      </c>
      <c r="B576" s="22">
        <v>3</v>
      </c>
      <c r="C576" s="23" t="s">
        <v>634</v>
      </c>
      <c r="D576" s="26" t="s">
        <v>19</v>
      </c>
      <c r="E576" s="24">
        <v>3859.2</v>
      </c>
      <c r="F576" s="24">
        <v>3859.2</v>
      </c>
      <c r="G576" s="25">
        <v>0</v>
      </c>
      <c r="H576" s="24">
        <f t="shared" si="35"/>
        <v>3859.2</v>
      </c>
      <c r="I576" s="24">
        <v>3859.2</v>
      </c>
      <c r="J576" s="25">
        <v>0</v>
      </c>
      <c r="K576" s="26">
        <v>1</v>
      </c>
      <c r="L576" s="26">
        <v>1</v>
      </c>
      <c r="M576" s="27"/>
    </row>
    <row r="577" spans="1:13" ht="48">
      <c r="A577" s="1">
        <v>20</v>
      </c>
      <c r="B577" s="22">
        <v>4</v>
      </c>
      <c r="C577" s="23" t="s">
        <v>635</v>
      </c>
      <c r="D577" s="26" t="s">
        <v>19</v>
      </c>
      <c r="E577" s="24">
        <v>22578.266</v>
      </c>
      <c r="F577" s="24">
        <v>22578.266</v>
      </c>
      <c r="G577" s="25">
        <v>0</v>
      </c>
      <c r="H577" s="24">
        <f t="shared" si="35"/>
        <v>21153.616000000002</v>
      </c>
      <c r="I577" s="24">
        <v>21153.616000000002</v>
      </c>
      <c r="J577" s="25">
        <v>0</v>
      </c>
      <c r="K577" s="26">
        <v>1</v>
      </c>
      <c r="L577" s="26"/>
      <c r="M577" s="27"/>
    </row>
    <row r="578" spans="1:13" ht="80">
      <c r="A578" s="1">
        <v>20</v>
      </c>
      <c r="B578" s="22">
        <v>5</v>
      </c>
      <c r="C578" s="23" t="s">
        <v>636</v>
      </c>
      <c r="D578" s="26" t="s">
        <v>19</v>
      </c>
      <c r="E578" s="24">
        <v>2700.18</v>
      </c>
      <c r="F578" s="24">
        <v>2700.18</v>
      </c>
      <c r="G578" s="25">
        <v>0</v>
      </c>
      <c r="H578" s="24">
        <f t="shared" si="35"/>
        <v>2540.59</v>
      </c>
      <c r="I578" s="24">
        <v>2540.59</v>
      </c>
      <c r="J578" s="25">
        <v>0</v>
      </c>
      <c r="K578" s="26">
        <v>1</v>
      </c>
      <c r="L578" s="26">
        <v>1</v>
      </c>
      <c r="M578" s="27"/>
    </row>
    <row r="579" spans="1:13" ht="48">
      <c r="A579" s="1">
        <v>20</v>
      </c>
      <c r="B579" s="22">
        <v>6</v>
      </c>
      <c r="C579" s="23" t="s">
        <v>637</v>
      </c>
      <c r="D579" s="26" t="s">
        <v>19</v>
      </c>
      <c r="E579" s="24">
        <v>20181.384999999998</v>
      </c>
      <c r="F579" s="24">
        <v>20181.384999999998</v>
      </c>
      <c r="G579" s="25">
        <v>0</v>
      </c>
      <c r="H579" s="24">
        <f t="shared" si="35"/>
        <v>20153.772000000001</v>
      </c>
      <c r="I579" s="24">
        <v>20153.772000000001</v>
      </c>
      <c r="J579" s="25">
        <v>0</v>
      </c>
      <c r="K579" s="26">
        <v>1</v>
      </c>
      <c r="L579" s="26"/>
      <c r="M579" s="27"/>
    </row>
    <row r="580" spans="1:13" ht="48">
      <c r="A580" s="1">
        <v>20</v>
      </c>
      <c r="B580" s="22">
        <v>7</v>
      </c>
      <c r="C580" s="23" t="s">
        <v>638</v>
      </c>
      <c r="D580" s="26" t="s">
        <v>19</v>
      </c>
      <c r="E580" s="24">
        <v>7099.8459999999995</v>
      </c>
      <c r="F580" s="24">
        <v>7099.8459999999995</v>
      </c>
      <c r="G580" s="25">
        <v>0</v>
      </c>
      <c r="H580" s="24">
        <f t="shared" si="35"/>
        <v>7099.8459999999995</v>
      </c>
      <c r="I580" s="24">
        <v>7099.8459999999995</v>
      </c>
      <c r="J580" s="25">
        <v>0</v>
      </c>
      <c r="K580" s="26">
        <v>1</v>
      </c>
      <c r="L580" s="26"/>
      <c r="M580" s="27"/>
    </row>
    <row r="581" spans="1:13" ht="64">
      <c r="A581" s="1">
        <v>20</v>
      </c>
      <c r="B581" s="22">
        <v>8</v>
      </c>
      <c r="C581" s="23" t="s">
        <v>639</v>
      </c>
      <c r="D581" s="26" t="s">
        <v>19</v>
      </c>
      <c r="E581" s="24">
        <v>3389.85</v>
      </c>
      <c r="F581" s="24">
        <v>3389.85</v>
      </c>
      <c r="G581" s="25">
        <v>0</v>
      </c>
      <c r="H581" s="24">
        <f t="shared" si="35"/>
        <v>3384.0920000000001</v>
      </c>
      <c r="I581" s="24">
        <v>3384.0920000000001</v>
      </c>
      <c r="J581" s="25">
        <v>0</v>
      </c>
      <c r="K581" s="26">
        <v>1</v>
      </c>
      <c r="L581" s="26"/>
      <c r="M581" s="27"/>
    </row>
    <row r="582" spans="1:13" ht="64">
      <c r="A582" s="1">
        <v>20</v>
      </c>
      <c r="B582" s="22">
        <v>9</v>
      </c>
      <c r="C582" s="23" t="s">
        <v>640</v>
      </c>
      <c r="D582" s="26" t="s">
        <v>19</v>
      </c>
      <c r="E582" s="24">
        <v>2032.6130000000001</v>
      </c>
      <c r="F582" s="24">
        <v>2032.6130000000001</v>
      </c>
      <c r="G582" s="25">
        <v>0</v>
      </c>
      <c r="H582" s="24">
        <f t="shared" si="35"/>
        <v>2030.7639999999999</v>
      </c>
      <c r="I582" s="24">
        <v>2030.7639999999999</v>
      </c>
      <c r="J582" s="25">
        <v>0</v>
      </c>
      <c r="K582" s="26">
        <v>1</v>
      </c>
      <c r="L582" s="26"/>
      <c r="M582" s="27"/>
    </row>
    <row r="583" spans="1:13" ht="64">
      <c r="A583" s="1">
        <v>20</v>
      </c>
      <c r="B583" s="22">
        <v>10</v>
      </c>
      <c r="C583" s="23" t="s">
        <v>641</v>
      </c>
      <c r="D583" s="26" t="s">
        <v>19</v>
      </c>
      <c r="E583" s="24">
        <v>6257.1229999999996</v>
      </c>
      <c r="F583" s="24">
        <v>6257.1229999999996</v>
      </c>
      <c r="G583" s="25">
        <v>0</v>
      </c>
      <c r="H583" s="24">
        <f t="shared" si="35"/>
        <v>6075.0330000000004</v>
      </c>
      <c r="I583" s="24">
        <v>6075.0330000000004</v>
      </c>
      <c r="J583" s="25">
        <v>0</v>
      </c>
      <c r="K583" s="26">
        <v>1</v>
      </c>
      <c r="L583" s="26">
        <v>1</v>
      </c>
      <c r="M583" s="27"/>
    </row>
    <row r="584" spans="1:13" ht="48">
      <c r="A584" s="1">
        <v>20</v>
      </c>
      <c r="B584" s="22">
        <v>11</v>
      </c>
      <c r="C584" s="23" t="s">
        <v>642</v>
      </c>
      <c r="D584" s="29" t="s">
        <v>34</v>
      </c>
      <c r="E584" s="24">
        <v>18087.383000000002</v>
      </c>
      <c r="F584" s="24">
        <v>18087.383000000002</v>
      </c>
      <c r="G584" s="25">
        <v>0</v>
      </c>
      <c r="H584" s="24">
        <f t="shared" si="35"/>
        <v>7369.3389999999999</v>
      </c>
      <c r="I584" s="24">
        <v>7369.3389999999999</v>
      </c>
      <c r="J584" s="25">
        <v>0</v>
      </c>
      <c r="K584" s="26">
        <v>1</v>
      </c>
      <c r="L584" s="26"/>
      <c r="M584" s="27"/>
    </row>
    <row r="585" spans="1:13" ht="48">
      <c r="A585" s="1">
        <v>20</v>
      </c>
      <c r="B585" s="22">
        <v>12</v>
      </c>
      <c r="C585" s="23" t="s">
        <v>643</v>
      </c>
      <c r="D585" s="29">
        <v>2019</v>
      </c>
      <c r="E585" s="24">
        <v>21775.365000000002</v>
      </c>
      <c r="F585" s="24">
        <v>21775.365000000002</v>
      </c>
      <c r="G585" s="25">
        <v>0</v>
      </c>
      <c r="H585" s="24">
        <f t="shared" si="35"/>
        <v>16251.476000000001</v>
      </c>
      <c r="I585" s="24">
        <v>16251.476000000001</v>
      </c>
      <c r="J585" s="25">
        <v>0</v>
      </c>
      <c r="K585" s="26">
        <v>1</v>
      </c>
      <c r="L585" s="26"/>
      <c r="M585" s="27"/>
    </row>
    <row r="586" spans="1:13" ht="48">
      <c r="A586" s="1">
        <v>20</v>
      </c>
      <c r="B586" s="22">
        <v>13</v>
      </c>
      <c r="C586" s="23" t="s">
        <v>644</v>
      </c>
      <c r="D586" s="29">
        <v>2019</v>
      </c>
      <c r="E586" s="24">
        <v>19801.358</v>
      </c>
      <c r="F586" s="24">
        <v>19801.358</v>
      </c>
      <c r="G586" s="25">
        <v>0</v>
      </c>
      <c r="H586" s="24">
        <f t="shared" ref="H586:H649" si="38">I586+J586</f>
        <v>9416.9860000000008</v>
      </c>
      <c r="I586" s="24">
        <v>9416.9860000000008</v>
      </c>
      <c r="J586" s="25">
        <v>0</v>
      </c>
      <c r="K586" s="26">
        <v>1</v>
      </c>
      <c r="L586" s="26"/>
      <c r="M586" s="27"/>
    </row>
    <row r="587" spans="1:13" ht="48">
      <c r="A587" s="1">
        <v>20</v>
      </c>
      <c r="B587" s="22">
        <v>14</v>
      </c>
      <c r="C587" s="23" t="s">
        <v>645</v>
      </c>
      <c r="D587" s="29" t="s">
        <v>34</v>
      </c>
      <c r="E587" s="24">
        <f>23556.266-18556.266</f>
        <v>5000</v>
      </c>
      <c r="F587" s="24">
        <f>23556.266-18556.266</f>
        <v>5000</v>
      </c>
      <c r="G587" s="25">
        <f>0-0</f>
        <v>0</v>
      </c>
      <c r="H587" s="24">
        <f t="shared" si="38"/>
        <v>1500</v>
      </c>
      <c r="I587" s="24">
        <v>1500</v>
      </c>
      <c r="J587" s="25">
        <v>0</v>
      </c>
      <c r="K587" s="26">
        <v>1</v>
      </c>
      <c r="L587" s="26"/>
      <c r="M587" s="27" t="s">
        <v>48</v>
      </c>
    </row>
    <row r="588" spans="1:13" ht="48">
      <c r="A588" s="1">
        <v>20</v>
      </c>
      <c r="B588" s="22">
        <v>15</v>
      </c>
      <c r="C588" s="23" t="s">
        <v>646</v>
      </c>
      <c r="D588" s="29" t="s">
        <v>32</v>
      </c>
      <c r="E588" s="24">
        <v>15618.69</v>
      </c>
      <c r="F588" s="24">
        <v>15618.69</v>
      </c>
      <c r="G588" s="25">
        <v>0</v>
      </c>
      <c r="H588" s="24">
        <f t="shared" si="38"/>
        <v>15603.159</v>
      </c>
      <c r="I588" s="24">
        <v>15603.159</v>
      </c>
      <c r="J588" s="25">
        <v>0</v>
      </c>
      <c r="K588" s="26">
        <v>1</v>
      </c>
      <c r="L588" s="26"/>
      <c r="M588" s="27"/>
    </row>
    <row r="589" spans="1:13" ht="48">
      <c r="A589" s="1">
        <v>20</v>
      </c>
      <c r="B589" s="22">
        <v>16</v>
      </c>
      <c r="C589" s="23" t="s">
        <v>647</v>
      </c>
      <c r="D589" s="29" t="s">
        <v>34</v>
      </c>
      <c r="E589" s="24">
        <v>67003.883000000002</v>
      </c>
      <c r="F589" s="24">
        <v>56094.216999999997</v>
      </c>
      <c r="G589" s="25">
        <v>10909.665999999999</v>
      </c>
      <c r="H589" s="24">
        <f t="shared" si="38"/>
        <v>57389.602999999996</v>
      </c>
      <c r="I589" s="24">
        <v>46514.417999999998</v>
      </c>
      <c r="J589" s="25">
        <v>10875.184999999999</v>
      </c>
      <c r="K589" s="26">
        <v>1</v>
      </c>
      <c r="L589" s="26"/>
      <c r="M589" s="27"/>
    </row>
    <row r="590" spans="1:13" ht="32">
      <c r="A590" s="1">
        <v>20</v>
      </c>
      <c r="B590" s="22">
        <v>17</v>
      </c>
      <c r="C590" s="23" t="s">
        <v>648</v>
      </c>
      <c r="D590" s="29" t="s">
        <v>32</v>
      </c>
      <c r="E590" s="24">
        <v>12850</v>
      </c>
      <c r="F590" s="24">
        <v>0</v>
      </c>
      <c r="G590" s="25">
        <v>12850</v>
      </c>
      <c r="H590" s="24">
        <f t="shared" si="38"/>
        <v>8830.2829999999994</v>
      </c>
      <c r="I590" s="24">
        <v>0</v>
      </c>
      <c r="J590" s="25">
        <v>8830.2829999999994</v>
      </c>
      <c r="K590" s="26">
        <v>1</v>
      </c>
      <c r="L590" s="26"/>
      <c r="M590" s="27"/>
    </row>
    <row r="591" spans="1:13" ht="48">
      <c r="A591" s="1">
        <v>20</v>
      </c>
      <c r="B591" s="22">
        <v>18</v>
      </c>
      <c r="C591" s="23" t="s">
        <v>649</v>
      </c>
      <c r="D591" s="29">
        <v>2019</v>
      </c>
      <c r="E591" s="24">
        <v>7324.7219999999998</v>
      </c>
      <c r="F591" s="24">
        <v>7324.7219999999998</v>
      </c>
      <c r="G591" s="25">
        <v>0</v>
      </c>
      <c r="H591" s="24">
        <f t="shared" si="38"/>
        <v>7311.0510000000004</v>
      </c>
      <c r="I591" s="24">
        <v>7311.0510000000004</v>
      </c>
      <c r="J591" s="25">
        <v>0</v>
      </c>
      <c r="K591" s="26">
        <v>1</v>
      </c>
      <c r="L591" s="26">
        <v>1</v>
      </c>
      <c r="M591" s="27"/>
    </row>
    <row r="592" spans="1:13" ht="80">
      <c r="A592" s="1">
        <v>20</v>
      </c>
      <c r="B592" s="22">
        <v>19</v>
      </c>
      <c r="C592" s="23" t="s">
        <v>650</v>
      </c>
      <c r="D592" s="29">
        <v>2019</v>
      </c>
      <c r="E592" s="24">
        <v>14708.328</v>
      </c>
      <c r="F592" s="24">
        <v>14708.328</v>
      </c>
      <c r="G592" s="25">
        <v>0</v>
      </c>
      <c r="H592" s="24">
        <f t="shared" si="38"/>
        <v>9758.8169999999991</v>
      </c>
      <c r="I592" s="24">
        <v>9758.8169999999991</v>
      </c>
      <c r="J592" s="25">
        <v>0</v>
      </c>
      <c r="K592" s="26">
        <v>1</v>
      </c>
      <c r="L592" s="26"/>
      <c r="M592" s="27"/>
    </row>
    <row r="593" spans="1:13" ht="32">
      <c r="A593" s="1">
        <v>20</v>
      </c>
      <c r="B593" s="22">
        <v>20</v>
      </c>
      <c r="C593" s="23" t="s">
        <v>651</v>
      </c>
      <c r="D593" s="29">
        <v>2019</v>
      </c>
      <c r="E593" s="24">
        <v>8046.61</v>
      </c>
      <c r="F593" s="24">
        <v>0</v>
      </c>
      <c r="G593" s="25">
        <v>8046.61</v>
      </c>
      <c r="H593" s="24">
        <f t="shared" si="38"/>
        <v>4198.9690000000001</v>
      </c>
      <c r="I593" s="24">
        <v>0</v>
      </c>
      <c r="J593" s="25">
        <v>4198.9690000000001</v>
      </c>
      <c r="K593" s="26">
        <v>1</v>
      </c>
      <c r="L593" s="26"/>
      <c r="M593" s="27"/>
    </row>
    <row r="594" spans="1:13" ht="48">
      <c r="A594" s="1">
        <v>20</v>
      </c>
      <c r="B594" s="22">
        <v>21</v>
      </c>
      <c r="C594" s="23" t="s">
        <v>652</v>
      </c>
      <c r="D594" s="29" t="s">
        <v>34</v>
      </c>
      <c r="E594" s="24">
        <f>16665.417-15965.417</f>
        <v>700.00000000000182</v>
      </c>
      <c r="F594" s="24">
        <f>16665.417-15965.417</f>
        <v>700.00000000000182</v>
      </c>
      <c r="G594" s="25">
        <f>0-0</f>
        <v>0</v>
      </c>
      <c r="H594" s="24">
        <f t="shared" si="38"/>
        <v>0</v>
      </c>
      <c r="I594" s="24">
        <v>0</v>
      </c>
      <c r="J594" s="25">
        <v>0</v>
      </c>
      <c r="K594" s="26">
        <v>1</v>
      </c>
      <c r="L594" s="26"/>
      <c r="M594" s="27" t="s">
        <v>48</v>
      </c>
    </row>
    <row r="595" spans="1:13" ht="112">
      <c r="A595" s="1">
        <v>20</v>
      </c>
      <c r="B595" s="22">
        <v>22</v>
      </c>
      <c r="C595" s="23" t="s">
        <v>653</v>
      </c>
      <c r="D595" s="29" t="s">
        <v>32</v>
      </c>
      <c r="E595" s="24">
        <f>18225.432+10000</f>
        <v>28225.432000000001</v>
      </c>
      <c r="F595" s="24">
        <f>14670.167+10000</f>
        <v>24670.167000000001</v>
      </c>
      <c r="G595" s="25">
        <v>3555.2649999999999</v>
      </c>
      <c r="H595" s="24">
        <f t="shared" si="38"/>
        <v>26549.393</v>
      </c>
      <c r="I595" s="24">
        <v>22994.128000000001</v>
      </c>
      <c r="J595" s="25">
        <v>3555.2649999999999</v>
      </c>
      <c r="K595" s="26">
        <v>1</v>
      </c>
      <c r="L595" s="26"/>
      <c r="M595" s="27" t="s">
        <v>23</v>
      </c>
    </row>
    <row r="596" spans="1:13" ht="48">
      <c r="A596" s="1">
        <v>20</v>
      </c>
      <c r="B596" s="22">
        <v>23</v>
      </c>
      <c r="C596" s="23" t="s">
        <v>654</v>
      </c>
      <c r="D596" s="29">
        <v>2019</v>
      </c>
      <c r="E596" s="24">
        <v>24623.627</v>
      </c>
      <c r="F596" s="24">
        <v>24623.627</v>
      </c>
      <c r="G596" s="25">
        <v>0</v>
      </c>
      <c r="H596" s="24">
        <f t="shared" si="38"/>
        <v>24599.617999999999</v>
      </c>
      <c r="I596" s="24">
        <v>24599.617999999999</v>
      </c>
      <c r="J596" s="25">
        <v>0</v>
      </c>
      <c r="K596" s="26">
        <v>1</v>
      </c>
      <c r="L596" s="26"/>
      <c r="M596" s="27"/>
    </row>
    <row r="597" spans="1:13" ht="33" thickBot="1">
      <c r="A597" s="1">
        <v>20</v>
      </c>
      <c r="B597" s="36">
        <v>24</v>
      </c>
      <c r="C597" s="37" t="s">
        <v>655</v>
      </c>
      <c r="D597" s="84" t="s">
        <v>32</v>
      </c>
      <c r="E597" s="38">
        <v>12136.5</v>
      </c>
      <c r="F597" s="38">
        <v>0</v>
      </c>
      <c r="G597" s="39">
        <v>12136.5</v>
      </c>
      <c r="H597" s="38">
        <f t="shared" si="38"/>
        <v>12066.423000000001</v>
      </c>
      <c r="I597" s="38">
        <v>0</v>
      </c>
      <c r="J597" s="39">
        <v>12066.423000000001</v>
      </c>
      <c r="K597" s="40">
        <v>1</v>
      </c>
      <c r="L597" s="40"/>
      <c r="M597" s="41"/>
    </row>
    <row r="598" spans="1:13" ht="64">
      <c r="A598" s="1">
        <v>21</v>
      </c>
      <c r="B598" s="15"/>
      <c r="C598" s="16" t="s">
        <v>656</v>
      </c>
      <c r="D598" s="16"/>
      <c r="E598" s="17">
        <f>SUM(E599:E612,E615:E631)</f>
        <v>207488.07199999999</v>
      </c>
      <c r="F598" s="17">
        <f t="shared" ref="F598:L598" si="39">SUM(F599:F612,F615:F631)</f>
        <v>184061.41899999999</v>
      </c>
      <c r="G598" s="18">
        <f t="shared" si="39"/>
        <v>23426.652999999998</v>
      </c>
      <c r="H598" s="17">
        <f t="shared" si="38"/>
        <v>118058.83599999998</v>
      </c>
      <c r="I598" s="17">
        <f t="shared" si="39"/>
        <v>105044.99699999997</v>
      </c>
      <c r="J598" s="18">
        <f t="shared" si="39"/>
        <v>13013.839</v>
      </c>
      <c r="K598" s="20">
        <f t="shared" si="39"/>
        <v>31</v>
      </c>
      <c r="L598" s="20">
        <f t="shared" si="39"/>
        <v>15</v>
      </c>
      <c r="M598" s="21"/>
    </row>
    <row r="599" spans="1:13" ht="48">
      <c r="A599" s="1">
        <v>21</v>
      </c>
      <c r="B599" s="22">
        <v>1</v>
      </c>
      <c r="C599" s="23" t="s">
        <v>657</v>
      </c>
      <c r="D599" s="26" t="s">
        <v>21</v>
      </c>
      <c r="E599" s="24">
        <v>7556.6189999999997</v>
      </c>
      <c r="F599" s="24">
        <v>7556.6189999999997</v>
      </c>
      <c r="G599" s="25">
        <v>0</v>
      </c>
      <c r="H599" s="24">
        <f t="shared" si="38"/>
        <v>7548.1109999999999</v>
      </c>
      <c r="I599" s="24">
        <v>7548.1109999999999</v>
      </c>
      <c r="J599" s="25">
        <v>0</v>
      </c>
      <c r="K599" s="26">
        <v>1</v>
      </c>
      <c r="L599" s="26">
        <v>1</v>
      </c>
      <c r="M599" s="27"/>
    </row>
    <row r="600" spans="1:13" ht="32">
      <c r="A600" s="1">
        <v>21</v>
      </c>
      <c r="B600" s="22">
        <v>2</v>
      </c>
      <c r="C600" s="23" t="s">
        <v>658</v>
      </c>
      <c r="D600" s="104" t="s">
        <v>659</v>
      </c>
      <c r="E600" s="24">
        <v>17572.156999999999</v>
      </c>
      <c r="F600" s="24">
        <v>17572.156999999999</v>
      </c>
      <c r="G600" s="25">
        <v>0</v>
      </c>
      <c r="H600" s="24">
        <f t="shared" si="38"/>
        <v>12411.9</v>
      </c>
      <c r="I600" s="24">
        <v>12411.9</v>
      </c>
      <c r="J600" s="25">
        <v>0</v>
      </c>
      <c r="K600" s="26">
        <v>1</v>
      </c>
      <c r="L600" s="26">
        <v>1</v>
      </c>
      <c r="M600" s="27"/>
    </row>
    <row r="601" spans="1:13" ht="32">
      <c r="A601" s="1">
        <v>21</v>
      </c>
      <c r="B601" s="22">
        <v>3</v>
      </c>
      <c r="C601" s="23" t="s">
        <v>660</v>
      </c>
      <c r="D601" s="102" t="s">
        <v>21</v>
      </c>
      <c r="E601" s="24">
        <v>10841.378000000001</v>
      </c>
      <c r="F601" s="24">
        <v>10841.378000000001</v>
      </c>
      <c r="G601" s="25">
        <v>0</v>
      </c>
      <c r="H601" s="24">
        <f t="shared" si="38"/>
        <v>4500.9719999999998</v>
      </c>
      <c r="I601" s="24">
        <v>4500.9719999999998</v>
      </c>
      <c r="J601" s="25">
        <v>0</v>
      </c>
      <c r="K601" s="26">
        <v>1</v>
      </c>
      <c r="L601" s="26"/>
      <c r="M601" s="27"/>
    </row>
    <row r="602" spans="1:13" ht="32">
      <c r="A602" s="1">
        <v>21</v>
      </c>
      <c r="B602" s="22">
        <v>4</v>
      </c>
      <c r="C602" s="23" t="s">
        <v>661</v>
      </c>
      <c r="D602" s="102" t="s">
        <v>21</v>
      </c>
      <c r="E602" s="24">
        <v>11771.036</v>
      </c>
      <c r="F602" s="24">
        <v>11771.036</v>
      </c>
      <c r="G602" s="25">
        <v>0</v>
      </c>
      <c r="H602" s="24">
        <f t="shared" si="38"/>
        <v>10.676</v>
      </c>
      <c r="I602" s="24">
        <v>10.676</v>
      </c>
      <c r="J602" s="25">
        <v>0</v>
      </c>
      <c r="K602" s="26">
        <v>1</v>
      </c>
      <c r="L602" s="26"/>
      <c r="M602" s="27"/>
    </row>
    <row r="603" spans="1:13" ht="32">
      <c r="A603" s="1">
        <v>21</v>
      </c>
      <c r="B603" s="22">
        <v>5</v>
      </c>
      <c r="C603" s="23" t="s">
        <v>662</v>
      </c>
      <c r="D603" s="102" t="s">
        <v>21</v>
      </c>
      <c r="E603" s="24">
        <v>5362.6360000000004</v>
      </c>
      <c r="F603" s="24">
        <v>5362.6360000000004</v>
      </c>
      <c r="G603" s="25">
        <v>0</v>
      </c>
      <c r="H603" s="24">
        <f t="shared" si="38"/>
        <v>4795.9679999999998</v>
      </c>
      <c r="I603" s="24">
        <v>4795.9679999999998</v>
      </c>
      <c r="J603" s="25">
        <v>0</v>
      </c>
      <c r="K603" s="26">
        <v>1</v>
      </c>
      <c r="L603" s="26"/>
      <c r="M603" s="27"/>
    </row>
    <row r="604" spans="1:13" ht="32">
      <c r="A604" s="1">
        <v>21</v>
      </c>
      <c r="B604" s="22">
        <v>6</v>
      </c>
      <c r="C604" s="23" t="s">
        <v>663</v>
      </c>
      <c r="D604" s="104" t="s">
        <v>19</v>
      </c>
      <c r="E604" s="24">
        <v>176.34800000000001</v>
      </c>
      <c r="F604" s="24">
        <v>176.34800000000001</v>
      </c>
      <c r="G604" s="25">
        <v>0</v>
      </c>
      <c r="H604" s="24">
        <f t="shared" si="38"/>
        <v>125.95</v>
      </c>
      <c r="I604" s="24">
        <v>125.95</v>
      </c>
      <c r="J604" s="25">
        <v>0</v>
      </c>
      <c r="K604" s="26">
        <v>1</v>
      </c>
      <c r="L604" s="26">
        <v>1</v>
      </c>
      <c r="M604" s="27"/>
    </row>
    <row r="605" spans="1:13" ht="64">
      <c r="A605" s="1">
        <v>21</v>
      </c>
      <c r="B605" s="22">
        <v>7</v>
      </c>
      <c r="C605" s="23" t="s">
        <v>664</v>
      </c>
      <c r="D605" s="102" t="s">
        <v>665</v>
      </c>
      <c r="E605" s="24">
        <v>4515.3149999999996</v>
      </c>
      <c r="F605" s="24">
        <v>4515.3149999999996</v>
      </c>
      <c r="G605" s="25">
        <v>0</v>
      </c>
      <c r="H605" s="24">
        <f t="shared" si="38"/>
        <v>4126.4610000000002</v>
      </c>
      <c r="I605" s="24">
        <v>4126.4610000000002</v>
      </c>
      <c r="J605" s="25">
        <v>0</v>
      </c>
      <c r="K605" s="26">
        <v>1</v>
      </c>
      <c r="L605" s="26">
        <v>1</v>
      </c>
      <c r="M605" s="27"/>
    </row>
    <row r="606" spans="1:13" ht="48">
      <c r="A606" s="1">
        <v>21</v>
      </c>
      <c r="B606" s="22">
        <v>8</v>
      </c>
      <c r="C606" s="23" t="s">
        <v>666</v>
      </c>
      <c r="D606" s="102" t="s">
        <v>16</v>
      </c>
      <c r="E606" s="24">
        <v>2167.3870000000002</v>
      </c>
      <c r="F606" s="24">
        <v>2167.3870000000002</v>
      </c>
      <c r="G606" s="25">
        <v>0</v>
      </c>
      <c r="H606" s="24">
        <f t="shared" si="38"/>
        <v>2106.3159999999998</v>
      </c>
      <c r="I606" s="24">
        <v>2106.3159999999998</v>
      </c>
      <c r="J606" s="25">
        <v>0</v>
      </c>
      <c r="K606" s="26">
        <v>1</v>
      </c>
      <c r="L606" s="26"/>
      <c r="M606" s="27"/>
    </row>
    <row r="607" spans="1:13" ht="48">
      <c r="A607" s="1">
        <v>21</v>
      </c>
      <c r="B607" s="22">
        <v>9</v>
      </c>
      <c r="C607" s="23" t="s">
        <v>667</v>
      </c>
      <c r="D607" s="102" t="s">
        <v>16</v>
      </c>
      <c r="E607" s="24">
        <v>6376.4489999999996</v>
      </c>
      <c r="F607" s="24">
        <v>6376.4489999999996</v>
      </c>
      <c r="G607" s="25">
        <v>0</v>
      </c>
      <c r="H607" s="24">
        <f t="shared" si="38"/>
        <v>6033.0240000000003</v>
      </c>
      <c r="I607" s="24">
        <v>6033.0240000000003</v>
      </c>
      <c r="J607" s="25">
        <v>0</v>
      </c>
      <c r="K607" s="26">
        <v>1</v>
      </c>
      <c r="L607" s="26">
        <v>1</v>
      </c>
      <c r="M607" s="27"/>
    </row>
    <row r="608" spans="1:13" ht="48">
      <c r="A608" s="1">
        <v>21</v>
      </c>
      <c r="B608" s="22">
        <v>10</v>
      </c>
      <c r="C608" s="23" t="s">
        <v>668</v>
      </c>
      <c r="D608" s="104" t="s">
        <v>19</v>
      </c>
      <c r="E608" s="24">
        <v>1622.585</v>
      </c>
      <c r="F608" s="24">
        <v>1622.585</v>
      </c>
      <c r="G608" s="25">
        <v>0</v>
      </c>
      <c r="H608" s="24">
        <f t="shared" si="38"/>
        <v>1515.768</v>
      </c>
      <c r="I608" s="24">
        <v>1515.768</v>
      </c>
      <c r="J608" s="25">
        <v>0</v>
      </c>
      <c r="K608" s="26">
        <v>1</v>
      </c>
      <c r="L608" s="26">
        <v>1</v>
      </c>
      <c r="M608" s="27"/>
    </row>
    <row r="609" spans="1:13" ht="48">
      <c r="A609" s="1">
        <v>21</v>
      </c>
      <c r="B609" s="22">
        <v>11</v>
      </c>
      <c r="C609" s="23" t="s">
        <v>669</v>
      </c>
      <c r="D609" s="102" t="s">
        <v>19</v>
      </c>
      <c r="E609" s="24">
        <v>4533.5870000000004</v>
      </c>
      <c r="F609" s="24">
        <v>4533.5870000000004</v>
      </c>
      <c r="G609" s="25">
        <v>0</v>
      </c>
      <c r="H609" s="24">
        <f t="shared" si="38"/>
        <v>4440.116</v>
      </c>
      <c r="I609" s="24">
        <v>4440.116</v>
      </c>
      <c r="J609" s="25">
        <v>0</v>
      </c>
      <c r="K609" s="26">
        <v>1</v>
      </c>
      <c r="L609" s="26">
        <v>1</v>
      </c>
      <c r="M609" s="27"/>
    </row>
    <row r="610" spans="1:13" ht="32">
      <c r="A610" s="1">
        <v>21</v>
      </c>
      <c r="B610" s="22">
        <v>12</v>
      </c>
      <c r="C610" s="23" t="s">
        <v>670</v>
      </c>
      <c r="D610" s="104" t="s">
        <v>19</v>
      </c>
      <c r="E610" s="24">
        <v>1671.9970000000001</v>
      </c>
      <c r="F610" s="24">
        <v>1671.9970000000001</v>
      </c>
      <c r="G610" s="25">
        <v>0</v>
      </c>
      <c r="H610" s="24">
        <f t="shared" si="38"/>
        <v>1671.9970000000001</v>
      </c>
      <c r="I610" s="24">
        <v>1671.9970000000001</v>
      </c>
      <c r="J610" s="25">
        <v>0</v>
      </c>
      <c r="K610" s="26">
        <v>1</v>
      </c>
      <c r="L610" s="26">
        <v>1</v>
      </c>
      <c r="M610" s="27"/>
    </row>
    <row r="611" spans="1:13" ht="32">
      <c r="A611" s="1">
        <v>21</v>
      </c>
      <c r="B611" s="22">
        <v>13</v>
      </c>
      <c r="C611" s="23" t="s">
        <v>671</v>
      </c>
      <c r="D611" s="102" t="s">
        <v>21</v>
      </c>
      <c r="E611" s="24">
        <v>795</v>
      </c>
      <c r="F611" s="24">
        <v>795</v>
      </c>
      <c r="G611" s="25">
        <v>0</v>
      </c>
      <c r="H611" s="24">
        <f t="shared" si="38"/>
        <v>783.83100000000002</v>
      </c>
      <c r="I611" s="24">
        <v>783.83100000000002</v>
      </c>
      <c r="J611" s="25">
        <v>0</v>
      </c>
      <c r="K611" s="26">
        <v>1</v>
      </c>
      <c r="L611" s="26">
        <v>1</v>
      </c>
      <c r="M611" s="27"/>
    </row>
    <row r="612" spans="1:13" ht="32">
      <c r="A612" s="1">
        <v>21</v>
      </c>
      <c r="B612" s="67">
        <v>14</v>
      </c>
      <c r="C612" s="85" t="s">
        <v>672</v>
      </c>
      <c r="D612" s="85"/>
      <c r="E612" s="86">
        <v>2780.14</v>
      </c>
      <c r="F612" s="86">
        <v>2780.14</v>
      </c>
      <c r="G612" s="87">
        <v>0</v>
      </c>
      <c r="H612" s="86">
        <f t="shared" si="38"/>
        <v>2581.4309999999996</v>
      </c>
      <c r="I612" s="86">
        <v>2581.4309999999996</v>
      </c>
      <c r="J612" s="87">
        <v>0</v>
      </c>
      <c r="K612" s="2">
        <v>1</v>
      </c>
      <c r="L612" s="2">
        <v>1</v>
      </c>
      <c r="M612" s="88"/>
    </row>
    <row r="613" spans="1:13" ht="64">
      <c r="A613" s="1">
        <v>21</v>
      </c>
      <c r="B613" s="68"/>
      <c r="C613" s="89" t="s">
        <v>673</v>
      </c>
      <c r="D613" s="104" t="s">
        <v>19</v>
      </c>
      <c r="E613" s="64">
        <v>1388.894</v>
      </c>
      <c r="F613" s="64">
        <v>1388.894</v>
      </c>
      <c r="G613" s="65">
        <v>0</v>
      </c>
      <c r="H613" s="64">
        <f t="shared" si="38"/>
        <v>1328.2629999999999</v>
      </c>
      <c r="I613" s="64">
        <v>1328.2629999999999</v>
      </c>
      <c r="J613" s="65">
        <v>0</v>
      </c>
      <c r="K613" s="61" t="s">
        <v>371</v>
      </c>
      <c r="L613" s="61" t="s">
        <v>371</v>
      </c>
      <c r="M613" s="66"/>
    </row>
    <row r="614" spans="1:13" ht="85">
      <c r="A614" s="1">
        <v>21</v>
      </c>
      <c r="B614" s="68"/>
      <c r="C614" s="90" t="s">
        <v>674</v>
      </c>
      <c r="D614" s="104">
        <v>2019</v>
      </c>
      <c r="E614" s="64">
        <v>1391.2460000000001</v>
      </c>
      <c r="F614" s="64">
        <v>1391.2460000000001</v>
      </c>
      <c r="G614" s="65">
        <v>0</v>
      </c>
      <c r="H614" s="64">
        <f t="shared" si="38"/>
        <v>1253.1679999999999</v>
      </c>
      <c r="I614" s="64">
        <v>1253.1679999999999</v>
      </c>
      <c r="J614" s="65">
        <v>0</v>
      </c>
      <c r="K614" s="61" t="s">
        <v>371</v>
      </c>
      <c r="L614" s="61" t="s">
        <v>371</v>
      </c>
      <c r="M614" s="66"/>
    </row>
    <row r="615" spans="1:13" ht="48">
      <c r="A615" s="1">
        <v>21</v>
      </c>
      <c r="B615" s="22">
        <v>15</v>
      </c>
      <c r="C615" s="23" t="s">
        <v>675</v>
      </c>
      <c r="D615" s="104" t="s">
        <v>19</v>
      </c>
      <c r="E615" s="24">
        <v>770</v>
      </c>
      <c r="F615" s="24">
        <v>770</v>
      </c>
      <c r="G615" s="25">
        <v>0</v>
      </c>
      <c r="H615" s="24">
        <f t="shared" si="38"/>
        <v>770</v>
      </c>
      <c r="I615" s="24">
        <v>770</v>
      </c>
      <c r="J615" s="25">
        <v>0</v>
      </c>
      <c r="K615" s="26">
        <v>1</v>
      </c>
      <c r="L615" s="26">
        <v>1</v>
      </c>
      <c r="M615" s="27"/>
    </row>
    <row r="616" spans="1:13" ht="32">
      <c r="A616" s="1">
        <v>21</v>
      </c>
      <c r="B616" s="22">
        <v>16</v>
      </c>
      <c r="C616" s="23" t="s">
        <v>676</v>
      </c>
      <c r="D616" s="104" t="s">
        <v>19</v>
      </c>
      <c r="E616" s="24">
        <v>1261.0740000000001</v>
      </c>
      <c r="F616" s="24">
        <v>1261.0740000000001</v>
      </c>
      <c r="G616" s="25">
        <v>0</v>
      </c>
      <c r="H616" s="24">
        <f t="shared" si="38"/>
        <v>1261.0740000000001</v>
      </c>
      <c r="I616" s="24">
        <v>1261.0740000000001</v>
      </c>
      <c r="J616" s="25">
        <v>0</v>
      </c>
      <c r="K616" s="26">
        <v>1</v>
      </c>
      <c r="L616" s="26">
        <v>1</v>
      </c>
      <c r="M616" s="27"/>
    </row>
    <row r="617" spans="1:13" ht="48">
      <c r="A617" s="1">
        <v>21</v>
      </c>
      <c r="B617" s="22">
        <v>17</v>
      </c>
      <c r="C617" s="23" t="s">
        <v>677</v>
      </c>
      <c r="D617" s="104" t="s">
        <v>19</v>
      </c>
      <c r="E617" s="24">
        <v>945.70399999999995</v>
      </c>
      <c r="F617" s="24">
        <v>945.70399999999995</v>
      </c>
      <c r="G617" s="25">
        <v>0</v>
      </c>
      <c r="H617" s="24">
        <f t="shared" si="38"/>
        <v>0</v>
      </c>
      <c r="I617" s="24">
        <v>0</v>
      </c>
      <c r="J617" s="25">
        <v>0</v>
      </c>
      <c r="K617" s="26">
        <v>1</v>
      </c>
      <c r="L617" s="26"/>
      <c r="M617" s="27"/>
    </row>
    <row r="618" spans="1:13" ht="48">
      <c r="A618" s="1">
        <v>21</v>
      </c>
      <c r="B618" s="22">
        <v>18</v>
      </c>
      <c r="C618" s="23" t="s">
        <v>678</v>
      </c>
      <c r="D618" s="104" t="s">
        <v>19</v>
      </c>
      <c r="E618" s="24">
        <v>658.18600000000004</v>
      </c>
      <c r="F618" s="24">
        <v>658.18600000000004</v>
      </c>
      <c r="G618" s="25">
        <v>0</v>
      </c>
      <c r="H618" s="24">
        <f t="shared" si="38"/>
        <v>658.18600000000004</v>
      </c>
      <c r="I618" s="24">
        <v>658.18600000000004</v>
      </c>
      <c r="J618" s="25">
        <v>0</v>
      </c>
      <c r="K618" s="26">
        <v>1</v>
      </c>
      <c r="L618" s="26">
        <v>1</v>
      </c>
      <c r="M618" s="27"/>
    </row>
    <row r="619" spans="1:13" ht="80">
      <c r="A619" s="1">
        <v>21</v>
      </c>
      <c r="B619" s="22">
        <v>19</v>
      </c>
      <c r="C619" s="23" t="s">
        <v>679</v>
      </c>
      <c r="D619" s="44" t="s">
        <v>34</v>
      </c>
      <c r="E619" s="24">
        <v>4170.1379999999999</v>
      </c>
      <c r="F619" s="24">
        <v>4170.1379999999999</v>
      </c>
      <c r="G619" s="25">
        <v>0</v>
      </c>
      <c r="H619" s="24">
        <f t="shared" si="38"/>
        <v>4001.2069999999999</v>
      </c>
      <c r="I619" s="24">
        <v>4001.2069999999999</v>
      </c>
      <c r="J619" s="25">
        <v>0</v>
      </c>
      <c r="K619" s="26">
        <v>1</v>
      </c>
      <c r="L619" s="26"/>
      <c r="M619" s="27"/>
    </row>
    <row r="620" spans="1:13" ht="64">
      <c r="A620" s="1">
        <v>21</v>
      </c>
      <c r="B620" s="22">
        <v>20</v>
      </c>
      <c r="C620" s="23" t="s">
        <v>680</v>
      </c>
      <c r="D620" s="44" t="s">
        <v>34</v>
      </c>
      <c r="E620" s="24">
        <f>10000-5000+5000</f>
        <v>10000</v>
      </c>
      <c r="F620" s="24">
        <f>10000-5000+5000</f>
        <v>10000</v>
      </c>
      <c r="G620" s="25">
        <f>0-0+0</f>
        <v>0</v>
      </c>
      <c r="H620" s="24">
        <f t="shared" si="38"/>
        <v>5000</v>
      </c>
      <c r="I620" s="24">
        <v>5000</v>
      </c>
      <c r="J620" s="25">
        <v>0</v>
      </c>
      <c r="K620" s="26">
        <v>1</v>
      </c>
      <c r="L620" s="26"/>
      <c r="M620" s="27" t="s">
        <v>681</v>
      </c>
    </row>
    <row r="621" spans="1:13" ht="64">
      <c r="A621" s="1">
        <v>21</v>
      </c>
      <c r="B621" s="22">
        <v>21</v>
      </c>
      <c r="C621" s="23" t="s">
        <v>682</v>
      </c>
      <c r="D621" s="44" t="s">
        <v>34</v>
      </c>
      <c r="E621" s="24">
        <v>2200</v>
      </c>
      <c r="F621" s="24">
        <v>0</v>
      </c>
      <c r="G621" s="25">
        <v>2200</v>
      </c>
      <c r="H621" s="24">
        <f t="shared" si="38"/>
        <v>2200</v>
      </c>
      <c r="I621" s="24">
        <v>0</v>
      </c>
      <c r="J621" s="25">
        <v>2200</v>
      </c>
      <c r="K621" s="26">
        <v>1</v>
      </c>
      <c r="L621" s="26"/>
      <c r="M621" s="27"/>
    </row>
    <row r="622" spans="1:13" ht="48">
      <c r="A622" s="1">
        <v>21</v>
      </c>
      <c r="B622" s="22">
        <v>22</v>
      </c>
      <c r="C622" s="23" t="s">
        <v>683</v>
      </c>
      <c r="D622" s="44" t="s">
        <v>34</v>
      </c>
      <c r="E622" s="24">
        <v>7992</v>
      </c>
      <c r="F622" s="24">
        <v>7992</v>
      </c>
      <c r="G622" s="25">
        <v>0</v>
      </c>
      <c r="H622" s="24">
        <f t="shared" si="38"/>
        <v>7992</v>
      </c>
      <c r="I622" s="24">
        <v>7992</v>
      </c>
      <c r="J622" s="25">
        <v>0</v>
      </c>
      <c r="K622" s="26">
        <v>1</v>
      </c>
      <c r="L622" s="26"/>
      <c r="M622" s="27"/>
    </row>
    <row r="623" spans="1:13" ht="32">
      <c r="A623" s="1">
        <v>21</v>
      </c>
      <c r="B623" s="22">
        <v>23</v>
      </c>
      <c r="C623" s="23" t="s">
        <v>684</v>
      </c>
      <c r="D623" s="105" t="s">
        <v>34</v>
      </c>
      <c r="E623" s="24">
        <f>14899.252-4899.252</f>
        <v>10000</v>
      </c>
      <c r="F623" s="24">
        <f>14899.252-4899.252</f>
        <v>10000</v>
      </c>
      <c r="G623" s="25">
        <v>0</v>
      </c>
      <c r="H623" s="24">
        <f t="shared" si="38"/>
        <v>4366.3580000000002</v>
      </c>
      <c r="I623" s="24">
        <v>4366.3580000000002</v>
      </c>
      <c r="J623" s="25">
        <v>0</v>
      </c>
      <c r="K623" s="26">
        <v>1</v>
      </c>
      <c r="L623" s="26"/>
      <c r="M623" s="27" t="s">
        <v>48</v>
      </c>
    </row>
    <row r="624" spans="1:13" ht="48">
      <c r="A624" s="1">
        <v>21</v>
      </c>
      <c r="B624" s="22">
        <v>24</v>
      </c>
      <c r="C624" s="23" t="s">
        <v>685</v>
      </c>
      <c r="D624" s="105">
        <v>2019</v>
      </c>
      <c r="E624" s="24">
        <v>4789.4260000000004</v>
      </c>
      <c r="F624" s="24">
        <v>4789.4260000000004</v>
      </c>
      <c r="G624" s="25">
        <v>0</v>
      </c>
      <c r="H624" s="24">
        <f t="shared" si="38"/>
        <v>4740.1819999999998</v>
      </c>
      <c r="I624" s="24">
        <v>4740.1819999999998</v>
      </c>
      <c r="J624" s="25">
        <v>0</v>
      </c>
      <c r="K624" s="26">
        <v>1</v>
      </c>
      <c r="L624" s="26">
        <v>1</v>
      </c>
      <c r="M624" s="27"/>
    </row>
    <row r="625" spans="1:13" ht="32">
      <c r="A625" s="1">
        <v>21</v>
      </c>
      <c r="B625" s="22">
        <v>25</v>
      </c>
      <c r="C625" s="23" t="s">
        <v>686</v>
      </c>
      <c r="D625" s="105">
        <v>2019</v>
      </c>
      <c r="E625" s="24">
        <v>4914.8999999999996</v>
      </c>
      <c r="F625" s="24">
        <v>1543.25</v>
      </c>
      <c r="G625" s="25">
        <v>3371.65</v>
      </c>
      <c r="H625" s="24">
        <f t="shared" si="38"/>
        <v>4178.4359999999997</v>
      </c>
      <c r="I625" s="24">
        <v>806.78599999999994</v>
      </c>
      <c r="J625" s="25">
        <v>3371.65</v>
      </c>
      <c r="K625" s="26">
        <v>1</v>
      </c>
      <c r="L625" s="26">
        <v>1</v>
      </c>
      <c r="M625" s="27" t="s">
        <v>687</v>
      </c>
    </row>
    <row r="626" spans="1:13" ht="48">
      <c r="A626" s="1">
        <v>21</v>
      </c>
      <c r="B626" s="22">
        <v>26</v>
      </c>
      <c r="C626" s="23" t="s">
        <v>688</v>
      </c>
      <c r="D626" s="106" t="s">
        <v>34</v>
      </c>
      <c r="E626" s="24">
        <f>6710.046-4310.046</f>
        <v>2400</v>
      </c>
      <c r="F626" s="24">
        <f>6710.046-4310.046</f>
        <v>2400</v>
      </c>
      <c r="G626" s="25">
        <v>0</v>
      </c>
      <c r="H626" s="24">
        <f t="shared" si="38"/>
        <v>1150.296</v>
      </c>
      <c r="I626" s="24">
        <v>1150.296</v>
      </c>
      <c r="J626" s="25">
        <v>0</v>
      </c>
      <c r="K626" s="26">
        <v>1</v>
      </c>
      <c r="L626" s="26"/>
      <c r="M626" s="27" t="s">
        <v>48</v>
      </c>
    </row>
    <row r="627" spans="1:13" ht="32">
      <c r="A627" s="1">
        <v>21</v>
      </c>
      <c r="B627" s="22">
        <v>27</v>
      </c>
      <c r="C627" s="23" t="s">
        <v>689</v>
      </c>
      <c r="D627" s="107" t="s">
        <v>34</v>
      </c>
      <c r="E627" s="24">
        <v>3007.02</v>
      </c>
      <c r="F627" s="24">
        <v>3007.02</v>
      </c>
      <c r="G627" s="25">
        <v>0</v>
      </c>
      <c r="H627" s="24">
        <f t="shared" si="38"/>
        <v>2426.9490000000001</v>
      </c>
      <c r="I627" s="24">
        <v>2426.9490000000001</v>
      </c>
      <c r="J627" s="25">
        <v>0</v>
      </c>
      <c r="K627" s="26">
        <v>1</v>
      </c>
      <c r="L627" s="26"/>
      <c r="M627" s="27"/>
    </row>
    <row r="628" spans="1:13" ht="48">
      <c r="A628" s="1">
        <v>21</v>
      </c>
      <c r="B628" s="22">
        <v>28</v>
      </c>
      <c r="C628" s="23" t="s">
        <v>690</v>
      </c>
      <c r="D628" s="105" t="s">
        <v>34</v>
      </c>
      <c r="E628" s="24">
        <v>8797.8279999999995</v>
      </c>
      <c r="F628" s="24">
        <v>8797.8279999999995</v>
      </c>
      <c r="G628" s="25">
        <v>0</v>
      </c>
      <c r="H628" s="24">
        <f t="shared" si="38"/>
        <v>8259.027</v>
      </c>
      <c r="I628" s="24">
        <v>8259.027</v>
      </c>
      <c r="J628" s="25">
        <v>0</v>
      </c>
      <c r="K628" s="26">
        <v>1</v>
      </c>
      <c r="L628" s="26"/>
      <c r="M628" s="27"/>
    </row>
    <row r="629" spans="1:13" ht="48">
      <c r="A629" s="1">
        <v>21</v>
      </c>
      <c r="B629" s="22">
        <v>29</v>
      </c>
      <c r="C629" s="23" t="s">
        <v>691</v>
      </c>
      <c r="D629" s="105" t="s">
        <v>34</v>
      </c>
      <c r="E629" s="24">
        <f>6750+2500</f>
        <v>9250</v>
      </c>
      <c r="F629" s="24">
        <f>1326.362+2500</f>
        <v>3826.3620000000001</v>
      </c>
      <c r="G629" s="25">
        <f>5423.638+0</f>
        <v>5423.6379999999999</v>
      </c>
      <c r="H629" s="24">
        <f t="shared" si="38"/>
        <v>2462.502</v>
      </c>
      <c r="I629" s="24">
        <v>835.41099999999994</v>
      </c>
      <c r="J629" s="25">
        <v>1627.0909999999999</v>
      </c>
      <c r="K629" s="26">
        <v>1</v>
      </c>
      <c r="L629" s="26"/>
      <c r="M629" s="27" t="s">
        <v>23</v>
      </c>
    </row>
    <row r="630" spans="1:13" ht="48">
      <c r="A630" s="1">
        <v>21</v>
      </c>
      <c r="B630" s="22">
        <v>30</v>
      </c>
      <c r="C630" s="23" t="s">
        <v>692</v>
      </c>
      <c r="D630" s="105">
        <v>2019</v>
      </c>
      <c r="E630" s="24">
        <v>12431.365</v>
      </c>
      <c r="F630" s="24">
        <v>0</v>
      </c>
      <c r="G630" s="25">
        <v>12431.365</v>
      </c>
      <c r="H630" s="24">
        <f t="shared" si="38"/>
        <v>5815.098</v>
      </c>
      <c r="I630" s="24">
        <v>0</v>
      </c>
      <c r="J630" s="25">
        <v>5815.098</v>
      </c>
      <c r="K630" s="26">
        <v>1</v>
      </c>
      <c r="L630" s="26"/>
      <c r="M630" s="27"/>
    </row>
    <row r="631" spans="1:13" ht="33" thickBot="1">
      <c r="A631" s="1">
        <v>21</v>
      </c>
      <c r="B631" s="36">
        <v>31</v>
      </c>
      <c r="C631" s="37" t="s">
        <v>693</v>
      </c>
      <c r="D631" s="108">
        <v>2019</v>
      </c>
      <c r="E631" s="38">
        <v>46157.796999999999</v>
      </c>
      <c r="F631" s="38">
        <v>46157.796999999999</v>
      </c>
      <c r="G631" s="39">
        <v>0</v>
      </c>
      <c r="H631" s="38">
        <f t="shared" si="38"/>
        <v>10125</v>
      </c>
      <c r="I631" s="38">
        <v>10125</v>
      </c>
      <c r="J631" s="39">
        <v>0</v>
      </c>
      <c r="K631" s="40">
        <v>1</v>
      </c>
      <c r="L631" s="40"/>
      <c r="M631" s="41"/>
    </row>
    <row r="632" spans="1:13" ht="64">
      <c r="A632" s="1">
        <v>22</v>
      </c>
      <c r="B632" s="15"/>
      <c r="C632" s="16" t="s">
        <v>694</v>
      </c>
      <c r="D632" s="16"/>
      <c r="E632" s="17">
        <f>SUM(E633:E681)</f>
        <v>269220.098</v>
      </c>
      <c r="F632" s="17">
        <f t="shared" ref="F632:L632" si="40">SUM(F633:F681)</f>
        <v>231671.96700000003</v>
      </c>
      <c r="G632" s="18">
        <f t="shared" si="40"/>
        <v>37548.131000000001</v>
      </c>
      <c r="H632" s="17">
        <f t="shared" si="38"/>
        <v>266663.571</v>
      </c>
      <c r="I632" s="17">
        <f t="shared" si="40"/>
        <v>229210.43500000003</v>
      </c>
      <c r="J632" s="18">
        <f t="shared" si="40"/>
        <v>37453.135999999999</v>
      </c>
      <c r="K632" s="20">
        <f t="shared" si="40"/>
        <v>48</v>
      </c>
      <c r="L632" s="20">
        <f t="shared" si="40"/>
        <v>10</v>
      </c>
      <c r="M632" s="21"/>
    </row>
    <row r="633" spans="1:13" ht="32">
      <c r="A633" s="1">
        <v>22</v>
      </c>
      <c r="B633" s="22">
        <v>1</v>
      </c>
      <c r="C633" s="23" t="s">
        <v>695</v>
      </c>
      <c r="D633" s="91" t="s">
        <v>696</v>
      </c>
      <c r="E633" s="24">
        <v>8875.7999999999993</v>
      </c>
      <c r="F633" s="24">
        <v>8875.7999999999993</v>
      </c>
      <c r="G633" s="25">
        <v>0</v>
      </c>
      <c r="H633" s="24">
        <f t="shared" si="38"/>
        <v>8875.7999999999993</v>
      </c>
      <c r="I633" s="24">
        <v>8875.7999999999993</v>
      </c>
      <c r="J633" s="25">
        <v>0</v>
      </c>
      <c r="K633" s="26">
        <v>1</v>
      </c>
      <c r="L633" s="26"/>
      <c r="M633" s="27"/>
    </row>
    <row r="634" spans="1:13" ht="32">
      <c r="A634" s="1">
        <v>22</v>
      </c>
      <c r="B634" s="22">
        <v>2</v>
      </c>
      <c r="C634" s="23" t="s">
        <v>697</v>
      </c>
      <c r="D634" s="91" t="s">
        <v>16</v>
      </c>
      <c r="E634" s="24">
        <v>4000</v>
      </c>
      <c r="F634" s="24">
        <v>4000</v>
      </c>
      <c r="G634" s="25">
        <v>0</v>
      </c>
      <c r="H634" s="24">
        <f t="shared" si="38"/>
        <v>3981.0120000000002</v>
      </c>
      <c r="I634" s="24">
        <v>3981.0120000000002</v>
      </c>
      <c r="J634" s="25">
        <v>0</v>
      </c>
      <c r="K634" s="26">
        <v>1</v>
      </c>
      <c r="L634" s="26"/>
      <c r="M634" s="27"/>
    </row>
    <row r="635" spans="1:13" ht="32">
      <c r="A635" s="1">
        <v>22</v>
      </c>
      <c r="B635" s="22">
        <v>3</v>
      </c>
      <c r="C635" s="23" t="s">
        <v>698</v>
      </c>
      <c r="D635" s="91" t="s">
        <v>21</v>
      </c>
      <c r="E635" s="24">
        <v>900</v>
      </c>
      <c r="F635" s="24">
        <v>900</v>
      </c>
      <c r="G635" s="25">
        <v>0</v>
      </c>
      <c r="H635" s="24">
        <f t="shared" si="38"/>
        <v>900</v>
      </c>
      <c r="I635" s="24">
        <v>900</v>
      </c>
      <c r="J635" s="25">
        <v>0</v>
      </c>
      <c r="K635" s="26">
        <v>1</v>
      </c>
      <c r="L635" s="26">
        <v>1</v>
      </c>
      <c r="M635" s="27"/>
    </row>
    <row r="636" spans="1:13" ht="32">
      <c r="A636" s="1">
        <v>22</v>
      </c>
      <c r="B636" s="22">
        <v>4</v>
      </c>
      <c r="C636" s="23" t="s">
        <v>699</v>
      </c>
      <c r="D636" s="91" t="s">
        <v>21</v>
      </c>
      <c r="E636" s="24">
        <v>5222.7</v>
      </c>
      <c r="F636" s="24">
        <v>5222.7</v>
      </c>
      <c r="G636" s="25">
        <v>0</v>
      </c>
      <c r="H636" s="24">
        <f t="shared" si="38"/>
        <v>3947.4180000000001</v>
      </c>
      <c r="I636" s="24">
        <v>3947.4180000000001</v>
      </c>
      <c r="J636" s="25">
        <v>0</v>
      </c>
      <c r="K636" s="26">
        <v>1</v>
      </c>
      <c r="L636" s="26"/>
      <c r="M636" s="27"/>
    </row>
    <row r="637" spans="1:13" ht="96">
      <c r="A637" s="1">
        <v>22</v>
      </c>
      <c r="B637" s="22">
        <v>5</v>
      </c>
      <c r="C637" s="23" t="s">
        <v>700</v>
      </c>
      <c r="D637" s="91" t="s">
        <v>151</v>
      </c>
      <c r="E637" s="24">
        <v>2000</v>
      </c>
      <c r="F637" s="24">
        <v>2000</v>
      </c>
      <c r="G637" s="25">
        <v>0</v>
      </c>
      <c r="H637" s="24">
        <f t="shared" si="38"/>
        <v>2000</v>
      </c>
      <c r="I637" s="24">
        <v>2000</v>
      </c>
      <c r="J637" s="25">
        <v>0</v>
      </c>
      <c r="K637" s="26">
        <v>1</v>
      </c>
      <c r="L637" s="26"/>
      <c r="M637" s="27"/>
    </row>
    <row r="638" spans="1:13" ht="48">
      <c r="A638" s="1">
        <v>22</v>
      </c>
      <c r="B638" s="22">
        <v>6</v>
      </c>
      <c r="C638" s="23" t="s">
        <v>701</v>
      </c>
      <c r="D638" s="91" t="s">
        <v>19</v>
      </c>
      <c r="E638" s="24">
        <v>2093.498</v>
      </c>
      <c r="F638" s="24">
        <v>1000</v>
      </c>
      <c r="G638" s="25">
        <v>1093.498</v>
      </c>
      <c r="H638" s="24">
        <f t="shared" si="38"/>
        <v>2093.498</v>
      </c>
      <c r="I638" s="24">
        <v>1000</v>
      </c>
      <c r="J638" s="25">
        <v>1093.498</v>
      </c>
      <c r="K638" s="26">
        <v>1</v>
      </c>
      <c r="L638" s="26">
        <v>1</v>
      </c>
      <c r="M638" s="27"/>
    </row>
    <row r="639" spans="1:13" ht="48">
      <c r="A639" s="1">
        <v>22</v>
      </c>
      <c r="B639" s="22">
        <v>7</v>
      </c>
      <c r="C639" s="23" t="s">
        <v>702</v>
      </c>
      <c r="D639" s="91" t="s">
        <v>81</v>
      </c>
      <c r="E639" s="24">
        <v>12000</v>
      </c>
      <c r="F639" s="24">
        <v>7000</v>
      </c>
      <c r="G639" s="25">
        <v>5000</v>
      </c>
      <c r="H639" s="24">
        <f t="shared" si="38"/>
        <v>11993.005000000001</v>
      </c>
      <c r="I639" s="24">
        <v>6993.0050000000001</v>
      </c>
      <c r="J639" s="25">
        <v>5000</v>
      </c>
      <c r="K639" s="26">
        <v>1</v>
      </c>
      <c r="L639" s="26"/>
      <c r="M639" s="27"/>
    </row>
    <row r="640" spans="1:13" ht="48">
      <c r="A640" s="1">
        <v>22</v>
      </c>
      <c r="B640" s="22">
        <v>8</v>
      </c>
      <c r="C640" s="23" t="s">
        <v>703</v>
      </c>
      <c r="D640" s="91" t="s">
        <v>21</v>
      </c>
      <c r="E640" s="24">
        <v>4550</v>
      </c>
      <c r="F640" s="24">
        <v>4550</v>
      </c>
      <c r="G640" s="25">
        <v>0</v>
      </c>
      <c r="H640" s="24">
        <f t="shared" si="38"/>
        <v>4550</v>
      </c>
      <c r="I640" s="24">
        <v>4550</v>
      </c>
      <c r="J640" s="25">
        <v>0</v>
      </c>
      <c r="K640" s="26">
        <v>1</v>
      </c>
      <c r="L640" s="26">
        <v>1</v>
      </c>
      <c r="M640" s="27"/>
    </row>
    <row r="641" spans="1:13" ht="32">
      <c r="A641" s="1">
        <v>22</v>
      </c>
      <c r="B641" s="22">
        <v>9</v>
      </c>
      <c r="C641" s="23" t="s">
        <v>704</v>
      </c>
      <c r="D641" s="91"/>
      <c r="E641" s="24">
        <v>159.30000000000001</v>
      </c>
      <c r="F641" s="24">
        <v>159.30000000000001</v>
      </c>
      <c r="G641" s="25">
        <v>0</v>
      </c>
      <c r="H641" s="24">
        <f t="shared" si="38"/>
        <v>159.30000000000001</v>
      </c>
      <c r="I641" s="24">
        <v>159.30000000000001</v>
      </c>
      <c r="J641" s="25">
        <v>0</v>
      </c>
      <c r="K641" s="26">
        <v>1</v>
      </c>
      <c r="L641" s="26"/>
      <c r="M641" s="27"/>
    </row>
    <row r="642" spans="1:13" ht="48">
      <c r="A642" s="1">
        <v>22</v>
      </c>
      <c r="B642" s="22">
        <v>10</v>
      </c>
      <c r="C642" s="23" t="s">
        <v>705</v>
      </c>
      <c r="D642" s="91" t="s">
        <v>34</v>
      </c>
      <c r="E642" s="24">
        <v>3741</v>
      </c>
      <c r="F642" s="24">
        <v>3741</v>
      </c>
      <c r="G642" s="25">
        <v>0</v>
      </c>
      <c r="H642" s="24">
        <f t="shared" si="38"/>
        <v>3729.002</v>
      </c>
      <c r="I642" s="24">
        <v>3729.002</v>
      </c>
      <c r="J642" s="25">
        <v>0</v>
      </c>
      <c r="K642" s="26">
        <v>1</v>
      </c>
      <c r="L642" s="26">
        <v>1</v>
      </c>
      <c r="M642" s="27"/>
    </row>
    <row r="643" spans="1:13" ht="32">
      <c r="A643" s="1">
        <v>22</v>
      </c>
      <c r="B643" s="22">
        <v>11</v>
      </c>
      <c r="C643" s="23" t="s">
        <v>706</v>
      </c>
      <c r="D643" s="91" t="s">
        <v>591</v>
      </c>
      <c r="E643" s="24">
        <v>9000</v>
      </c>
      <c r="F643" s="24">
        <v>9000</v>
      </c>
      <c r="G643" s="25">
        <v>0</v>
      </c>
      <c r="H643" s="24">
        <f t="shared" si="38"/>
        <v>9000</v>
      </c>
      <c r="I643" s="24">
        <v>9000</v>
      </c>
      <c r="J643" s="25">
        <v>0</v>
      </c>
      <c r="K643" s="26">
        <v>1</v>
      </c>
      <c r="L643" s="26"/>
      <c r="M643" s="27"/>
    </row>
    <row r="644" spans="1:13" ht="64">
      <c r="A644" s="1">
        <v>22</v>
      </c>
      <c r="B644" s="22">
        <v>12</v>
      </c>
      <c r="C644" s="23" t="s">
        <v>707</v>
      </c>
      <c r="D644" s="91" t="s">
        <v>81</v>
      </c>
      <c r="E644" s="24">
        <v>11000</v>
      </c>
      <c r="F644" s="24">
        <v>11000</v>
      </c>
      <c r="G644" s="25">
        <v>0</v>
      </c>
      <c r="H644" s="24">
        <f t="shared" si="38"/>
        <v>10977.339</v>
      </c>
      <c r="I644" s="24">
        <v>10977.339</v>
      </c>
      <c r="J644" s="25">
        <v>0</v>
      </c>
      <c r="K644" s="26">
        <v>1</v>
      </c>
      <c r="L644" s="26">
        <v>1</v>
      </c>
      <c r="M644" s="27"/>
    </row>
    <row r="645" spans="1:13" ht="80">
      <c r="A645" s="1">
        <v>22</v>
      </c>
      <c r="B645" s="22">
        <v>13</v>
      </c>
      <c r="C645" s="23" t="s">
        <v>708</v>
      </c>
      <c r="D645" s="91" t="s">
        <v>16</v>
      </c>
      <c r="E645" s="24">
        <v>10550</v>
      </c>
      <c r="F645" s="24">
        <v>10550</v>
      </c>
      <c r="G645" s="25">
        <v>0</v>
      </c>
      <c r="H645" s="24">
        <f t="shared" si="38"/>
        <v>10542.163</v>
      </c>
      <c r="I645" s="24">
        <v>10542.163</v>
      </c>
      <c r="J645" s="25">
        <v>0</v>
      </c>
      <c r="K645" s="26">
        <v>1</v>
      </c>
      <c r="L645" s="26"/>
      <c r="M645" s="27"/>
    </row>
    <row r="646" spans="1:13" ht="64">
      <c r="A646" s="1">
        <v>22</v>
      </c>
      <c r="B646" s="22">
        <v>14</v>
      </c>
      <c r="C646" s="23" t="s">
        <v>709</v>
      </c>
      <c r="D646" s="91" t="s">
        <v>16</v>
      </c>
      <c r="E646" s="24">
        <v>3000</v>
      </c>
      <c r="F646" s="24">
        <v>3000</v>
      </c>
      <c r="G646" s="25">
        <v>0</v>
      </c>
      <c r="H646" s="24">
        <f t="shared" si="38"/>
        <v>2996.28</v>
      </c>
      <c r="I646" s="24">
        <v>2996.28</v>
      </c>
      <c r="J646" s="25">
        <v>0</v>
      </c>
      <c r="K646" s="26">
        <v>1</v>
      </c>
      <c r="L646" s="26"/>
      <c r="M646" s="27"/>
    </row>
    <row r="647" spans="1:13" ht="32">
      <c r="A647" s="1">
        <v>22</v>
      </c>
      <c r="B647" s="22">
        <v>15</v>
      </c>
      <c r="C647" s="23" t="s">
        <v>710</v>
      </c>
      <c r="D647" s="91" t="s">
        <v>711</v>
      </c>
      <c r="E647" s="24">
        <v>5000</v>
      </c>
      <c r="F647" s="24">
        <v>5000</v>
      </c>
      <c r="G647" s="25">
        <v>0</v>
      </c>
      <c r="H647" s="24">
        <f t="shared" si="38"/>
        <v>4965</v>
      </c>
      <c r="I647" s="24">
        <v>4965</v>
      </c>
      <c r="J647" s="25">
        <v>0</v>
      </c>
      <c r="K647" s="26">
        <v>1</v>
      </c>
      <c r="L647" s="26"/>
      <c r="M647" s="27"/>
    </row>
    <row r="648" spans="1:13" ht="32">
      <c r="A648" s="1">
        <v>22</v>
      </c>
      <c r="B648" s="22">
        <v>16</v>
      </c>
      <c r="C648" s="23" t="s">
        <v>712</v>
      </c>
      <c r="D648" s="91" t="s">
        <v>16</v>
      </c>
      <c r="E648" s="24">
        <v>2640</v>
      </c>
      <c r="F648" s="24">
        <v>2640</v>
      </c>
      <c r="G648" s="25">
        <v>0</v>
      </c>
      <c r="H648" s="24">
        <f t="shared" si="38"/>
        <v>2601.14</v>
      </c>
      <c r="I648" s="24">
        <v>2601.14</v>
      </c>
      <c r="J648" s="25">
        <v>0</v>
      </c>
      <c r="K648" s="26">
        <v>1</v>
      </c>
      <c r="L648" s="26"/>
      <c r="M648" s="27"/>
    </row>
    <row r="649" spans="1:13" ht="48">
      <c r="A649" s="1">
        <v>22</v>
      </c>
      <c r="B649" s="22">
        <v>17</v>
      </c>
      <c r="C649" s="23" t="s">
        <v>713</v>
      </c>
      <c r="D649" s="91" t="s">
        <v>19</v>
      </c>
      <c r="E649" s="24">
        <f>800-227.443</f>
        <v>572.55700000000002</v>
      </c>
      <c r="F649" s="24">
        <f>800-227.443</f>
        <v>572.55700000000002</v>
      </c>
      <c r="G649" s="25">
        <f>0-0</f>
        <v>0</v>
      </c>
      <c r="H649" s="24">
        <f t="shared" si="38"/>
        <v>572.55600000000004</v>
      </c>
      <c r="I649" s="24">
        <v>572.55600000000004</v>
      </c>
      <c r="J649" s="25">
        <v>0</v>
      </c>
      <c r="K649" s="26">
        <v>1</v>
      </c>
      <c r="L649" s="26">
        <v>1</v>
      </c>
      <c r="M649" s="27" t="s">
        <v>48</v>
      </c>
    </row>
    <row r="650" spans="1:13" ht="32">
      <c r="A650" s="1">
        <v>22</v>
      </c>
      <c r="B650" s="22">
        <v>18</v>
      </c>
      <c r="C650" s="23" t="s">
        <v>714</v>
      </c>
      <c r="D650" s="91" t="s">
        <v>19</v>
      </c>
      <c r="E650" s="24">
        <v>1068.3</v>
      </c>
      <c r="F650" s="24">
        <v>1068.3</v>
      </c>
      <c r="G650" s="25">
        <v>0</v>
      </c>
      <c r="H650" s="24">
        <f t="shared" ref="H650:H713" si="41">I650+J650</f>
        <v>1068.3</v>
      </c>
      <c r="I650" s="24">
        <v>1068.3</v>
      </c>
      <c r="J650" s="25">
        <v>0</v>
      </c>
      <c r="K650" s="26">
        <v>1</v>
      </c>
      <c r="L650" s="26"/>
      <c r="M650" s="27"/>
    </row>
    <row r="651" spans="1:13" ht="32">
      <c r="A651" s="1">
        <v>22</v>
      </c>
      <c r="B651" s="22">
        <v>19</v>
      </c>
      <c r="C651" s="23" t="s">
        <v>715</v>
      </c>
      <c r="D651" s="91" t="s">
        <v>716</v>
      </c>
      <c r="E651" s="24">
        <v>3000</v>
      </c>
      <c r="F651" s="24">
        <v>3000</v>
      </c>
      <c r="G651" s="25">
        <v>0</v>
      </c>
      <c r="H651" s="24">
        <f t="shared" si="41"/>
        <v>3000</v>
      </c>
      <c r="I651" s="24">
        <v>3000</v>
      </c>
      <c r="J651" s="25">
        <v>0</v>
      </c>
      <c r="K651" s="26">
        <v>1</v>
      </c>
      <c r="L651" s="26"/>
      <c r="M651" s="27"/>
    </row>
    <row r="652" spans="1:13" ht="80">
      <c r="A652" s="1">
        <v>22</v>
      </c>
      <c r="B652" s="22">
        <v>20</v>
      </c>
      <c r="C652" s="23" t="s">
        <v>717</v>
      </c>
      <c r="D652" s="91" t="s">
        <v>16</v>
      </c>
      <c r="E652" s="24">
        <v>8000</v>
      </c>
      <c r="F652" s="24">
        <v>8000</v>
      </c>
      <c r="G652" s="25">
        <v>0</v>
      </c>
      <c r="H652" s="24">
        <f t="shared" si="41"/>
        <v>8000</v>
      </c>
      <c r="I652" s="24">
        <v>8000</v>
      </c>
      <c r="J652" s="25">
        <v>0</v>
      </c>
      <c r="K652" s="26">
        <v>1</v>
      </c>
      <c r="L652" s="26"/>
      <c r="M652" s="27"/>
    </row>
    <row r="653" spans="1:13" ht="80">
      <c r="A653" s="1">
        <v>22</v>
      </c>
      <c r="B653" s="22">
        <v>21</v>
      </c>
      <c r="C653" s="23" t="s">
        <v>718</v>
      </c>
      <c r="D653" s="91" t="s">
        <v>21</v>
      </c>
      <c r="E653" s="24">
        <v>5000</v>
      </c>
      <c r="F653" s="24">
        <v>5000</v>
      </c>
      <c r="G653" s="25">
        <v>0</v>
      </c>
      <c r="H653" s="24">
        <f t="shared" si="41"/>
        <v>5000</v>
      </c>
      <c r="I653" s="24">
        <v>5000</v>
      </c>
      <c r="J653" s="25">
        <v>0</v>
      </c>
      <c r="K653" s="26">
        <v>1</v>
      </c>
      <c r="L653" s="26">
        <v>1</v>
      </c>
      <c r="M653" s="27"/>
    </row>
    <row r="654" spans="1:13" ht="32">
      <c r="A654" s="1">
        <v>22</v>
      </c>
      <c r="B654" s="22">
        <v>22</v>
      </c>
      <c r="C654" s="23" t="s">
        <v>719</v>
      </c>
      <c r="D654" s="91" t="s">
        <v>720</v>
      </c>
      <c r="E654" s="24">
        <v>12378</v>
      </c>
      <c r="F654" s="24">
        <v>12378</v>
      </c>
      <c r="G654" s="25">
        <v>0</v>
      </c>
      <c r="H654" s="24">
        <f t="shared" si="41"/>
        <v>12377.174999999999</v>
      </c>
      <c r="I654" s="24">
        <v>12377.174999999999</v>
      </c>
      <c r="J654" s="25">
        <v>0</v>
      </c>
      <c r="K654" s="26">
        <v>1</v>
      </c>
      <c r="L654" s="26"/>
      <c r="M654" s="27"/>
    </row>
    <row r="655" spans="1:13" ht="64">
      <c r="A655" s="1">
        <v>22</v>
      </c>
      <c r="B655" s="22">
        <v>23</v>
      </c>
      <c r="C655" s="23" t="s">
        <v>721</v>
      </c>
      <c r="D655" s="91" t="s">
        <v>19</v>
      </c>
      <c r="E655" s="24">
        <v>9331</v>
      </c>
      <c r="F655" s="24">
        <v>4331</v>
      </c>
      <c r="G655" s="25">
        <v>5000</v>
      </c>
      <c r="H655" s="24">
        <f t="shared" si="41"/>
        <v>9265.1059999999998</v>
      </c>
      <c r="I655" s="24">
        <v>4331</v>
      </c>
      <c r="J655" s="25">
        <v>4934.1059999999998</v>
      </c>
      <c r="K655" s="26">
        <v>1</v>
      </c>
      <c r="L655" s="26">
        <v>1</v>
      </c>
      <c r="M655" s="27"/>
    </row>
    <row r="656" spans="1:13" ht="64">
      <c r="A656" s="1">
        <v>22</v>
      </c>
      <c r="B656" s="22">
        <v>24</v>
      </c>
      <c r="C656" s="23" t="s">
        <v>722</v>
      </c>
      <c r="D656" s="91" t="s">
        <v>21</v>
      </c>
      <c r="E656" s="24">
        <v>4246</v>
      </c>
      <c r="F656" s="24">
        <v>4246</v>
      </c>
      <c r="G656" s="25">
        <v>0</v>
      </c>
      <c r="H656" s="24">
        <f t="shared" si="41"/>
        <v>4246</v>
      </c>
      <c r="I656" s="24">
        <v>4246</v>
      </c>
      <c r="J656" s="25">
        <v>0</v>
      </c>
      <c r="K656" s="26">
        <v>1</v>
      </c>
      <c r="L656" s="26">
        <v>1</v>
      </c>
      <c r="M656" s="27"/>
    </row>
    <row r="657" spans="1:13" ht="48">
      <c r="A657" s="1">
        <v>22</v>
      </c>
      <c r="B657" s="22">
        <v>25</v>
      </c>
      <c r="C657" s="23" t="s">
        <v>723</v>
      </c>
      <c r="D657" s="91" t="s">
        <v>148</v>
      </c>
      <c r="E657" s="24">
        <v>8000</v>
      </c>
      <c r="F657" s="24">
        <v>5000</v>
      </c>
      <c r="G657" s="25">
        <v>3000</v>
      </c>
      <c r="H657" s="24">
        <f t="shared" si="41"/>
        <v>8000</v>
      </c>
      <c r="I657" s="24">
        <v>5000</v>
      </c>
      <c r="J657" s="25">
        <v>3000</v>
      </c>
      <c r="K657" s="26">
        <v>1</v>
      </c>
      <c r="L657" s="26"/>
      <c r="M657" s="27"/>
    </row>
    <row r="658" spans="1:13" ht="48">
      <c r="A658" s="1">
        <v>22</v>
      </c>
      <c r="B658" s="22">
        <v>26</v>
      </c>
      <c r="C658" s="23" t="s">
        <v>724</v>
      </c>
      <c r="D658" s="91" t="s">
        <v>16</v>
      </c>
      <c r="E658" s="24">
        <v>6383.8190000000004</v>
      </c>
      <c r="F658" s="24">
        <v>6383.8190000000004</v>
      </c>
      <c r="G658" s="25">
        <v>0</v>
      </c>
      <c r="H658" s="24">
        <f t="shared" si="41"/>
        <v>6382.5640000000003</v>
      </c>
      <c r="I658" s="24">
        <v>6382.5640000000003</v>
      </c>
      <c r="J658" s="25">
        <v>0</v>
      </c>
      <c r="K658" s="26">
        <v>1</v>
      </c>
      <c r="L658" s="26"/>
      <c r="M658" s="27"/>
    </row>
    <row r="659" spans="1:13" ht="48">
      <c r="A659" s="1">
        <v>22</v>
      </c>
      <c r="B659" s="22">
        <v>27</v>
      </c>
      <c r="C659" s="23" t="s">
        <v>725</v>
      </c>
      <c r="D659" s="91" t="s">
        <v>19</v>
      </c>
      <c r="E659" s="24">
        <f>1872+6500</f>
        <v>8372</v>
      </c>
      <c r="F659" s="24">
        <f>1872+4500</f>
        <v>6372</v>
      </c>
      <c r="G659" s="25">
        <f>0+2000</f>
        <v>2000</v>
      </c>
      <c r="H659" s="24">
        <f t="shared" si="41"/>
        <v>7753.0450000000001</v>
      </c>
      <c r="I659" s="24">
        <v>5753.0450000000001</v>
      </c>
      <c r="J659" s="25">
        <v>2000</v>
      </c>
      <c r="K659" s="26">
        <v>1</v>
      </c>
      <c r="L659" s="26"/>
      <c r="M659" s="27" t="s">
        <v>23</v>
      </c>
    </row>
    <row r="660" spans="1:13" ht="64">
      <c r="A660" s="1">
        <v>22</v>
      </c>
      <c r="B660" s="22">
        <v>28</v>
      </c>
      <c r="C660" s="23" t="s">
        <v>726</v>
      </c>
      <c r="D660" s="91" t="s">
        <v>61</v>
      </c>
      <c r="E660" s="24">
        <f>20000+12477.443</f>
        <v>32477.442999999999</v>
      </c>
      <c r="F660" s="24">
        <f>20000+4873.814</f>
        <v>24873.813999999998</v>
      </c>
      <c r="G660" s="25">
        <f>0+7603.629</f>
        <v>7603.6289999999999</v>
      </c>
      <c r="H660" s="24">
        <f t="shared" si="41"/>
        <v>32448.341999999997</v>
      </c>
      <c r="I660" s="24">
        <v>24873.813999999998</v>
      </c>
      <c r="J660" s="25">
        <v>7574.5280000000002</v>
      </c>
      <c r="K660" s="26">
        <v>1</v>
      </c>
      <c r="L660" s="26"/>
      <c r="M660" s="27" t="s">
        <v>23</v>
      </c>
    </row>
    <row r="661" spans="1:13" ht="32">
      <c r="A661" s="1">
        <v>22</v>
      </c>
      <c r="B661" s="22">
        <v>29</v>
      </c>
      <c r="C661" s="23" t="s">
        <v>727</v>
      </c>
      <c r="D661" s="91" t="s">
        <v>16</v>
      </c>
      <c r="E661" s="24">
        <v>7300</v>
      </c>
      <c r="F661" s="24">
        <v>0</v>
      </c>
      <c r="G661" s="25">
        <v>7300</v>
      </c>
      <c r="H661" s="24">
        <f t="shared" si="41"/>
        <v>7300</v>
      </c>
      <c r="I661" s="24">
        <v>0</v>
      </c>
      <c r="J661" s="25">
        <v>7300</v>
      </c>
      <c r="K661" s="26">
        <v>1</v>
      </c>
      <c r="L661" s="26"/>
      <c r="M661" s="27"/>
    </row>
    <row r="662" spans="1:13" ht="32">
      <c r="A662" s="1">
        <v>22</v>
      </c>
      <c r="B662" s="22">
        <v>30</v>
      </c>
      <c r="C662" s="23" t="s">
        <v>728</v>
      </c>
      <c r="D662" s="91" t="s">
        <v>21</v>
      </c>
      <c r="E662" s="24">
        <v>9000</v>
      </c>
      <c r="F662" s="24">
        <v>9000</v>
      </c>
      <c r="G662" s="25">
        <v>0</v>
      </c>
      <c r="H662" s="24">
        <f t="shared" si="41"/>
        <v>9000</v>
      </c>
      <c r="I662" s="24">
        <v>9000</v>
      </c>
      <c r="J662" s="25">
        <v>0</v>
      </c>
      <c r="K662" s="26">
        <v>1</v>
      </c>
      <c r="L662" s="26"/>
      <c r="M662" s="27"/>
    </row>
    <row r="663" spans="1:13" ht="16">
      <c r="A663" s="1">
        <v>22</v>
      </c>
      <c r="B663" s="30">
        <v>31</v>
      </c>
      <c r="C663" s="31" t="s">
        <v>729</v>
      </c>
      <c r="D663" s="92"/>
      <c r="E663" s="32">
        <f>1000-1000</f>
        <v>0</v>
      </c>
      <c r="F663" s="32">
        <f>1000-1000</f>
        <v>0</v>
      </c>
      <c r="G663" s="33">
        <f>0-0</f>
        <v>0</v>
      </c>
      <c r="H663" s="32">
        <f t="shared" si="41"/>
        <v>0</v>
      </c>
      <c r="I663" s="32"/>
      <c r="J663" s="33"/>
      <c r="K663" s="34">
        <f>1-1</f>
        <v>0</v>
      </c>
      <c r="L663" s="34"/>
      <c r="M663" s="35" t="s">
        <v>28</v>
      </c>
    </row>
    <row r="664" spans="1:13" ht="32">
      <c r="A664" s="1">
        <v>22</v>
      </c>
      <c r="B664" s="22">
        <v>32</v>
      </c>
      <c r="C664" s="23" t="s">
        <v>730</v>
      </c>
      <c r="D664" s="91" t="s">
        <v>34</v>
      </c>
      <c r="E664" s="24">
        <v>3000</v>
      </c>
      <c r="F664" s="24">
        <v>3000</v>
      </c>
      <c r="G664" s="25">
        <v>0</v>
      </c>
      <c r="H664" s="24">
        <f t="shared" si="41"/>
        <v>3000</v>
      </c>
      <c r="I664" s="24">
        <v>3000</v>
      </c>
      <c r="J664" s="25">
        <v>0</v>
      </c>
      <c r="K664" s="26">
        <v>1</v>
      </c>
      <c r="L664" s="26"/>
      <c r="M664" s="27"/>
    </row>
    <row r="665" spans="1:13" ht="48">
      <c r="A665" s="1">
        <v>22</v>
      </c>
      <c r="B665" s="22">
        <v>33</v>
      </c>
      <c r="C665" s="23" t="s">
        <v>731</v>
      </c>
      <c r="D665" s="91" t="s">
        <v>32</v>
      </c>
      <c r="E665" s="24">
        <v>3000</v>
      </c>
      <c r="F665" s="24">
        <v>2000</v>
      </c>
      <c r="G665" s="25">
        <v>1000</v>
      </c>
      <c r="H665" s="24">
        <f t="shared" si="41"/>
        <v>3000</v>
      </c>
      <c r="I665" s="24">
        <v>2000</v>
      </c>
      <c r="J665" s="25">
        <v>1000</v>
      </c>
      <c r="K665" s="26">
        <v>1</v>
      </c>
      <c r="L665" s="26"/>
      <c r="M665" s="27"/>
    </row>
    <row r="666" spans="1:13" ht="48">
      <c r="A666" s="1">
        <v>22</v>
      </c>
      <c r="B666" s="22">
        <v>34</v>
      </c>
      <c r="C666" s="23" t="s">
        <v>732</v>
      </c>
      <c r="D666" s="91" t="s">
        <v>16</v>
      </c>
      <c r="E666" s="24">
        <f>9000+5000</f>
        <v>14000</v>
      </c>
      <c r="F666" s="24">
        <f>6000+5000</f>
        <v>11000</v>
      </c>
      <c r="G666" s="25">
        <v>3000</v>
      </c>
      <c r="H666" s="24">
        <f t="shared" si="41"/>
        <v>13984.922</v>
      </c>
      <c r="I666" s="24">
        <v>10984.922</v>
      </c>
      <c r="J666" s="25">
        <v>3000</v>
      </c>
      <c r="K666" s="26">
        <v>1</v>
      </c>
      <c r="L666" s="26"/>
      <c r="M666" s="27" t="s">
        <v>23</v>
      </c>
    </row>
    <row r="667" spans="1:13" ht="64">
      <c r="A667" s="1">
        <v>22</v>
      </c>
      <c r="B667" s="22">
        <v>35</v>
      </c>
      <c r="C667" s="23" t="s">
        <v>733</v>
      </c>
      <c r="D667" s="91" t="s">
        <v>32</v>
      </c>
      <c r="E667" s="24">
        <v>3000</v>
      </c>
      <c r="F667" s="24">
        <v>3000</v>
      </c>
      <c r="G667" s="25">
        <v>0</v>
      </c>
      <c r="H667" s="24">
        <f t="shared" si="41"/>
        <v>2999.817</v>
      </c>
      <c r="I667" s="24">
        <v>2999.817</v>
      </c>
      <c r="J667" s="25">
        <v>0</v>
      </c>
      <c r="K667" s="26">
        <v>1</v>
      </c>
      <c r="L667" s="26"/>
      <c r="M667" s="27"/>
    </row>
    <row r="668" spans="1:13" ht="48">
      <c r="A668" s="1">
        <v>22</v>
      </c>
      <c r="B668" s="22">
        <v>36</v>
      </c>
      <c r="C668" s="23" t="s">
        <v>734</v>
      </c>
      <c r="D668" s="91">
        <v>2019</v>
      </c>
      <c r="E668" s="24">
        <v>2500</v>
      </c>
      <c r="F668" s="24">
        <v>2500</v>
      </c>
      <c r="G668" s="25">
        <v>0</v>
      </c>
      <c r="H668" s="24">
        <f t="shared" si="41"/>
        <v>2500</v>
      </c>
      <c r="I668" s="24">
        <v>2500</v>
      </c>
      <c r="J668" s="25">
        <v>0</v>
      </c>
      <c r="K668" s="26">
        <v>1</v>
      </c>
      <c r="L668" s="26"/>
      <c r="M668" s="27"/>
    </row>
    <row r="669" spans="1:13" ht="48">
      <c r="A669" s="1">
        <v>22</v>
      </c>
      <c r="B669" s="22">
        <v>37</v>
      </c>
      <c r="C669" s="23" t="s">
        <v>735</v>
      </c>
      <c r="D669" s="91">
        <v>2019</v>
      </c>
      <c r="E669" s="24">
        <v>3000</v>
      </c>
      <c r="F669" s="24">
        <v>3000</v>
      </c>
      <c r="G669" s="25">
        <v>0</v>
      </c>
      <c r="H669" s="24">
        <f t="shared" si="41"/>
        <v>2999.8820000000001</v>
      </c>
      <c r="I669" s="24">
        <v>2999.8820000000001</v>
      </c>
      <c r="J669" s="25">
        <v>0</v>
      </c>
      <c r="K669" s="26">
        <v>1</v>
      </c>
      <c r="L669" s="26"/>
      <c r="M669" s="27"/>
    </row>
    <row r="670" spans="1:13" ht="32">
      <c r="A670" s="1">
        <v>22</v>
      </c>
      <c r="B670" s="22">
        <v>38</v>
      </c>
      <c r="C670" s="23" t="s">
        <v>736</v>
      </c>
      <c r="D670" s="91">
        <v>2019</v>
      </c>
      <c r="E670" s="24">
        <v>2500</v>
      </c>
      <c r="F670" s="24">
        <v>2500</v>
      </c>
      <c r="G670" s="25">
        <v>0</v>
      </c>
      <c r="H670" s="24">
        <f t="shared" si="41"/>
        <v>2500</v>
      </c>
      <c r="I670" s="24">
        <v>2500</v>
      </c>
      <c r="J670" s="25">
        <v>0</v>
      </c>
      <c r="K670" s="26">
        <v>1</v>
      </c>
      <c r="L670" s="26"/>
      <c r="M670" s="27"/>
    </row>
    <row r="671" spans="1:13" ht="64">
      <c r="A671" s="1">
        <v>22</v>
      </c>
      <c r="B671" s="22">
        <v>39</v>
      </c>
      <c r="C671" s="23" t="s">
        <v>737</v>
      </c>
      <c r="D671" s="91" t="s">
        <v>34</v>
      </c>
      <c r="E671" s="24">
        <v>2500</v>
      </c>
      <c r="F671" s="24">
        <v>2500</v>
      </c>
      <c r="G671" s="25">
        <v>0</v>
      </c>
      <c r="H671" s="24">
        <f t="shared" si="41"/>
        <v>2500</v>
      </c>
      <c r="I671" s="24">
        <v>2500</v>
      </c>
      <c r="J671" s="25">
        <v>0</v>
      </c>
      <c r="K671" s="26">
        <v>1</v>
      </c>
      <c r="L671" s="26"/>
      <c r="M671" s="27"/>
    </row>
    <row r="672" spans="1:13" ht="48">
      <c r="A672" s="1">
        <v>22</v>
      </c>
      <c r="B672" s="22">
        <v>40</v>
      </c>
      <c r="C672" s="23" t="s">
        <v>738</v>
      </c>
      <c r="D672" s="91" t="s">
        <v>19</v>
      </c>
      <c r="E672" s="24">
        <v>6883.6809999999996</v>
      </c>
      <c r="F672" s="24">
        <v>5332.6769999999997</v>
      </c>
      <c r="G672" s="25">
        <v>1551.0039999999999</v>
      </c>
      <c r="H672" s="24">
        <f t="shared" si="41"/>
        <v>6851.6629999999996</v>
      </c>
      <c r="I672" s="24">
        <v>5300.6589999999997</v>
      </c>
      <c r="J672" s="25">
        <v>1551.0039999999999</v>
      </c>
      <c r="K672" s="26">
        <v>1</v>
      </c>
      <c r="L672" s="26"/>
      <c r="M672" s="27"/>
    </row>
    <row r="673" spans="1:13" ht="48">
      <c r="A673" s="1">
        <v>22</v>
      </c>
      <c r="B673" s="22">
        <v>41</v>
      </c>
      <c r="C673" s="23" t="s">
        <v>739</v>
      </c>
      <c r="D673" s="91" t="s">
        <v>16</v>
      </c>
      <c r="E673" s="24">
        <v>2000</v>
      </c>
      <c r="F673" s="24">
        <v>2000</v>
      </c>
      <c r="G673" s="25">
        <v>0</v>
      </c>
      <c r="H673" s="24">
        <f t="shared" si="41"/>
        <v>2000</v>
      </c>
      <c r="I673" s="24">
        <v>2000</v>
      </c>
      <c r="J673" s="25">
        <v>0</v>
      </c>
      <c r="K673" s="26">
        <v>1</v>
      </c>
      <c r="L673" s="26"/>
      <c r="M673" s="27"/>
    </row>
    <row r="674" spans="1:13" ht="64">
      <c r="A674" s="1">
        <v>22</v>
      </c>
      <c r="B674" s="22">
        <v>42</v>
      </c>
      <c r="C674" s="23" t="s">
        <v>740</v>
      </c>
      <c r="D674" s="91" t="s">
        <v>32</v>
      </c>
      <c r="E674" s="24">
        <v>3000</v>
      </c>
      <c r="F674" s="24">
        <v>3000</v>
      </c>
      <c r="G674" s="25">
        <v>0</v>
      </c>
      <c r="H674" s="24">
        <f t="shared" si="41"/>
        <v>3000</v>
      </c>
      <c r="I674" s="24">
        <v>3000</v>
      </c>
      <c r="J674" s="25">
        <v>0</v>
      </c>
      <c r="K674" s="26">
        <v>1</v>
      </c>
      <c r="L674" s="26"/>
      <c r="M674" s="27"/>
    </row>
    <row r="675" spans="1:13" ht="48">
      <c r="A675" s="1">
        <v>22</v>
      </c>
      <c r="B675" s="22">
        <v>43</v>
      </c>
      <c r="C675" s="23" t="s">
        <v>741</v>
      </c>
      <c r="D675" s="91" t="s">
        <v>21</v>
      </c>
      <c r="E675" s="24">
        <v>3800</v>
      </c>
      <c r="F675" s="24">
        <v>3800</v>
      </c>
      <c r="G675" s="25">
        <v>0</v>
      </c>
      <c r="H675" s="24">
        <f t="shared" si="41"/>
        <v>3428.8820000000001</v>
      </c>
      <c r="I675" s="24">
        <v>3428.8820000000001</v>
      </c>
      <c r="J675" s="25">
        <v>0</v>
      </c>
      <c r="K675" s="26">
        <v>1</v>
      </c>
      <c r="L675" s="26"/>
      <c r="M675" s="27"/>
    </row>
    <row r="676" spans="1:13" ht="48">
      <c r="A676" s="1">
        <v>22</v>
      </c>
      <c r="B676" s="22">
        <v>44</v>
      </c>
      <c r="C676" s="23" t="s">
        <v>742</v>
      </c>
      <c r="D676" s="91">
        <v>2019</v>
      </c>
      <c r="E676" s="24">
        <v>2675</v>
      </c>
      <c r="F676" s="24">
        <v>2675</v>
      </c>
      <c r="G676" s="25">
        <v>0</v>
      </c>
      <c r="H676" s="24">
        <f t="shared" si="41"/>
        <v>2675</v>
      </c>
      <c r="I676" s="24">
        <v>2675</v>
      </c>
      <c r="J676" s="25">
        <v>0</v>
      </c>
      <c r="K676" s="26">
        <v>1</v>
      </c>
      <c r="L676" s="26">
        <v>1</v>
      </c>
      <c r="M676" s="27"/>
    </row>
    <row r="677" spans="1:13" ht="64">
      <c r="A677" s="1">
        <v>22</v>
      </c>
      <c r="B677" s="22">
        <v>45</v>
      </c>
      <c r="C677" s="23" t="s">
        <v>743</v>
      </c>
      <c r="D677" s="91" t="s">
        <v>34</v>
      </c>
      <c r="E677" s="24">
        <v>3000</v>
      </c>
      <c r="F677" s="24">
        <v>2000</v>
      </c>
      <c r="G677" s="25">
        <v>1000</v>
      </c>
      <c r="H677" s="24">
        <f t="shared" si="41"/>
        <v>3000</v>
      </c>
      <c r="I677" s="24">
        <v>2000</v>
      </c>
      <c r="J677" s="25">
        <v>1000</v>
      </c>
      <c r="K677" s="26">
        <v>1</v>
      </c>
      <c r="L677" s="26"/>
      <c r="M677" s="27"/>
    </row>
    <row r="678" spans="1:13" ht="64">
      <c r="A678" s="1">
        <v>22</v>
      </c>
      <c r="B678" s="22">
        <v>46</v>
      </c>
      <c r="C678" s="23" t="s">
        <v>744</v>
      </c>
      <c r="D678" s="91" t="s">
        <v>32</v>
      </c>
      <c r="E678" s="24">
        <v>2500</v>
      </c>
      <c r="F678" s="24">
        <v>2500</v>
      </c>
      <c r="G678" s="25">
        <v>0</v>
      </c>
      <c r="H678" s="24">
        <f t="shared" si="41"/>
        <v>2500</v>
      </c>
      <c r="I678" s="24">
        <v>2500</v>
      </c>
      <c r="J678" s="25">
        <v>0</v>
      </c>
      <c r="K678" s="26">
        <v>1</v>
      </c>
      <c r="L678" s="26"/>
      <c r="M678" s="27"/>
    </row>
    <row r="679" spans="1:13" ht="48">
      <c r="A679" s="1">
        <v>22</v>
      </c>
      <c r="B679" s="22">
        <v>47</v>
      </c>
      <c r="C679" s="23" t="s">
        <v>745</v>
      </c>
      <c r="D679" s="91">
        <v>2019</v>
      </c>
      <c r="E679" s="24">
        <v>2000</v>
      </c>
      <c r="F679" s="24">
        <v>2000</v>
      </c>
      <c r="G679" s="25">
        <v>0</v>
      </c>
      <c r="H679" s="24">
        <f t="shared" si="41"/>
        <v>2000</v>
      </c>
      <c r="I679" s="24">
        <v>2000</v>
      </c>
      <c r="J679" s="25">
        <v>0</v>
      </c>
      <c r="K679" s="26">
        <v>1</v>
      </c>
      <c r="L679" s="26"/>
      <c r="M679" s="27"/>
    </row>
    <row r="680" spans="1:13" ht="48">
      <c r="A680" s="1">
        <v>22</v>
      </c>
      <c r="B680" s="22">
        <v>48</v>
      </c>
      <c r="C680" s="23" t="s">
        <v>746</v>
      </c>
      <c r="D680" s="91" t="s">
        <v>19</v>
      </c>
      <c r="E680" s="24">
        <v>2000</v>
      </c>
      <c r="F680" s="24">
        <v>2000</v>
      </c>
      <c r="G680" s="25">
        <v>0</v>
      </c>
      <c r="H680" s="24">
        <f t="shared" si="41"/>
        <v>2000</v>
      </c>
      <c r="I680" s="24">
        <v>2000</v>
      </c>
      <c r="J680" s="25">
        <v>0</v>
      </c>
      <c r="K680" s="26">
        <v>1</v>
      </c>
      <c r="L680" s="26"/>
      <c r="M680" s="27"/>
    </row>
    <row r="681" spans="1:13" ht="49" thickBot="1">
      <c r="A681" s="1">
        <v>22</v>
      </c>
      <c r="B681" s="36">
        <v>49</v>
      </c>
      <c r="C681" s="37" t="s">
        <v>747</v>
      </c>
      <c r="D681" s="93" t="s">
        <v>34</v>
      </c>
      <c r="E681" s="38">
        <f>4000+4000</f>
        <v>8000</v>
      </c>
      <c r="F681" s="38">
        <f>4000+4000</f>
        <v>8000</v>
      </c>
      <c r="G681" s="39">
        <f>0+0</f>
        <v>0</v>
      </c>
      <c r="H681" s="38">
        <f t="shared" si="41"/>
        <v>7999.36</v>
      </c>
      <c r="I681" s="38">
        <v>7999.36</v>
      </c>
      <c r="J681" s="39">
        <v>0</v>
      </c>
      <c r="K681" s="40">
        <v>1</v>
      </c>
      <c r="L681" s="40"/>
      <c r="M681" s="41" t="s">
        <v>23</v>
      </c>
    </row>
    <row r="682" spans="1:13" ht="64">
      <c r="A682" s="1">
        <v>23</v>
      </c>
      <c r="B682" s="15"/>
      <c r="C682" s="16" t="s">
        <v>748</v>
      </c>
      <c r="D682" s="16"/>
      <c r="E682" s="17">
        <f>SUM(E683:E695,E711:E713)</f>
        <v>164310.5</v>
      </c>
      <c r="F682" s="17">
        <f t="shared" ref="F682:J682" si="42">SUM(F683:F695,F711:F713)</f>
        <v>141394.11200000002</v>
      </c>
      <c r="G682" s="18">
        <f t="shared" si="42"/>
        <v>22916.387999999999</v>
      </c>
      <c r="H682" s="17">
        <f t="shared" si="41"/>
        <v>124343.36300000001</v>
      </c>
      <c r="I682" s="17">
        <f t="shared" si="42"/>
        <v>108870.92400000001</v>
      </c>
      <c r="J682" s="18">
        <f t="shared" si="42"/>
        <v>15472.438999999998</v>
      </c>
      <c r="K682" s="20">
        <f>SUM(K683:K695,K711:K713)</f>
        <v>16</v>
      </c>
      <c r="L682" s="20">
        <f>SUM(L683:L695,L711:L713)</f>
        <v>7</v>
      </c>
      <c r="M682" s="21"/>
    </row>
    <row r="683" spans="1:13" ht="80">
      <c r="A683" s="1">
        <v>23</v>
      </c>
      <c r="B683" s="22">
        <v>1</v>
      </c>
      <c r="C683" s="23" t="s">
        <v>749</v>
      </c>
      <c r="D683" s="26" t="s">
        <v>81</v>
      </c>
      <c r="E683" s="24">
        <v>27692.65</v>
      </c>
      <c r="F683" s="24">
        <v>27692.65</v>
      </c>
      <c r="G683" s="25">
        <v>0</v>
      </c>
      <c r="H683" s="24">
        <f t="shared" si="41"/>
        <v>25476.927</v>
      </c>
      <c r="I683" s="24">
        <v>25476.927</v>
      </c>
      <c r="J683" s="25">
        <v>0</v>
      </c>
      <c r="K683" s="26">
        <v>1</v>
      </c>
      <c r="L683" s="26">
        <v>1</v>
      </c>
      <c r="M683" s="27"/>
    </row>
    <row r="684" spans="1:13" ht="80">
      <c r="A684" s="1">
        <v>23</v>
      </c>
      <c r="B684" s="22">
        <v>2</v>
      </c>
      <c r="C684" s="23" t="s">
        <v>750</v>
      </c>
      <c r="D684" s="26" t="s">
        <v>21</v>
      </c>
      <c r="E684" s="24">
        <v>31488.371999999999</v>
      </c>
      <c r="F684" s="24">
        <v>26593.162</v>
      </c>
      <c r="G684" s="25">
        <v>4895.21</v>
      </c>
      <c r="H684" s="24">
        <f t="shared" si="41"/>
        <v>20538.278999999999</v>
      </c>
      <c r="I684" s="24">
        <v>17123.439999999999</v>
      </c>
      <c r="J684" s="25">
        <v>3414.8389999999999</v>
      </c>
      <c r="K684" s="26">
        <v>1</v>
      </c>
      <c r="L684" s="26">
        <v>0</v>
      </c>
      <c r="M684" s="27"/>
    </row>
    <row r="685" spans="1:13" ht="64">
      <c r="A685" s="1">
        <v>23</v>
      </c>
      <c r="B685" s="22">
        <v>3</v>
      </c>
      <c r="C685" s="23" t="s">
        <v>751</v>
      </c>
      <c r="D685" s="26" t="s">
        <v>81</v>
      </c>
      <c r="E685" s="24">
        <f>58849.801+2664.844</f>
        <v>61514.644999999997</v>
      </c>
      <c r="F685" s="24">
        <f>58849.801+2452.479</f>
        <v>61302.28</v>
      </c>
      <c r="G685" s="25">
        <f>0+212.365</f>
        <v>212.36500000000001</v>
      </c>
      <c r="H685" s="24">
        <f t="shared" si="41"/>
        <v>55185.481</v>
      </c>
      <c r="I685" s="24">
        <v>55185.481</v>
      </c>
      <c r="J685" s="25">
        <v>0</v>
      </c>
      <c r="K685" s="26">
        <v>1</v>
      </c>
      <c r="L685" s="26">
        <v>0</v>
      </c>
      <c r="M685" s="27" t="s">
        <v>23</v>
      </c>
    </row>
    <row r="686" spans="1:13" ht="64">
      <c r="A686" s="1">
        <v>23</v>
      </c>
      <c r="B686" s="22">
        <v>4</v>
      </c>
      <c r="C686" s="23" t="s">
        <v>752</v>
      </c>
      <c r="D686" s="26" t="s">
        <v>19</v>
      </c>
      <c r="E686" s="24">
        <v>1877.577</v>
      </c>
      <c r="F686" s="24">
        <v>1877.577</v>
      </c>
      <c r="G686" s="25">
        <v>0</v>
      </c>
      <c r="H686" s="24">
        <f t="shared" si="41"/>
        <v>1877.577</v>
      </c>
      <c r="I686" s="24">
        <v>1877.577</v>
      </c>
      <c r="J686" s="25">
        <v>0</v>
      </c>
      <c r="K686" s="26">
        <v>1</v>
      </c>
      <c r="L686" s="26">
        <v>1</v>
      </c>
      <c r="M686" s="27"/>
    </row>
    <row r="687" spans="1:13" ht="64">
      <c r="A687" s="1">
        <v>23</v>
      </c>
      <c r="B687" s="22">
        <v>5</v>
      </c>
      <c r="C687" s="23" t="s">
        <v>753</v>
      </c>
      <c r="D687" s="26" t="s">
        <v>19</v>
      </c>
      <c r="E687" s="24">
        <v>572.64499999999998</v>
      </c>
      <c r="F687" s="24">
        <v>0</v>
      </c>
      <c r="G687" s="25">
        <v>572.64499999999998</v>
      </c>
      <c r="H687" s="24">
        <f t="shared" si="41"/>
        <v>572.64499999999998</v>
      </c>
      <c r="I687" s="24">
        <v>0</v>
      </c>
      <c r="J687" s="25">
        <v>572.64499999999998</v>
      </c>
      <c r="K687" s="26">
        <v>1</v>
      </c>
      <c r="L687" s="26">
        <v>0</v>
      </c>
      <c r="M687" s="27"/>
    </row>
    <row r="688" spans="1:13" ht="48">
      <c r="A688" s="1">
        <v>23</v>
      </c>
      <c r="B688" s="22">
        <v>6</v>
      </c>
      <c r="C688" s="23" t="s">
        <v>754</v>
      </c>
      <c r="D688" s="26" t="s">
        <v>19</v>
      </c>
      <c r="E688" s="24">
        <v>219.04300000000001</v>
      </c>
      <c r="F688" s="24">
        <v>0</v>
      </c>
      <c r="G688" s="25">
        <v>219.04300000000001</v>
      </c>
      <c r="H688" s="24">
        <f t="shared" si="41"/>
        <v>219.04300000000001</v>
      </c>
      <c r="I688" s="24">
        <v>0</v>
      </c>
      <c r="J688" s="25">
        <v>219.04300000000001</v>
      </c>
      <c r="K688" s="26">
        <v>1</v>
      </c>
      <c r="L688" s="26">
        <v>1</v>
      </c>
      <c r="M688" s="27"/>
    </row>
    <row r="689" spans="1:13" ht="48">
      <c r="A689" s="1">
        <v>23</v>
      </c>
      <c r="B689" s="22">
        <v>7</v>
      </c>
      <c r="C689" s="23" t="s">
        <v>755</v>
      </c>
      <c r="D689" s="26" t="s">
        <v>19</v>
      </c>
      <c r="E689" s="24">
        <v>985.81700000000001</v>
      </c>
      <c r="F689" s="24">
        <v>0</v>
      </c>
      <c r="G689" s="25">
        <v>985.81700000000001</v>
      </c>
      <c r="H689" s="24">
        <f t="shared" si="41"/>
        <v>0</v>
      </c>
      <c r="I689" s="24">
        <v>0</v>
      </c>
      <c r="J689" s="25">
        <v>0</v>
      </c>
      <c r="K689" s="26">
        <v>1</v>
      </c>
      <c r="L689" s="26">
        <v>0</v>
      </c>
      <c r="M689" s="27"/>
    </row>
    <row r="690" spans="1:13" ht="64">
      <c r="A690" s="1">
        <v>23</v>
      </c>
      <c r="B690" s="22">
        <v>8</v>
      </c>
      <c r="C690" s="23" t="s">
        <v>756</v>
      </c>
      <c r="D690" s="26" t="s">
        <v>19</v>
      </c>
      <c r="E690" s="24">
        <v>135.57300000000001</v>
      </c>
      <c r="F690" s="24">
        <v>0</v>
      </c>
      <c r="G690" s="25">
        <v>135.57300000000001</v>
      </c>
      <c r="H690" s="24">
        <f t="shared" si="41"/>
        <v>135.57300000000001</v>
      </c>
      <c r="I690" s="24">
        <v>0</v>
      </c>
      <c r="J690" s="25">
        <v>135.57300000000001</v>
      </c>
      <c r="K690" s="26">
        <v>1</v>
      </c>
      <c r="L690" s="26">
        <v>1</v>
      </c>
      <c r="M690" s="27"/>
    </row>
    <row r="691" spans="1:13" ht="48">
      <c r="A691" s="1">
        <v>23</v>
      </c>
      <c r="B691" s="22">
        <v>9</v>
      </c>
      <c r="C691" s="23" t="s">
        <v>757</v>
      </c>
      <c r="D691" s="26" t="s">
        <v>19</v>
      </c>
      <c r="E691" s="24">
        <v>802.65</v>
      </c>
      <c r="F691" s="24">
        <v>0</v>
      </c>
      <c r="G691" s="25">
        <v>802.65</v>
      </c>
      <c r="H691" s="24">
        <f t="shared" si="41"/>
        <v>797.50800000000004</v>
      </c>
      <c r="I691" s="24">
        <v>0</v>
      </c>
      <c r="J691" s="25">
        <v>797.50800000000004</v>
      </c>
      <c r="K691" s="26">
        <v>1</v>
      </c>
      <c r="L691" s="26">
        <v>1</v>
      </c>
      <c r="M691" s="27"/>
    </row>
    <row r="692" spans="1:13" ht="48">
      <c r="A692" s="1">
        <v>23</v>
      </c>
      <c r="B692" s="22">
        <v>10</v>
      </c>
      <c r="C692" s="23" t="s">
        <v>758</v>
      </c>
      <c r="D692" s="26" t="s">
        <v>19</v>
      </c>
      <c r="E692" s="24">
        <v>1055.048</v>
      </c>
      <c r="F692" s="24">
        <v>0</v>
      </c>
      <c r="G692" s="25">
        <v>1055.048</v>
      </c>
      <c r="H692" s="24">
        <f t="shared" si="41"/>
        <v>1004.4450000000001</v>
      </c>
      <c r="I692" s="24">
        <v>0</v>
      </c>
      <c r="J692" s="25">
        <v>1004.4450000000001</v>
      </c>
      <c r="K692" s="26">
        <v>1</v>
      </c>
      <c r="L692" s="26">
        <v>0</v>
      </c>
      <c r="M692" s="27"/>
    </row>
    <row r="693" spans="1:13" ht="32">
      <c r="A693" s="1">
        <v>23</v>
      </c>
      <c r="B693" s="22">
        <v>11</v>
      </c>
      <c r="C693" s="23" t="s">
        <v>759</v>
      </c>
      <c r="D693" s="26" t="s">
        <v>19</v>
      </c>
      <c r="E693" s="24">
        <v>1198.4849999999999</v>
      </c>
      <c r="F693" s="24">
        <v>0</v>
      </c>
      <c r="G693" s="25">
        <v>1198.4849999999999</v>
      </c>
      <c r="H693" s="24">
        <f t="shared" si="41"/>
        <v>708.55799999999999</v>
      </c>
      <c r="I693" s="24">
        <v>0</v>
      </c>
      <c r="J693" s="25">
        <v>708.55799999999999</v>
      </c>
      <c r="K693" s="26">
        <v>1</v>
      </c>
      <c r="L693" s="26">
        <v>0</v>
      </c>
      <c r="M693" s="27"/>
    </row>
    <row r="694" spans="1:13" ht="32">
      <c r="A694" s="1">
        <v>23</v>
      </c>
      <c r="B694" s="22">
        <v>12</v>
      </c>
      <c r="C694" s="23" t="s">
        <v>760</v>
      </c>
      <c r="D694" s="26" t="s">
        <v>19</v>
      </c>
      <c r="E694" s="24">
        <v>415.33499999999998</v>
      </c>
      <c r="F694" s="24">
        <v>0</v>
      </c>
      <c r="G694" s="25">
        <v>415.33499999999998</v>
      </c>
      <c r="H694" s="24">
        <f t="shared" si="41"/>
        <v>415.33499999999998</v>
      </c>
      <c r="I694" s="24">
        <v>0</v>
      </c>
      <c r="J694" s="25">
        <v>415.33499999999998</v>
      </c>
      <c r="K694" s="26">
        <v>1</v>
      </c>
      <c r="L694" s="26">
        <v>1</v>
      </c>
      <c r="M694" s="27"/>
    </row>
    <row r="695" spans="1:13" ht="48">
      <c r="A695" s="1">
        <v>23</v>
      </c>
      <c r="B695" s="67">
        <v>13</v>
      </c>
      <c r="C695" s="85" t="s">
        <v>761</v>
      </c>
      <c r="D695" s="26" t="s">
        <v>19</v>
      </c>
      <c r="E695" s="86">
        <v>6079.3370000000004</v>
      </c>
      <c r="F695" s="86">
        <v>0</v>
      </c>
      <c r="G695" s="87">
        <v>6079.3370000000004</v>
      </c>
      <c r="H695" s="86">
        <f t="shared" si="41"/>
        <v>5888.4650000000001</v>
      </c>
      <c r="I695" s="86">
        <v>0</v>
      </c>
      <c r="J695" s="87">
        <v>5888.4650000000001</v>
      </c>
      <c r="K695" s="2">
        <v>1</v>
      </c>
      <c r="L695" s="2"/>
      <c r="M695" s="88"/>
    </row>
    <row r="696" spans="1:13" ht="32">
      <c r="A696" s="1">
        <v>23</v>
      </c>
      <c r="B696" s="68"/>
      <c r="C696" s="89" t="s">
        <v>762</v>
      </c>
      <c r="D696" s="26" t="s">
        <v>19</v>
      </c>
      <c r="E696" s="64">
        <v>307.44099999999997</v>
      </c>
      <c r="F696" s="64">
        <v>0</v>
      </c>
      <c r="G696" s="65">
        <v>307.44099999999997</v>
      </c>
      <c r="H696" s="64">
        <f t="shared" si="41"/>
        <v>307.44100000000003</v>
      </c>
      <c r="I696" s="64">
        <v>0</v>
      </c>
      <c r="J696" s="65">
        <v>307.44100000000003</v>
      </c>
      <c r="K696" s="61" t="s">
        <v>371</v>
      </c>
      <c r="L696" s="61">
        <v>0</v>
      </c>
      <c r="M696" s="66"/>
    </row>
    <row r="697" spans="1:13" ht="32">
      <c r="A697" s="1">
        <v>23</v>
      </c>
      <c r="B697" s="68"/>
      <c r="C697" s="89" t="s">
        <v>763</v>
      </c>
      <c r="D697" s="26" t="s">
        <v>19</v>
      </c>
      <c r="E697" s="64">
        <v>315.67399999999998</v>
      </c>
      <c r="F697" s="64">
        <v>0</v>
      </c>
      <c r="G697" s="65">
        <v>315.67399999999998</v>
      </c>
      <c r="H697" s="64">
        <f t="shared" si="41"/>
        <v>315.67399999999998</v>
      </c>
      <c r="I697" s="64">
        <v>0</v>
      </c>
      <c r="J697" s="65">
        <v>315.67399999999998</v>
      </c>
      <c r="K697" s="61" t="s">
        <v>371</v>
      </c>
      <c r="L697" s="61">
        <v>0</v>
      </c>
      <c r="M697" s="66"/>
    </row>
    <row r="698" spans="1:13" ht="32">
      <c r="A698" s="1">
        <v>23</v>
      </c>
      <c r="B698" s="68"/>
      <c r="C698" s="89" t="s">
        <v>764</v>
      </c>
      <c r="D698" s="26" t="s">
        <v>19</v>
      </c>
      <c r="E698" s="64">
        <v>114.97199999999999</v>
      </c>
      <c r="F698" s="64">
        <v>0</v>
      </c>
      <c r="G698" s="65">
        <v>114.97199999999999</v>
      </c>
      <c r="H698" s="64">
        <f t="shared" si="41"/>
        <v>114.97199999999999</v>
      </c>
      <c r="I698" s="64">
        <v>0</v>
      </c>
      <c r="J698" s="65">
        <v>114.97199999999999</v>
      </c>
      <c r="K698" s="61" t="s">
        <v>371</v>
      </c>
      <c r="L698" s="61">
        <v>1</v>
      </c>
      <c r="M698" s="66"/>
    </row>
    <row r="699" spans="1:13" ht="32">
      <c r="A699" s="1">
        <v>23</v>
      </c>
      <c r="B699" s="68"/>
      <c r="C699" s="89" t="s">
        <v>765</v>
      </c>
      <c r="D699" s="26" t="s">
        <v>19</v>
      </c>
      <c r="E699" s="64">
        <v>172.315</v>
      </c>
      <c r="F699" s="64">
        <v>0</v>
      </c>
      <c r="G699" s="65">
        <v>172.315</v>
      </c>
      <c r="H699" s="64">
        <f t="shared" si="41"/>
        <v>141.98099999999999</v>
      </c>
      <c r="I699" s="64">
        <v>0</v>
      </c>
      <c r="J699" s="65">
        <v>141.98099999999999</v>
      </c>
      <c r="K699" s="61" t="s">
        <v>371</v>
      </c>
      <c r="L699" s="61">
        <v>1</v>
      </c>
      <c r="M699" s="66"/>
    </row>
    <row r="700" spans="1:13" ht="64">
      <c r="A700" s="1">
        <v>23</v>
      </c>
      <c r="B700" s="68"/>
      <c r="C700" s="89" t="s">
        <v>766</v>
      </c>
      <c r="D700" s="26" t="s">
        <v>19</v>
      </c>
      <c r="E700" s="64">
        <v>500.08</v>
      </c>
      <c r="F700" s="64">
        <v>0</v>
      </c>
      <c r="G700" s="65">
        <v>500.08</v>
      </c>
      <c r="H700" s="64">
        <f t="shared" si="41"/>
        <v>500.08</v>
      </c>
      <c r="I700" s="64">
        <v>0</v>
      </c>
      <c r="J700" s="65">
        <v>500.08</v>
      </c>
      <c r="K700" s="61" t="s">
        <v>371</v>
      </c>
      <c r="L700" s="61">
        <v>0</v>
      </c>
      <c r="M700" s="66"/>
    </row>
    <row r="701" spans="1:13" ht="48">
      <c r="A701" s="1">
        <v>23</v>
      </c>
      <c r="B701" s="68"/>
      <c r="C701" s="89" t="s">
        <v>767</v>
      </c>
      <c r="D701" s="26" t="s">
        <v>19</v>
      </c>
      <c r="E701" s="64">
        <v>372.05599999999998</v>
      </c>
      <c r="F701" s="64">
        <v>0</v>
      </c>
      <c r="G701" s="65">
        <v>372.05599999999998</v>
      </c>
      <c r="H701" s="64">
        <f t="shared" si="41"/>
        <v>372.05599999999998</v>
      </c>
      <c r="I701" s="64">
        <v>0</v>
      </c>
      <c r="J701" s="65">
        <v>372.05599999999998</v>
      </c>
      <c r="K701" s="61" t="s">
        <v>371</v>
      </c>
      <c r="L701" s="61">
        <v>1</v>
      </c>
      <c r="M701" s="66"/>
    </row>
    <row r="702" spans="1:13" ht="32">
      <c r="A702" s="1">
        <v>23</v>
      </c>
      <c r="B702" s="68"/>
      <c r="C702" s="89" t="s">
        <v>768</v>
      </c>
      <c r="D702" s="26" t="s">
        <v>19</v>
      </c>
      <c r="E702" s="64">
        <v>118.65600000000001</v>
      </c>
      <c r="F702" s="64">
        <v>0</v>
      </c>
      <c r="G702" s="65">
        <v>118.65600000000001</v>
      </c>
      <c r="H702" s="64">
        <f t="shared" si="41"/>
        <v>74.480999999999995</v>
      </c>
      <c r="I702" s="64">
        <v>0</v>
      </c>
      <c r="J702" s="65">
        <v>74.480999999999995</v>
      </c>
      <c r="K702" s="61" t="s">
        <v>371</v>
      </c>
      <c r="L702" s="61">
        <v>1</v>
      </c>
      <c r="M702" s="66"/>
    </row>
    <row r="703" spans="1:13" ht="64">
      <c r="A703" s="1">
        <v>23</v>
      </c>
      <c r="B703" s="68"/>
      <c r="C703" s="89" t="s">
        <v>769</v>
      </c>
      <c r="D703" s="26" t="s">
        <v>19</v>
      </c>
      <c r="E703" s="64">
        <v>350.94799999999998</v>
      </c>
      <c r="F703" s="64">
        <v>0</v>
      </c>
      <c r="G703" s="65">
        <v>350.94799999999998</v>
      </c>
      <c r="H703" s="64">
        <f t="shared" si="41"/>
        <v>250.988</v>
      </c>
      <c r="I703" s="64">
        <v>0</v>
      </c>
      <c r="J703" s="65">
        <v>250.988</v>
      </c>
      <c r="K703" s="61" t="s">
        <v>371</v>
      </c>
      <c r="L703" s="61">
        <v>0</v>
      </c>
      <c r="M703" s="66"/>
    </row>
    <row r="704" spans="1:13" ht="32">
      <c r="A704" s="1">
        <v>23</v>
      </c>
      <c r="B704" s="68"/>
      <c r="C704" s="89" t="s">
        <v>770</v>
      </c>
      <c r="D704" s="26" t="s">
        <v>19</v>
      </c>
      <c r="E704" s="64">
        <v>707.53099999999995</v>
      </c>
      <c r="F704" s="64">
        <v>0</v>
      </c>
      <c r="G704" s="65">
        <v>707.53099999999995</v>
      </c>
      <c r="H704" s="64">
        <f t="shared" si="41"/>
        <v>707.53099999999995</v>
      </c>
      <c r="I704" s="64">
        <v>0</v>
      </c>
      <c r="J704" s="65">
        <v>707.53099999999995</v>
      </c>
      <c r="K704" s="61" t="s">
        <v>371</v>
      </c>
      <c r="L704" s="61">
        <v>1</v>
      </c>
      <c r="M704" s="66"/>
    </row>
    <row r="705" spans="1:13" ht="32">
      <c r="A705" s="1">
        <v>23</v>
      </c>
      <c r="B705" s="68"/>
      <c r="C705" s="89" t="s">
        <v>771</v>
      </c>
      <c r="D705" s="26" t="s">
        <v>19</v>
      </c>
      <c r="E705" s="64">
        <v>614.80999999999995</v>
      </c>
      <c r="F705" s="64">
        <v>0</v>
      </c>
      <c r="G705" s="65">
        <v>614.80999999999995</v>
      </c>
      <c r="H705" s="64">
        <f t="shared" si="41"/>
        <v>614.80999999999995</v>
      </c>
      <c r="I705" s="64">
        <v>0</v>
      </c>
      <c r="J705" s="65">
        <v>614.80999999999995</v>
      </c>
      <c r="K705" s="61" t="s">
        <v>371</v>
      </c>
      <c r="L705" s="61">
        <v>0</v>
      </c>
      <c r="M705" s="66"/>
    </row>
    <row r="706" spans="1:13" ht="32">
      <c r="A706" s="1">
        <v>23</v>
      </c>
      <c r="B706" s="68"/>
      <c r="C706" s="89" t="s">
        <v>772</v>
      </c>
      <c r="D706" s="26" t="s">
        <v>19</v>
      </c>
      <c r="E706" s="64">
        <v>630.63800000000003</v>
      </c>
      <c r="F706" s="64">
        <v>0</v>
      </c>
      <c r="G706" s="65">
        <v>630.63800000000003</v>
      </c>
      <c r="H706" s="64">
        <f t="shared" si="41"/>
        <v>630.63800000000003</v>
      </c>
      <c r="I706" s="64">
        <v>0</v>
      </c>
      <c r="J706" s="65">
        <v>630.63800000000003</v>
      </c>
      <c r="K706" s="61" t="s">
        <v>371</v>
      </c>
      <c r="L706" s="61">
        <v>1</v>
      </c>
      <c r="M706" s="66"/>
    </row>
    <row r="707" spans="1:13" ht="32">
      <c r="A707" s="1">
        <v>23</v>
      </c>
      <c r="B707" s="68"/>
      <c r="C707" s="89" t="s">
        <v>773</v>
      </c>
      <c r="D707" s="26" t="s">
        <v>19</v>
      </c>
      <c r="E707" s="64">
        <v>1206.2339999999999</v>
      </c>
      <c r="F707" s="64">
        <v>0</v>
      </c>
      <c r="G707" s="65">
        <v>1206.2339999999999</v>
      </c>
      <c r="H707" s="64">
        <f t="shared" si="41"/>
        <v>1206.2339999999999</v>
      </c>
      <c r="I707" s="64">
        <v>0</v>
      </c>
      <c r="J707" s="65">
        <v>1206.2339999999999</v>
      </c>
      <c r="K707" s="61" t="s">
        <v>371</v>
      </c>
      <c r="L707" s="61">
        <v>0</v>
      </c>
      <c r="M707" s="66"/>
    </row>
    <row r="708" spans="1:13" ht="32">
      <c r="A708" s="1">
        <v>23</v>
      </c>
      <c r="B708" s="68"/>
      <c r="C708" s="89" t="s">
        <v>774</v>
      </c>
      <c r="D708" s="26" t="s">
        <v>19</v>
      </c>
      <c r="E708" s="64">
        <v>216.441</v>
      </c>
      <c r="F708" s="64">
        <v>0</v>
      </c>
      <c r="G708" s="65">
        <v>216.441</v>
      </c>
      <c r="H708" s="64">
        <f t="shared" si="41"/>
        <v>216.441</v>
      </c>
      <c r="I708" s="64">
        <v>0</v>
      </c>
      <c r="J708" s="65">
        <v>216.441</v>
      </c>
      <c r="K708" s="61" t="s">
        <v>371</v>
      </c>
      <c r="L708" s="61">
        <v>1</v>
      </c>
      <c r="M708" s="66"/>
    </row>
    <row r="709" spans="1:13" ht="32">
      <c r="A709" s="1">
        <v>23</v>
      </c>
      <c r="B709" s="68"/>
      <c r="C709" s="89" t="s">
        <v>775</v>
      </c>
      <c r="D709" s="26" t="s">
        <v>19</v>
      </c>
      <c r="E709" s="64">
        <v>388.03899999999999</v>
      </c>
      <c r="F709" s="64">
        <v>0</v>
      </c>
      <c r="G709" s="65">
        <v>388.03899999999999</v>
      </c>
      <c r="H709" s="64">
        <f t="shared" si="41"/>
        <v>388.03899999999999</v>
      </c>
      <c r="I709" s="64">
        <v>0</v>
      </c>
      <c r="J709" s="65">
        <v>388.03899999999999</v>
      </c>
      <c r="K709" s="61" t="s">
        <v>371</v>
      </c>
      <c r="L709" s="61">
        <v>1</v>
      </c>
      <c r="M709" s="66"/>
    </row>
    <row r="710" spans="1:13" ht="32">
      <c r="A710" s="1">
        <v>23</v>
      </c>
      <c r="B710" s="68"/>
      <c r="C710" s="89" t="s">
        <v>776</v>
      </c>
      <c r="D710" s="26" t="s">
        <v>19</v>
      </c>
      <c r="E710" s="64">
        <v>63.502000000000002</v>
      </c>
      <c r="F710" s="64">
        <v>0</v>
      </c>
      <c r="G710" s="65">
        <v>63.502000000000002</v>
      </c>
      <c r="H710" s="64">
        <f t="shared" si="41"/>
        <v>47.098999999999997</v>
      </c>
      <c r="I710" s="64">
        <v>0</v>
      </c>
      <c r="J710" s="65">
        <v>47.098999999999997</v>
      </c>
      <c r="K710" s="61" t="s">
        <v>371</v>
      </c>
      <c r="L710" s="61">
        <v>1</v>
      </c>
      <c r="M710" s="66"/>
    </row>
    <row r="711" spans="1:13" ht="48">
      <c r="A711" s="1">
        <v>23</v>
      </c>
      <c r="B711" s="22">
        <v>14</v>
      </c>
      <c r="C711" s="23" t="s">
        <v>777</v>
      </c>
      <c r="D711" s="26" t="s">
        <v>32</v>
      </c>
      <c r="E711" s="24">
        <f>14022.8+1277.2</f>
        <v>15300</v>
      </c>
      <c r="F711" s="24">
        <v>14022.8</v>
      </c>
      <c r="G711" s="25">
        <f>0+1277.2</f>
        <v>1277.2</v>
      </c>
      <c r="H711" s="24">
        <f t="shared" si="41"/>
        <v>1891.797</v>
      </c>
      <c r="I711" s="24">
        <v>1576.498</v>
      </c>
      <c r="J711" s="25">
        <v>315.29899999999998</v>
      </c>
      <c r="K711" s="26">
        <v>1</v>
      </c>
      <c r="L711" s="26">
        <v>0</v>
      </c>
      <c r="M711" s="27" t="s">
        <v>23</v>
      </c>
    </row>
    <row r="712" spans="1:13" ht="64">
      <c r="A712" s="1">
        <v>23</v>
      </c>
      <c r="B712" s="22">
        <v>15</v>
      </c>
      <c r="C712" s="23" t="s">
        <v>778</v>
      </c>
      <c r="D712" s="26" t="s">
        <v>34</v>
      </c>
      <c r="E712" s="24">
        <v>5067.68</v>
      </c>
      <c r="F712" s="24">
        <v>0</v>
      </c>
      <c r="G712" s="25">
        <v>5067.68</v>
      </c>
      <c r="H712" s="24">
        <f t="shared" si="41"/>
        <v>2000.729</v>
      </c>
      <c r="I712" s="24">
        <v>0</v>
      </c>
      <c r="J712" s="25">
        <v>2000.729</v>
      </c>
      <c r="K712" s="26">
        <v>1</v>
      </c>
      <c r="L712" s="26">
        <v>1</v>
      </c>
      <c r="M712" s="27" t="s">
        <v>687</v>
      </c>
    </row>
    <row r="713" spans="1:13" ht="65" thickBot="1">
      <c r="A713" s="1">
        <v>23</v>
      </c>
      <c r="B713" s="36">
        <v>16</v>
      </c>
      <c r="C713" s="37" t="s">
        <v>779</v>
      </c>
      <c r="D713" s="40">
        <v>2019</v>
      </c>
      <c r="E713" s="38">
        <v>9905.643</v>
      </c>
      <c r="F713" s="38">
        <v>9905.643</v>
      </c>
      <c r="G713" s="39">
        <v>0</v>
      </c>
      <c r="H713" s="38">
        <f t="shared" si="41"/>
        <v>7631.0010000000002</v>
      </c>
      <c r="I713" s="38">
        <v>7631.0010000000002</v>
      </c>
      <c r="J713" s="39">
        <v>0</v>
      </c>
      <c r="K713" s="40">
        <v>1</v>
      </c>
      <c r="L713" s="40">
        <v>0</v>
      </c>
      <c r="M713" s="41"/>
    </row>
    <row r="714" spans="1:13" ht="64">
      <c r="A714" s="1">
        <v>24</v>
      </c>
      <c r="B714" s="15"/>
      <c r="C714" s="16" t="s">
        <v>780</v>
      </c>
      <c r="D714" s="16"/>
      <c r="E714" s="17">
        <f>SUM(E715:E741)</f>
        <v>192278.364</v>
      </c>
      <c r="F714" s="17">
        <f t="shared" ref="F714:J714" si="43">SUM(F715:F741)</f>
        <v>165461.29800000001</v>
      </c>
      <c r="G714" s="18">
        <f t="shared" si="43"/>
        <v>26817.066000000003</v>
      </c>
      <c r="H714" s="17">
        <f t="shared" ref="H714:H777" si="44">I714+J714</f>
        <v>166286.45100000003</v>
      </c>
      <c r="I714" s="17">
        <f t="shared" si="43"/>
        <v>150588.43700000003</v>
      </c>
      <c r="J714" s="18">
        <f t="shared" si="43"/>
        <v>15698.014000000001</v>
      </c>
      <c r="K714" s="20">
        <f t="shared" ref="K714:L714" si="45">SUM(K715:K741)</f>
        <v>27</v>
      </c>
      <c r="L714" s="20">
        <f t="shared" si="45"/>
        <v>9</v>
      </c>
      <c r="M714" s="21"/>
    </row>
    <row r="715" spans="1:13" ht="48">
      <c r="A715" s="1">
        <v>24</v>
      </c>
      <c r="B715" s="22">
        <v>1</v>
      </c>
      <c r="C715" s="23" t="s">
        <v>781</v>
      </c>
      <c r="D715" s="23"/>
      <c r="E715" s="24">
        <v>9528.1059999999998</v>
      </c>
      <c r="F715" s="24">
        <v>9528.1059999999998</v>
      </c>
      <c r="G715" s="25">
        <v>0</v>
      </c>
      <c r="H715" s="24">
        <f t="shared" si="44"/>
        <v>9528.1059999999998</v>
      </c>
      <c r="I715" s="24">
        <v>9528.1059999999998</v>
      </c>
      <c r="J715" s="25">
        <v>0</v>
      </c>
      <c r="K715" s="26">
        <v>1</v>
      </c>
      <c r="L715" s="26">
        <v>1</v>
      </c>
      <c r="M715" s="27"/>
    </row>
    <row r="716" spans="1:13" ht="48">
      <c r="A716" s="1">
        <v>24</v>
      </c>
      <c r="B716" s="22">
        <v>2</v>
      </c>
      <c r="C716" s="23" t="s">
        <v>782</v>
      </c>
      <c r="D716" s="23"/>
      <c r="E716" s="24">
        <v>640.85900000000004</v>
      </c>
      <c r="F716" s="24">
        <v>640.85900000000004</v>
      </c>
      <c r="G716" s="25">
        <v>0</v>
      </c>
      <c r="H716" s="24">
        <f t="shared" si="44"/>
        <v>640.85900000000004</v>
      </c>
      <c r="I716" s="24">
        <v>640.85900000000004</v>
      </c>
      <c r="J716" s="25">
        <v>0</v>
      </c>
      <c r="K716" s="26">
        <v>1</v>
      </c>
      <c r="L716" s="26">
        <v>1</v>
      </c>
      <c r="M716" s="27"/>
    </row>
    <row r="717" spans="1:13" ht="48">
      <c r="A717" s="1">
        <v>24</v>
      </c>
      <c r="B717" s="22">
        <v>3</v>
      </c>
      <c r="C717" s="23" t="s">
        <v>783</v>
      </c>
      <c r="D717" s="23"/>
      <c r="E717" s="24">
        <v>5787.134</v>
      </c>
      <c r="F717" s="24">
        <v>5787.134</v>
      </c>
      <c r="G717" s="25">
        <v>0</v>
      </c>
      <c r="H717" s="24">
        <f t="shared" si="44"/>
        <v>5613.1940000000004</v>
      </c>
      <c r="I717" s="24">
        <v>5613.1940000000004</v>
      </c>
      <c r="J717" s="25">
        <v>0</v>
      </c>
      <c r="K717" s="26">
        <v>1</v>
      </c>
      <c r="L717" s="26"/>
      <c r="M717" s="27"/>
    </row>
    <row r="718" spans="1:13" ht="64">
      <c r="A718" s="1">
        <v>24</v>
      </c>
      <c r="B718" s="22">
        <v>4</v>
      </c>
      <c r="C718" s="23" t="s">
        <v>784</v>
      </c>
      <c r="D718" s="23"/>
      <c r="E718" s="24">
        <v>13620.956</v>
      </c>
      <c r="F718" s="24">
        <v>13620.956</v>
      </c>
      <c r="G718" s="25">
        <v>0</v>
      </c>
      <c r="H718" s="24">
        <f t="shared" si="44"/>
        <v>13620.956</v>
      </c>
      <c r="I718" s="24">
        <v>13620.956</v>
      </c>
      <c r="J718" s="25">
        <v>0</v>
      </c>
      <c r="K718" s="26">
        <v>1</v>
      </c>
      <c r="L718" s="26"/>
      <c r="M718" s="27"/>
    </row>
    <row r="719" spans="1:13" ht="32">
      <c r="A719" s="1">
        <v>24</v>
      </c>
      <c r="B719" s="22">
        <v>5</v>
      </c>
      <c r="C719" s="23" t="s">
        <v>785</v>
      </c>
      <c r="D719" s="23"/>
      <c r="E719" s="24">
        <v>4022.8380000000002</v>
      </c>
      <c r="F719" s="24">
        <v>4022.8380000000002</v>
      </c>
      <c r="G719" s="25">
        <v>0</v>
      </c>
      <c r="H719" s="24">
        <f t="shared" si="44"/>
        <v>4012.8380000000002</v>
      </c>
      <c r="I719" s="24">
        <v>4012.8380000000002</v>
      </c>
      <c r="J719" s="25">
        <v>0</v>
      </c>
      <c r="K719" s="26">
        <v>1</v>
      </c>
      <c r="L719" s="26"/>
      <c r="M719" s="27"/>
    </row>
    <row r="720" spans="1:13" ht="48">
      <c r="A720" s="1">
        <v>24</v>
      </c>
      <c r="B720" s="22">
        <v>6</v>
      </c>
      <c r="C720" s="23" t="s">
        <v>786</v>
      </c>
      <c r="D720" s="23"/>
      <c r="E720" s="24">
        <v>3125</v>
      </c>
      <c r="F720" s="24">
        <v>3125</v>
      </c>
      <c r="G720" s="25">
        <v>0</v>
      </c>
      <c r="H720" s="24">
        <f t="shared" si="44"/>
        <v>1022.24</v>
      </c>
      <c r="I720" s="24">
        <v>1022.24</v>
      </c>
      <c r="J720" s="25">
        <v>0</v>
      </c>
      <c r="K720" s="26">
        <v>1</v>
      </c>
      <c r="L720" s="26"/>
      <c r="M720" s="27"/>
    </row>
    <row r="721" spans="1:13" ht="32">
      <c r="A721" s="1">
        <v>24</v>
      </c>
      <c r="B721" s="22">
        <v>7</v>
      </c>
      <c r="C721" s="23" t="s">
        <v>787</v>
      </c>
      <c r="D721" s="23"/>
      <c r="E721" s="24">
        <v>1316.6849999999999</v>
      </c>
      <c r="F721" s="24">
        <v>1316.6849999999999</v>
      </c>
      <c r="G721" s="25">
        <v>0</v>
      </c>
      <c r="H721" s="24">
        <f t="shared" si="44"/>
        <v>1316.6849999999999</v>
      </c>
      <c r="I721" s="24">
        <v>1316.6849999999999</v>
      </c>
      <c r="J721" s="25">
        <v>0</v>
      </c>
      <c r="K721" s="26">
        <v>1</v>
      </c>
      <c r="L721" s="26"/>
      <c r="M721" s="27"/>
    </row>
    <row r="722" spans="1:13" ht="48">
      <c r="A722" s="1">
        <v>24</v>
      </c>
      <c r="B722" s="22">
        <v>8</v>
      </c>
      <c r="C722" s="23" t="s">
        <v>788</v>
      </c>
      <c r="D722" s="23"/>
      <c r="E722" s="24">
        <f>12811.752-7000</f>
        <v>5811.7520000000004</v>
      </c>
      <c r="F722" s="24">
        <f>12811.752-7000</f>
        <v>5811.7520000000004</v>
      </c>
      <c r="G722" s="25">
        <f>0-0</f>
        <v>0</v>
      </c>
      <c r="H722" s="24">
        <f t="shared" si="44"/>
        <v>5808.9949999999999</v>
      </c>
      <c r="I722" s="24">
        <v>5808.9949999999999</v>
      </c>
      <c r="J722" s="25">
        <v>0</v>
      </c>
      <c r="K722" s="26">
        <v>1</v>
      </c>
      <c r="L722" s="26"/>
      <c r="M722" s="27" t="s">
        <v>48</v>
      </c>
    </row>
    <row r="723" spans="1:13" ht="48">
      <c r="A723" s="1">
        <v>24</v>
      </c>
      <c r="B723" s="22">
        <v>9</v>
      </c>
      <c r="C723" s="23" t="s">
        <v>789</v>
      </c>
      <c r="D723" s="23"/>
      <c r="E723" s="24">
        <v>18000</v>
      </c>
      <c r="F723" s="24">
        <v>18000</v>
      </c>
      <c r="G723" s="25">
        <v>0</v>
      </c>
      <c r="H723" s="24">
        <f t="shared" si="44"/>
        <v>17999.995999999999</v>
      </c>
      <c r="I723" s="24">
        <v>17999.995999999999</v>
      </c>
      <c r="J723" s="25">
        <v>0</v>
      </c>
      <c r="K723" s="26">
        <v>1</v>
      </c>
      <c r="L723" s="26"/>
      <c r="M723" s="27"/>
    </row>
    <row r="724" spans="1:13" ht="48">
      <c r="A724" s="1">
        <v>24</v>
      </c>
      <c r="B724" s="22">
        <v>10</v>
      </c>
      <c r="C724" s="23" t="s">
        <v>790</v>
      </c>
      <c r="D724" s="23"/>
      <c r="E724" s="24">
        <v>18000</v>
      </c>
      <c r="F724" s="24">
        <v>18000</v>
      </c>
      <c r="G724" s="25">
        <v>0</v>
      </c>
      <c r="H724" s="24">
        <f t="shared" si="44"/>
        <v>18000</v>
      </c>
      <c r="I724" s="24">
        <v>18000</v>
      </c>
      <c r="J724" s="25">
        <v>0</v>
      </c>
      <c r="K724" s="26">
        <v>1</v>
      </c>
      <c r="L724" s="26"/>
      <c r="M724" s="27"/>
    </row>
    <row r="725" spans="1:13" ht="64">
      <c r="A725" s="1">
        <v>24</v>
      </c>
      <c r="B725" s="22">
        <v>11</v>
      </c>
      <c r="C725" s="23" t="s">
        <v>791</v>
      </c>
      <c r="D725" s="23"/>
      <c r="E725" s="24">
        <v>16000</v>
      </c>
      <c r="F725" s="24">
        <v>16000</v>
      </c>
      <c r="G725" s="25">
        <v>0</v>
      </c>
      <c r="H725" s="24">
        <f t="shared" si="44"/>
        <v>16000</v>
      </c>
      <c r="I725" s="24">
        <v>16000</v>
      </c>
      <c r="J725" s="25">
        <v>0</v>
      </c>
      <c r="K725" s="26">
        <v>1</v>
      </c>
      <c r="L725" s="26"/>
      <c r="M725" s="27"/>
    </row>
    <row r="726" spans="1:13" ht="48">
      <c r="A726" s="1">
        <v>24</v>
      </c>
      <c r="B726" s="22">
        <v>12</v>
      </c>
      <c r="C726" s="23" t="s">
        <v>792</v>
      </c>
      <c r="D726" s="23"/>
      <c r="E726" s="24">
        <v>3138.223</v>
      </c>
      <c r="F726" s="24">
        <v>3138.223</v>
      </c>
      <c r="G726" s="25">
        <v>0</v>
      </c>
      <c r="H726" s="24">
        <f t="shared" si="44"/>
        <v>3138.223</v>
      </c>
      <c r="I726" s="24">
        <v>3138.223</v>
      </c>
      <c r="J726" s="25">
        <v>0</v>
      </c>
      <c r="K726" s="26">
        <v>1</v>
      </c>
      <c r="L726" s="26"/>
      <c r="M726" s="27"/>
    </row>
    <row r="727" spans="1:13" ht="32">
      <c r="A727" s="1">
        <v>24</v>
      </c>
      <c r="B727" s="22">
        <v>13</v>
      </c>
      <c r="C727" s="23" t="s">
        <v>793</v>
      </c>
      <c r="D727" s="23"/>
      <c r="E727" s="24">
        <v>18000</v>
      </c>
      <c r="F727" s="24">
        <v>18000</v>
      </c>
      <c r="G727" s="25">
        <v>0</v>
      </c>
      <c r="H727" s="24">
        <f t="shared" si="44"/>
        <v>18000</v>
      </c>
      <c r="I727" s="24">
        <v>18000</v>
      </c>
      <c r="J727" s="25">
        <v>0</v>
      </c>
      <c r="K727" s="26">
        <v>1</v>
      </c>
      <c r="L727" s="26"/>
      <c r="M727" s="27"/>
    </row>
    <row r="728" spans="1:13" ht="48">
      <c r="A728" s="1">
        <v>24</v>
      </c>
      <c r="B728" s="22">
        <v>14</v>
      </c>
      <c r="C728" s="23" t="s">
        <v>794</v>
      </c>
      <c r="D728" s="23"/>
      <c r="E728" s="24">
        <v>1665.6479999999999</v>
      </c>
      <c r="F728" s="24">
        <v>1665.6479999999999</v>
      </c>
      <c r="G728" s="25">
        <v>0</v>
      </c>
      <c r="H728" s="24">
        <f t="shared" si="44"/>
        <v>1665.6479999999999</v>
      </c>
      <c r="I728" s="24">
        <v>1665.6479999999999</v>
      </c>
      <c r="J728" s="25">
        <v>0</v>
      </c>
      <c r="K728" s="26">
        <v>1</v>
      </c>
      <c r="L728" s="26">
        <v>1</v>
      </c>
      <c r="M728" s="27"/>
    </row>
    <row r="729" spans="1:13" ht="48">
      <c r="A729" s="1">
        <v>24</v>
      </c>
      <c r="B729" s="22">
        <v>15</v>
      </c>
      <c r="C729" s="23" t="s">
        <v>795</v>
      </c>
      <c r="D729" s="23"/>
      <c r="E729" s="24">
        <v>8151</v>
      </c>
      <c r="F729" s="24">
        <v>8151</v>
      </c>
      <c r="G729" s="25">
        <v>0</v>
      </c>
      <c r="H729" s="24">
        <f t="shared" si="44"/>
        <v>8151</v>
      </c>
      <c r="I729" s="24">
        <v>8151</v>
      </c>
      <c r="J729" s="25">
        <v>0</v>
      </c>
      <c r="K729" s="26">
        <v>1</v>
      </c>
      <c r="L729" s="26">
        <v>1</v>
      </c>
      <c r="M729" s="27"/>
    </row>
    <row r="730" spans="1:13" ht="48">
      <c r="A730" s="1">
        <v>24</v>
      </c>
      <c r="B730" s="22">
        <v>16</v>
      </c>
      <c r="C730" s="23" t="s">
        <v>796</v>
      </c>
      <c r="D730" s="23"/>
      <c r="E730" s="24">
        <v>1800</v>
      </c>
      <c r="F730" s="24">
        <v>1800</v>
      </c>
      <c r="G730" s="25">
        <v>0</v>
      </c>
      <c r="H730" s="24">
        <f t="shared" si="44"/>
        <v>1800</v>
      </c>
      <c r="I730" s="24">
        <v>1800</v>
      </c>
      <c r="J730" s="25">
        <v>0</v>
      </c>
      <c r="K730" s="26">
        <v>1</v>
      </c>
      <c r="L730" s="26">
        <v>1</v>
      </c>
      <c r="M730" s="27"/>
    </row>
    <row r="731" spans="1:13" ht="48">
      <c r="A731" s="1">
        <v>24</v>
      </c>
      <c r="B731" s="22">
        <v>17</v>
      </c>
      <c r="C731" s="23" t="s">
        <v>797</v>
      </c>
      <c r="D731" s="23"/>
      <c r="E731" s="24">
        <v>900</v>
      </c>
      <c r="F731" s="24">
        <v>900</v>
      </c>
      <c r="G731" s="25">
        <v>0</v>
      </c>
      <c r="H731" s="24">
        <f t="shared" si="44"/>
        <v>900</v>
      </c>
      <c r="I731" s="24">
        <v>900</v>
      </c>
      <c r="J731" s="25">
        <v>0</v>
      </c>
      <c r="K731" s="26">
        <v>1</v>
      </c>
      <c r="L731" s="26">
        <v>1</v>
      </c>
      <c r="M731" s="27"/>
    </row>
    <row r="732" spans="1:13" ht="32">
      <c r="A732" s="1">
        <v>24</v>
      </c>
      <c r="B732" s="22">
        <v>18</v>
      </c>
      <c r="C732" s="23" t="s">
        <v>798</v>
      </c>
      <c r="D732" s="23"/>
      <c r="E732" s="24">
        <v>3800.4859999999999</v>
      </c>
      <c r="F732" s="24">
        <v>3800.4859999999999</v>
      </c>
      <c r="G732" s="25">
        <v>0</v>
      </c>
      <c r="H732" s="24">
        <f t="shared" si="44"/>
        <v>3800.4859999999999</v>
      </c>
      <c r="I732" s="24">
        <v>3800.4859999999999</v>
      </c>
      <c r="J732" s="25">
        <v>0</v>
      </c>
      <c r="K732" s="26">
        <v>1</v>
      </c>
      <c r="L732" s="26">
        <v>1</v>
      </c>
      <c r="M732" s="27"/>
    </row>
    <row r="733" spans="1:13" ht="48">
      <c r="A733" s="1">
        <v>24</v>
      </c>
      <c r="B733" s="22">
        <v>19</v>
      </c>
      <c r="C733" s="23" t="s">
        <v>799</v>
      </c>
      <c r="D733" s="23"/>
      <c r="E733" s="24">
        <f>3600+23433.356</f>
        <v>27033.356</v>
      </c>
      <c r="F733" s="24">
        <f>3600+12376.891</f>
        <v>15976.891</v>
      </c>
      <c r="G733" s="25">
        <f>0+11056.465</f>
        <v>11056.465</v>
      </c>
      <c r="H733" s="24">
        <f t="shared" si="44"/>
        <v>6991.3969999999999</v>
      </c>
      <c r="I733" s="24">
        <v>4132.8519999999999</v>
      </c>
      <c r="J733" s="25">
        <v>2858.5450000000001</v>
      </c>
      <c r="K733" s="26">
        <v>1</v>
      </c>
      <c r="L733" s="26"/>
      <c r="M733" s="27" t="s">
        <v>23</v>
      </c>
    </row>
    <row r="734" spans="1:13" ht="32">
      <c r="A734" s="1">
        <v>24</v>
      </c>
      <c r="B734" s="22">
        <v>20</v>
      </c>
      <c r="C734" s="23" t="s">
        <v>800</v>
      </c>
      <c r="D734" s="23"/>
      <c r="E734" s="24">
        <v>1153.4570000000001</v>
      </c>
      <c r="F734" s="24">
        <v>1153.4570000000001</v>
      </c>
      <c r="G734" s="25">
        <v>0</v>
      </c>
      <c r="H734" s="24">
        <f t="shared" si="44"/>
        <v>1149.8330000000001</v>
      </c>
      <c r="I734" s="24">
        <v>1149.8330000000001</v>
      </c>
      <c r="J734" s="25">
        <v>0</v>
      </c>
      <c r="K734" s="26">
        <v>1</v>
      </c>
      <c r="L734" s="26">
        <v>1</v>
      </c>
      <c r="M734" s="27"/>
    </row>
    <row r="735" spans="1:13" ht="64">
      <c r="A735" s="1">
        <v>24</v>
      </c>
      <c r="B735" s="22">
        <v>21</v>
      </c>
      <c r="C735" s="23" t="s">
        <v>801</v>
      </c>
      <c r="D735" s="23"/>
      <c r="E735" s="24">
        <v>3727.43</v>
      </c>
      <c r="F735" s="24">
        <v>1714.6</v>
      </c>
      <c r="G735" s="25">
        <v>2012.83</v>
      </c>
      <c r="H735" s="24">
        <f t="shared" si="44"/>
        <v>3727.43</v>
      </c>
      <c r="I735" s="24">
        <v>1714.6</v>
      </c>
      <c r="J735" s="25">
        <v>2012.83</v>
      </c>
      <c r="K735" s="26">
        <v>1</v>
      </c>
      <c r="L735" s="26"/>
      <c r="M735" s="27"/>
    </row>
    <row r="736" spans="1:13" ht="96">
      <c r="A736" s="1">
        <v>24</v>
      </c>
      <c r="B736" s="22">
        <v>22</v>
      </c>
      <c r="C736" s="23" t="s">
        <v>802</v>
      </c>
      <c r="D736" s="23"/>
      <c r="E736" s="24">
        <v>5694.9110000000001</v>
      </c>
      <c r="F736" s="24">
        <v>2619.6</v>
      </c>
      <c r="G736" s="25">
        <v>3075.3110000000001</v>
      </c>
      <c r="H736" s="24">
        <f t="shared" si="44"/>
        <v>2041.5420000000001</v>
      </c>
      <c r="I736" s="24">
        <v>1887.3630000000001</v>
      </c>
      <c r="J736" s="25">
        <v>154.179</v>
      </c>
      <c r="K736" s="26">
        <v>1</v>
      </c>
      <c r="L736" s="26"/>
      <c r="M736" s="27"/>
    </row>
    <row r="737" spans="1:13" ht="48">
      <c r="A737" s="1">
        <v>24</v>
      </c>
      <c r="B737" s="22">
        <v>23</v>
      </c>
      <c r="C737" s="23" t="s">
        <v>803</v>
      </c>
      <c r="D737" s="23"/>
      <c r="E737" s="24">
        <v>4581.6350000000002</v>
      </c>
      <c r="F737" s="24">
        <v>2107.5</v>
      </c>
      <c r="G737" s="25">
        <v>2474.1350000000002</v>
      </c>
      <c r="H737" s="24">
        <f t="shared" si="44"/>
        <v>4581.6350000000002</v>
      </c>
      <c r="I737" s="24">
        <v>2107.5</v>
      </c>
      <c r="J737" s="25">
        <v>2474.1350000000002</v>
      </c>
      <c r="K737" s="26">
        <v>1</v>
      </c>
      <c r="L737" s="26">
        <v>1</v>
      </c>
      <c r="M737" s="27"/>
    </row>
    <row r="738" spans="1:13" ht="48">
      <c r="A738" s="1">
        <v>24</v>
      </c>
      <c r="B738" s="22">
        <v>24</v>
      </c>
      <c r="C738" s="23" t="s">
        <v>804</v>
      </c>
      <c r="D738" s="23"/>
      <c r="E738" s="24">
        <v>5001.1419999999998</v>
      </c>
      <c r="F738" s="24">
        <v>2300.5</v>
      </c>
      <c r="G738" s="25">
        <v>2700.6419999999998</v>
      </c>
      <c r="H738" s="24">
        <f t="shared" si="44"/>
        <v>5001.1419999999998</v>
      </c>
      <c r="I738" s="24">
        <v>2300.5</v>
      </c>
      <c r="J738" s="25">
        <v>2700.6419999999998</v>
      </c>
      <c r="K738" s="26">
        <v>1</v>
      </c>
      <c r="L738" s="26"/>
      <c r="M738" s="27"/>
    </row>
    <row r="739" spans="1:13" ht="48">
      <c r="A739" s="1">
        <v>24</v>
      </c>
      <c r="B739" s="22">
        <v>25</v>
      </c>
      <c r="C739" s="23" t="s">
        <v>805</v>
      </c>
      <c r="D739" s="23"/>
      <c r="E739" s="24">
        <v>6211.1019999999999</v>
      </c>
      <c r="F739" s="24">
        <v>3280.0630000000001</v>
      </c>
      <c r="G739" s="25">
        <v>2931.0390000000002</v>
      </c>
      <c r="H739" s="24">
        <f t="shared" si="44"/>
        <v>6211.1020000000008</v>
      </c>
      <c r="I739" s="24">
        <v>3280.0630000000001</v>
      </c>
      <c r="J739" s="25">
        <v>2931.0390000000002</v>
      </c>
      <c r="K739" s="26">
        <v>1</v>
      </c>
      <c r="L739" s="26"/>
      <c r="M739" s="27"/>
    </row>
    <row r="740" spans="1:13" ht="48">
      <c r="A740" s="1">
        <v>24</v>
      </c>
      <c r="B740" s="22">
        <v>26</v>
      </c>
      <c r="C740" s="23" t="s">
        <v>806</v>
      </c>
      <c r="D740" s="23"/>
      <c r="E740" s="24">
        <f>0+3000</f>
        <v>3000</v>
      </c>
      <c r="F740" s="24">
        <f>0+3000</f>
        <v>3000</v>
      </c>
      <c r="G740" s="25">
        <f>0+0</f>
        <v>0</v>
      </c>
      <c r="H740" s="24">
        <f t="shared" si="44"/>
        <v>2996.5</v>
      </c>
      <c r="I740" s="24">
        <v>2996.5</v>
      </c>
      <c r="J740" s="25">
        <v>0</v>
      </c>
      <c r="K740" s="26">
        <f>0+1</f>
        <v>1</v>
      </c>
      <c r="L740" s="26"/>
      <c r="M740" s="27" t="s">
        <v>271</v>
      </c>
    </row>
    <row r="741" spans="1:13" ht="49" thickBot="1">
      <c r="A741" s="1">
        <v>24</v>
      </c>
      <c r="B741" s="36">
        <v>27</v>
      </c>
      <c r="C741" s="37" t="s">
        <v>807</v>
      </c>
      <c r="D741" s="37"/>
      <c r="E741" s="38">
        <f>0+2566.644</f>
        <v>2566.6439999999998</v>
      </c>
      <c r="F741" s="38">
        <f>0+0</f>
        <v>0</v>
      </c>
      <c r="G741" s="39">
        <f>0+2566.644</f>
        <v>2566.6439999999998</v>
      </c>
      <c r="H741" s="38">
        <f t="shared" si="44"/>
        <v>2566.6439999999998</v>
      </c>
      <c r="I741" s="38">
        <v>0</v>
      </c>
      <c r="J741" s="39">
        <v>2566.6439999999998</v>
      </c>
      <c r="K741" s="40">
        <f>0+1</f>
        <v>1</v>
      </c>
      <c r="L741" s="40"/>
      <c r="M741" s="41" t="s">
        <v>271</v>
      </c>
    </row>
    <row r="742" spans="1:13" ht="64">
      <c r="A742" s="1">
        <v>25</v>
      </c>
      <c r="B742" s="15"/>
      <c r="C742" s="16" t="s">
        <v>808</v>
      </c>
      <c r="D742" s="16"/>
      <c r="E742" s="17">
        <f>SUM(E743:E774)</f>
        <v>212451.35800000001</v>
      </c>
      <c r="F742" s="17">
        <f t="shared" ref="F742:L742" si="46">SUM(F743:F774)</f>
        <v>185617.99100000004</v>
      </c>
      <c r="G742" s="18">
        <f t="shared" si="46"/>
        <v>26833.366999999998</v>
      </c>
      <c r="H742" s="17">
        <f t="shared" si="44"/>
        <v>190362.69900000002</v>
      </c>
      <c r="I742" s="17">
        <f t="shared" si="46"/>
        <v>166567.20200000002</v>
      </c>
      <c r="J742" s="18">
        <f t="shared" si="46"/>
        <v>23795.496999999999</v>
      </c>
      <c r="K742" s="20">
        <f t="shared" si="46"/>
        <v>32</v>
      </c>
      <c r="L742" s="20">
        <f t="shared" si="46"/>
        <v>16</v>
      </c>
      <c r="M742" s="21"/>
    </row>
    <row r="743" spans="1:13" ht="48">
      <c r="A743" s="1">
        <v>25</v>
      </c>
      <c r="B743" s="22">
        <v>1</v>
      </c>
      <c r="C743" s="23" t="s">
        <v>809</v>
      </c>
      <c r="D743" s="109" t="s">
        <v>21</v>
      </c>
      <c r="E743" s="24">
        <v>4287.0860000000002</v>
      </c>
      <c r="F743" s="24">
        <v>4287.0860000000002</v>
      </c>
      <c r="G743" s="25">
        <v>0</v>
      </c>
      <c r="H743" s="24">
        <f t="shared" si="44"/>
        <v>4287.085</v>
      </c>
      <c r="I743" s="24">
        <v>4287.085</v>
      </c>
      <c r="J743" s="25">
        <v>0</v>
      </c>
      <c r="K743" s="26">
        <v>1</v>
      </c>
      <c r="L743" s="26">
        <v>1</v>
      </c>
      <c r="M743" s="27"/>
    </row>
    <row r="744" spans="1:13" ht="48">
      <c r="A744" s="1">
        <v>25</v>
      </c>
      <c r="B744" s="22">
        <v>2</v>
      </c>
      <c r="C744" s="23" t="s">
        <v>810</v>
      </c>
      <c r="D744" s="109" t="s">
        <v>21</v>
      </c>
      <c r="E744" s="24">
        <v>19049.14</v>
      </c>
      <c r="F744" s="24">
        <v>19049.14</v>
      </c>
      <c r="G744" s="25">
        <v>0</v>
      </c>
      <c r="H744" s="24">
        <f t="shared" si="44"/>
        <v>19025.738000000001</v>
      </c>
      <c r="I744" s="24">
        <v>19025.738000000001</v>
      </c>
      <c r="J744" s="25">
        <v>0</v>
      </c>
      <c r="K744" s="26">
        <v>1</v>
      </c>
      <c r="L744" s="26">
        <v>1</v>
      </c>
      <c r="M744" s="27"/>
    </row>
    <row r="745" spans="1:13" ht="48">
      <c r="A745" s="1">
        <v>25</v>
      </c>
      <c r="B745" s="22">
        <v>3</v>
      </c>
      <c r="C745" s="23" t="s">
        <v>811</v>
      </c>
      <c r="D745" s="109" t="s">
        <v>19</v>
      </c>
      <c r="E745" s="24">
        <v>1612.482</v>
      </c>
      <c r="F745" s="24">
        <v>1612.482</v>
      </c>
      <c r="G745" s="25">
        <v>0</v>
      </c>
      <c r="H745" s="24">
        <f t="shared" si="44"/>
        <v>1595.252</v>
      </c>
      <c r="I745" s="24">
        <v>1595.252</v>
      </c>
      <c r="J745" s="25">
        <v>0</v>
      </c>
      <c r="K745" s="26">
        <v>1</v>
      </c>
      <c r="L745" s="26">
        <v>1</v>
      </c>
      <c r="M745" s="27"/>
    </row>
    <row r="746" spans="1:13" ht="64">
      <c r="A746" s="1">
        <v>25</v>
      </c>
      <c r="B746" s="22">
        <v>4</v>
      </c>
      <c r="C746" s="23" t="s">
        <v>812</v>
      </c>
      <c r="D746" s="109" t="s">
        <v>16</v>
      </c>
      <c r="E746" s="24">
        <v>7606.5569999999998</v>
      </c>
      <c r="F746" s="24">
        <v>7606.5569999999998</v>
      </c>
      <c r="G746" s="25">
        <v>0</v>
      </c>
      <c r="H746" s="24">
        <f t="shared" si="44"/>
        <v>5956.4589999999998</v>
      </c>
      <c r="I746" s="24">
        <v>5956.4589999999998</v>
      </c>
      <c r="J746" s="25">
        <v>0</v>
      </c>
      <c r="K746" s="26">
        <v>1</v>
      </c>
      <c r="L746" s="26"/>
      <c r="M746" s="27"/>
    </row>
    <row r="747" spans="1:13" ht="80">
      <c r="A747" s="1">
        <v>25</v>
      </c>
      <c r="B747" s="22">
        <v>5</v>
      </c>
      <c r="C747" s="23" t="s">
        <v>813</v>
      </c>
      <c r="D747" s="91" t="s">
        <v>19</v>
      </c>
      <c r="E747" s="24">
        <f>13012.331+8881.195</f>
        <v>21893.525999999998</v>
      </c>
      <c r="F747" s="24">
        <f>13012.331+0</f>
        <v>13012.331</v>
      </c>
      <c r="G747" s="25">
        <f>0+8881.195</f>
        <v>8881.1949999999997</v>
      </c>
      <c r="H747" s="24">
        <f t="shared" si="44"/>
        <v>21877.080999999998</v>
      </c>
      <c r="I747" s="24">
        <v>13005.536</v>
      </c>
      <c r="J747" s="25">
        <v>8871.5450000000001</v>
      </c>
      <c r="K747" s="26">
        <v>1</v>
      </c>
      <c r="L747" s="26">
        <v>1</v>
      </c>
      <c r="M747" s="27" t="s">
        <v>23</v>
      </c>
    </row>
    <row r="748" spans="1:13" ht="112">
      <c r="A748" s="1">
        <v>25</v>
      </c>
      <c r="B748" s="22">
        <v>6</v>
      </c>
      <c r="C748" s="23" t="s">
        <v>814</v>
      </c>
      <c r="D748" s="91" t="s">
        <v>16</v>
      </c>
      <c r="E748" s="24">
        <v>18000</v>
      </c>
      <c r="F748" s="24">
        <v>18000</v>
      </c>
      <c r="G748" s="25">
        <v>0</v>
      </c>
      <c r="H748" s="24">
        <f t="shared" si="44"/>
        <v>18000</v>
      </c>
      <c r="I748" s="24">
        <v>18000</v>
      </c>
      <c r="J748" s="25">
        <v>0</v>
      </c>
      <c r="K748" s="26">
        <v>1</v>
      </c>
      <c r="L748" s="26"/>
      <c r="M748" s="27" t="s">
        <v>97</v>
      </c>
    </row>
    <row r="749" spans="1:13" ht="96">
      <c r="A749" s="1">
        <v>25</v>
      </c>
      <c r="B749" s="22">
        <v>7</v>
      </c>
      <c r="C749" s="23" t="s">
        <v>815</v>
      </c>
      <c r="D749" s="91" t="s">
        <v>19</v>
      </c>
      <c r="E749" s="24">
        <v>5306.1090000000004</v>
      </c>
      <c r="F749" s="24">
        <v>5306.1090000000004</v>
      </c>
      <c r="G749" s="25">
        <v>0</v>
      </c>
      <c r="H749" s="24">
        <f t="shared" si="44"/>
        <v>5304.2439999999997</v>
      </c>
      <c r="I749" s="24">
        <v>5304.2439999999997</v>
      </c>
      <c r="J749" s="25">
        <v>0</v>
      </c>
      <c r="K749" s="26">
        <v>1</v>
      </c>
      <c r="L749" s="26">
        <v>1</v>
      </c>
      <c r="M749" s="27" t="s">
        <v>816</v>
      </c>
    </row>
    <row r="750" spans="1:13" ht="48">
      <c r="A750" s="1">
        <v>25</v>
      </c>
      <c r="B750" s="22">
        <v>8</v>
      </c>
      <c r="C750" s="23" t="s">
        <v>817</v>
      </c>
      <c r="D750" s="91" t="s">
        <v>19</v>
      </c>
      <c r="E750" s="24">
        <v>1143.69</v>
      </c>
      <c r="F750" s="24">
        <v>1143.69</v>
      </c>
      <c r="G750" s="25">
        <v>0</v>
      </c>
      <c r="H750" s="24">
        <f t="shared" si="44"/>
        <v>889.12199999999996</v>
      </c>
      <c r="I750" s="24">
        <v>889.12199999999996</v>
      </c>
      <c r="J750" s="25">
        <v>0</v>
      </c>
      <c r="K750" s="26">
        <v>1</v>
      </c>
      <c r="L750" s="26"/>
      <c r="M750" s="27" t="s">
        <v>97</v>
      </c>
    </row>
    <row r="751" spans="1:13" ht="64">
      <c r="A751" s="1">
        <v>25</v>
      </c>
      <c r="B751" s="22">
        <v>9</v>
      </c>
      <c r="C751" s="23" t="s">
        <v>818</v>
      </c>
      <c r="D751" s="91" t="s">
        <v>19</v>
      </c>
      <c r="E751" s="24">
        <v>650</v>
      </c>
      <c r="F751" s="24">
        <v>650</v>
      </c>
      <c r="G751" s="25">
        <v>0</v>
      </c>
      <c r="H751" s="24">
        <f t="shared" si="44"/>
        <v>650</v>
      </c>
      <c r="I751" s="24">
        <v>650</v>
      </c>
      <c r="J751" s="25">
        <v>0</v>
      </c>
      <c r="K751" s="26">
        <v>1</v>
      </c>
      <c r="L751" s="26">
        <v>1</v>
      </c>
      <c r="M751" s="27"/>
    </row>
    <row r="752" spans="1:13" ht="64">
      <c r="A752" s="1">
        <v>25</v>
      </c>
      <c r="B752" s="22">
        <v>10</v>
      </c>
      <c r="C752" s="23" t="s">
        <v>819</v>
      </c>
      <c r="D752" s="91" t="s">
        <v>19</v>
      </c>
      <c r="E752" s="24">
        <v>1850.231</v>
      </c>
      <c r="F752" s="24">
        <v>1850.231</v>
      </c>
      <c r="G752" s="25">
        <v>0</v>
      </c>
      <c r="H752" s="24">
        <f t="shared" si="44"/>
        <v>1850.231</v>
      </c>
      <c r="I752" s="24">
        <v>1850.231</v>
      </c>
      <c r="J752" s="25">
        <v>0</v>
      </c>
      <c r="K752" s="26">
        <v>1</v>
      </c>
      <c r="L752" s="26">
        <v>1</v>
      </c>
      <c r="M752" s="27"/>
    </row>
    <row r="753" spans="1:13" ht="64">
      <c r="A753" s="1">
        <v>25</v>
      </c>
      <c r="B753" s="22">
        <v>11</v>
      </c>
      <c r="C753" s="23" t="s">
        <v>820</v>
      </c>
      <c r="D753" s="91" t="s">
        <v>19</v>
      </c>
      <c r="E753" s="24">
        <v>5066.8990000000003</v>
      </c>
      <c r="F753" s="24">
        <v>5066.8990000000003</v>
      </c>
      <c r="G753" s="25">
        <v>0</v>
      </c>
      <c r="H753" s="24">
        <f t="shared" si="44"/>
        <v>5066.8990000000003</v>
      </c>
      <c r="I753" s="24">
        <v>5066.8990000000003</v>
      </c>
      <c r="J753" s="25">
        <v>0</v>
      </c>
      <c r="K753" s="26">
        <v>1</v>
      </c>
      <c r="L753" s="26"/>
      <c r="M753" s="27"/>
    </row>
    <row r="754" spans="1:13" ht="48">
      <c r="A754" s="1">
        <v>25</v>
      </c>
      <c r="B754" s="22">
        <v>12</v>
      </c>
      <c r="C754" s="23" t="s">
        <v>821</v>
      </c>
      <c r="D754" s="91" t="s">
        <v>19</v>
      </c>
      <c r="E754" s="24">
        <v>2055.8760000000002</v>
      </c>
      <c r="F754" s="24">
        <v>2055.8760000000002</v>
      </c>
      <c r="G754" s="25">
        <v>0</v>
      </c>
      <c r="H754" s="24">
        <f t="shared" si="44"/>
        <v>2055.8760000000002</v>
      </c>
      <c r="I754" s="24">
        <v>2055.8760000000002</v>
      </c>
      <c r="J754" s="25">
        <v>0</v>
      </c>
      <c r="K754" s="26">
        <v>1</v>
      </c>
      <c r="L754" s="26">
        <v>1</v>
      </c>
      <c r="M754" s="27" t="s">
        <v>97</v>
      </c>
    </row>
    <row r="755" spans="1:13" ht="32">
      <c r="A755" s="1">
        <v>25</v>
      </c>
      <c r="B755" s="22">
        <v>13</v>
      </c>
      <c r="C755" s="23" t="s">
        <v>822</v>
      </c>
      <c r="D755" s="109" t="s">
        <v>151</v>
      </c>
      <c r="E755" s="24">
        <v>14703.357</v>
      </c>
      <c r="F755" s="24">
        <v>14703.357</v>
      </c>
      <c r="G755" s="25">
        <v>0</v>
      </c>
      <c r="H755" s="24">
        <f t="shared" si="44"/>
        <v>14658.018</v>
      </c>
      <c r="I755" s="24">
        <v>14658.018</v>
      </c>
      <c r="J755" s="25">
        <v>0</v>
      </c>
      <c r="K755" s="26">
        <v>1</v>
      </c>
      <c r="L755" s="26">
        <v>1</v>
      </c>
      <c r="M755" s="27" t="s">
        <v>97</v>
      </c>
    </row>
    <row r="756" spans="1:13" ht="64">
      <c r="A756" s="1">
        <v>25</v>
      </c>
      <c r="B756" s="22">
        <v>14</v>
      </c>
      <c r="C756" s="23" t="s">
        <v>823</v>
      </c>
      <c r="D756" s="109" t="s">
        <v>265</v>
      </c>
      <c r="E756" s="24">
        <v>5570.5150000000003</v>
      </c>
      <c r="F756" s="24">
        <v>5570.5150000000003</v>
      </c>
      <c r="G756" s="25">
        <v>0</v>
      </c>
      <c r="H756" s="24">
        <f t="shared" si="44"/>
        <v>5513.2020000000002</v>
      </c>
      <c r="I756" s="24">
        <v>5513.2020000000002</v>
      </c>
      <c r="J756" s="25">
        <v>0</v>
      </c>
      <c r="K756" s="26">
        <v>1</v>
      </c>
      <c r="L756" s="26">
        <v>1</v>
      </c>
      <c r="M756" s="27" t="s">
        <v>97</v>
      </c>
    </row>
    <row r="757" spans="1:13" ht="80">
      <c r="A757" s="1">
        <v>25</v>
      </c>
      <c r="B757" s="22">
        <v>15</v>
      </c>
      <c r="C757" s="23" t="s">
        <v>824</v>
      </c>
      <c r="D757" s="109" t="s">
        <v>265</v>
      </c>
      <c r="E757" s="24">
        <v>8000</v>
      </c>
      <c r="F757" s="24">
        <v>8000</v>
      </c>
      <c r="G757" s="25">
        <v>0</v>
      </c>
      <c r="H757" s="24">
        <f t="shared" si="44"/>
        <v>8000</v>
      </c>
      <c r="I757" s="24">
        <v>8000</v>
      </c>
      <c r="J757" s="25">
        <v>0</v>
      </c>
      <c r="K757" s="26">
        <v>1</v>
      </c>
      <c r="L757" s="26">
        <v>1</v>
      </c>
      <c r="M757" s="27"/>
    </row>
    <row r="758" spans="1:13" ht="32">
      <c r="A758" s="1">
        <v>25</v>
      </c>
      <c r="B758" s="22">
        <v>16</v>
      </c>
      <c r="C758" s="23" t="s">
        <v>825</v>
      </c>
      <c r="D758" s="109" t="s">
        <v>265</v>
      </c>
      <c r="E758" s="24">
        <v>7866.3770000000004</v>
      </c>
      <c r="F758" s="24">
        <v>7866.3770000000004</v>
      </c>
      <c r="G758" s="25">
        <v>0</v>
      </c>
      <c r="H758" s="24">
        <f t="shared" si="44"/>
        <v>6710.3410000000003</v>
      </c>
      <c r="I758" s="24">
        <v>6710.3410000000003</v>
      </c>
      <c r="J758" s="25">
        <v>0</v>
      </c>
      <c r="K758" s="26">
        <v>1</v>
      </c>
      <c r="L758" s="26"/>
      <c r="M758" s="27" t="s">
        <v>97</v>
      </c>
    </row>
    <row r="759" spans="1:13" ht="64">
      <c r="A759" s="1">
        <v>25</v>
      </c>
      <c r="B759" s="22">
        <v>17</v>
      </c>
      <c r="C759" s="23" t="s">
        <v>826</v>
      </c>
      <c r="D759" s="109" t="s">
        <v>265</v>
      </c>
      <c r="E759" s="24">
        <v>5426.1850000000004</v>
      </c>
      <c r="F759" s="24">
        <v>5426.1850000000004</v>
      </c>
      <c r="G759" s="25">
        <v>0</v>
      </c>
      <c r="H759" s="24">
        <f t="shared" si="44"/>
        <v>5210.3490000000002</v>
      </c>
      <c r="I759" s="24">
        <v>5210.3490000000002</v>
      </c>
      <c r="J759" s="25">
        <v>0</v>
      </c>
      <c r="K759" s="26">
        <v>1</v>
      </c>
      <c r="L759" s="26"/>
      <c r="M759" s="27" t="s">
        <v>97</v>
      </c>
    </row>
    <row r="760" spans="1:13" ht="128">
      <c r="A760" s="1">
        <v>25</v>
      </c>
      <c r="B760" s="22">
        <v>18</v>
      </c>
      <c r="C760" s="23" t="s">
        <v>827</v>
      </c>
      <c r="D760" s="109" t="s">
        <v>34</v>
      </c>
      <c r="E760" s="24">
        <v>6480</v>
      </c>
      <c r="F760" s="24">
        <v>3000</v>
      </c>
      <c r="G760" s="25">
        <v>3480</v>
      </c>
      <c r="H760" s="24">
        <f t="shared" si="44"/>
        <v>6479.5779999999995</v>
      </c>
      <c r="I760" s="24">
        <v>2999.578</v>
      </c>
      <c r="J760" s="25">
        <v>3480</v>
      </c>
      <c r="K760" s="26">
        <v>1</v>
      </c>
      <c r="L760" s="26"/>
      <c r="M760" s="27"/>
    </row>
    <row r="761" spans="1:13" ht="64">
      <c r="A761" s="1">
        <v>25</v>
      </c>
      <c r="B761" s="22">
        <v>19</v>
      </c>
      <c r="C761" s="46" t="s">
        <v>828</v>
      </c>
      <c r="D761" s="109" t="s">
        <v>265</v>
      </c>
      <c r="E761" s="24">
        <f>7196.555-2931.453</f>
        <v>4265.1020000000008</v>
      </c>
      <c r="F761" s="24">
        <f>5000-734.898</f>
        <v>4265.1019999999999</v>
      </c>
      <c r="G761" s="25">
        <f>2196.555-2196.555</f>
        <v>0</v>
      </c>
      <c r="H761" s="24">
        <f t="shared" si="44"/>
        <v>3696.9409999999998</v>
      </c>
      <c r="I761" s="24">
        <v>3696.9409999999998</v>
      </c>
      <c r="J761" s="25">
        <v>0</v>
      </c>
      <c r="K761" s="26">
        <v>1</v>
      </c>
      <c r="L761" s="26"/>
      <c r="M761" s="27" t="s">
        <v>829</v>
      </c>
    </row>
    <row r="762" spans="1:13" ht="64">
      <c r="A762" s="1">
        <v>25</v>
      </c>
      <c r="B762" s="22">
        <v>20</v>
      </c>
      <c r="C762" s="23" t="s">
        <v>830</v>
      </c>
      <c r="D762" s="109" t="s">
        <v>34</v>
      </c>
      <c r="E762" s="24">
        <v>6000</v>
      </c>
      <c r="F762" s="24">
        <v>4000</v>
      </c>
      <c r="G762" s="25">
        <v>2000</v>
      </c>
      <c r="H762" s="24">
        <f t="shared" si="44"/>
        <v>5643.3090000000002</v>
      </c>
      <c r="I762" s="24">
        <v>3858.61</v>
      </c>
      <c r="J762" s="25">
        <v>1784.6990000000001</v>
      </c>
      <c r="K762" s="26">
        <v>1</v>
      </c>
      <c r="L762" s="26"/>
      <c r="M762" s="27"/>
    </row>
    <row r="763" spans="1:13" ht="64">
      <c r="A763" s="1">
        <v>25</v>
      </c>
      <c r="B763" s="22">
        <v>21</v>
      </c>
      <c r="C763" s="23" t="s">
        <v>831</v>
      </c>
      <c r="D763" s="91">
        <v>2019</v>
      </c>
      <c r="E763" s="24">
        <v>4500.8549999999996</v>
      </c>
      <c r="F763" s="24">
        <v>3000</v>
      </c>
      <c r="G763" s="25">
        <v>1500.855</v>
      </c>
      <c r="H763" s="24">
        <f t="shared" si="44"/>
        <v>4500.8549999999996</v>
      </c>
      <c r="I763" s="24">
        <v>3000</v>
      </c>
      <c r="J763" s="25">
        <v>1500.855</v>
      </c>
      <c r="K763" s="26">
        <v>1</v>
      </c>
      <c r="L763" s="26"/>
      <c r="M763" s="27"/>
    </row>
    <row r="764" spans="1:13" ht="64">
      <c r="A764" s="1">
        <v>25</v>
      </c>
      <c r="B764" s="22">
        <v>22</v>
      </c>
      <c r="C764" s="23" t="s">
        <v>832</v>
      </c>
      <c r="D764" s="109" t="s">
        <v>34</v>
      </c>
      <c r="E764" s="24">
        <v>2944.4740000000002</v>
      </c>
      <c r="F764" s="24">
        <v>2944.4740000000002</v>
      </c>
      <c r="G764" s="25">
        <v>0</v>
      </c>
      <c r="H764" s="24">
        <f t="shared" si="44"/>
        <v>2638.0839999999998</v>
      </c>
      <c r="I764" s="24">
        <v>2638.0839999999998</v>
      </c>
      <c r="J764" s="25">
        <v>0</v>
      </c>
      <c r="K764" s="26">
        <v>1</v>
      </c>
      <c r="L764" s="26"/>
      <c r="M764" s="27" t="s">
        <v>97</v>
      </c>
    </row>
    <row r="765" spans="1:13" ht="48">
      <c r="A765" s="1">
        <v>25</v>
      </c>
      <c r="B765" s="22">
        <v>23</v>
      </c>
      <c r="C765" s="23" t="s">
        <v>833</v>
      </c>
      <c r="D765" s="109" t="s">
        <v>265</v>
      </c>
      <c r="E765" s="24">
        <v>5171.6329999999998</v>
      </c>
      <c r="F765" s="24">
        <v>5171.6329999999998</v>
      </c>
      <c r="G765" s="25">
        <v>0</v>
      </c>
      <c r="H765" s="24">
        <f t="shared" si="44"/>
        <v>4324.1859999999997</v>
      </c>
      <c r="I765" s="24">
        <v>4324.1859999999997</v>
      </c>
      <c r="J765" s="25">
        <v>0</v>
      </c>
      <c r="K765" s="26">
        <v>1</v>
      </c>
      <c r="L765" s="26">
        <v>1</v>
      </c>
      <c r="M765" s="27"/>
    </row>
    <row r="766" spans="1:13" ht="32">
      <c r="A766" s="1">
        <v>25</v>
      </c>
      <c r="B766" s="22">
        <v>24</v>
      </c>
      <c r="C766" s="23" t="s">
        <v>834</v>
      </c>
      <c r="D766" s="91">
        <v>2019</v>
      </c>
      <c r="E766" s="24">
        <v>4330.1719999999996</v>
      </c>
      <c r="F766" s="24">
        <v>4330.1719999999996</v>
      </c>
      <c r="G766" s="25">
        <v>0</v>
      </c>
      <c r="H766" s="24">
        <f t="shared" si="44"/>
        <v>4330.1719999999996</v>
      </c>
      <c r="I766" s="24">
        <v>4330.1719999999996</v>
      </c>
      <c r="J766" s="25">
        <v>0</v>
      </c>
      <c r="K766" s="26">
        <v>1</v>
      </c>
      <c r="L766" s="26">
        <v>1</v>
      </c>
      <c r="M766" s="27"/>
    </row>
    <row r="767" spans="1:13" ht="64">
      <c r="A767" s="1">
        <v>25</v>
      </c>
      <c r="B767" s="22">
        <v>25</v>
      </c>
      <c r="C767" s="23" t="s">
        <v>835</v>
      </c>
      <c r="D767" s="110" t="s">
        <v>69</v>
      </c>
      <c r="E767" s="24">
        <f>10942.248-3742.248</f>
        <v>7200</v>
      </c>
      <c r="F767" s="24">
        <f>5942.248-42.248</f>
        <v>5900</v>
      </c>
      <c r="G767" s="25">
        <f>5000-3700</f>
        <v>1300</v>
      </c>
      <c r="H767" s="24">
        <f t="shared" si="44"/>
        <v>4422.6620000000003</v>
      </c>
      <c r="I767" s="24">
        <v>3165.0189999999998</v>
      </c>
      <c r="J767" s="25">
        <v>1257.643</v>
      </c>
      <c r="K767" s="26">
        <v>1</v>
      </c>
      <c r="L767" s="26"/>
      <c r="M767" s="27" t="s">
        <v>48</v>
      </c>
    </row>
    <row r="768" spans="1:13" ht="64">
      <c r="A768" s="1">
        <v>25</v>
      </c>
      <c r="B768" s="22">
        <v>26</v>
      </c>
      <c r="C768" s="23" t="s">
        <v>836</v>
      </c>
      <c r="D768" s="91">
        <v>2019</v>
      </c>
      <c r="E768" s="24">
        <v>6305.6880000000001</v>
      </c>
      <c r="F768" s="24">
        <v>6305.6880000000001</v>
      </c>
      <c r="G768" s="25">
        <v>0</v>
      </c>
      <c r="H768" s="24">
        <f t="shared" si="44"/>
        <v>5391.24</v>
      </c>
      <c r="I768" s="24">
        <v>5391.24</v>
      </c>
      <c r="J768" s="25">
        <v>0</v>
      </c>
      <c r="K768" s="26">
        <v>1</v>
      </c>
      <c r="L768" s="26">
        <v>1</v>
      </c>
      <c r="M768" s="27"/>
    </row>
    <row r="769" spans="1:13" ht="64">
      <c r="A769" s="1">
        <v>25</v>
      </c>
      <c r="B769" s="22">
        <v>27</v>
      </c>
      <c r="C769" s="23" t="s">
        <v>837</v>
      </c>
      <c r="D769" s="109" t="s">
        <v>32</v>
      </c>
      <c r="E769" s="24">
        <v>4197.4390000000003</v>
      </c>
      <c r="F769" s="24">
        <v>4197.4390000000003</v>
      </c>
      <c r="G769" s="25">
        <v>0</v>
      </c>
      <c r="H769" s="24">
        <f t="shared" si="44"/>
        <v>3032.703</v>
      </c>
      <c r="I769" s="24">
        <v>3032.703</v>
      </c>
      <c r="J769" s="25">
        <v>0</v>
      </c>
      <c r="K769" s="26">
        <v>1</v>
      </c>
      <c r="L769" s="26"/>
      <c r="M769" s="27"/>
    </row>
    <row r="770" spans="1:13" ht="64">
      <c r="A770" s="1">
        <v>25</v>
      </c>
      <c r="B770" s="22">
        <v>28</v>
      </c>
      <c r="C770" s="23" t="s">
        <v>838</v>
      </c>
      <c r="D770" s="91">
        <v>2019</v>
      </c>
      <c r="E770" s="24">
        <v>5000</v>
      </c>
      <c r="F770" s="24">
        <v>5000</v>
      </c>
      <c r="G770" s="25">
        <v>0</v>
      </c>
      <c r="H770" s="24">
        <f t="shared" si="44"/>
        <v>2480.058</v>
      </c>
      <c r="I770" s="24">
        <v>2480.058</v>
      </c>
      <c r="J770" s="25">
        <v>0</v>
      </c>
      <c r="K770" s="26">
        <v>1</v>
      </c>
      <c r="L770" s="26"/>
      <c r="M770" s="27"/>
    </row>
    <row r="771" spans="1:13" ht="80">
      <c r="A771" s="1">
        <v>25</v>
      </c>
      <c r="B771" s="22">
        <v>29</v>
      </c>
      <c r="C771" s="23" t="s">
        <v>839</v>
      </c>
      <c r="D771" s="91">
        <v>2019</v>
      </c>
      <c r="E771" s="24">
        <v>10282.468000000001</v>
      </c>
      <c r="F771" s="24">
        <v>4282.4679999999998</v>
      </c>
      <c r="G771" s="25">
        <v>6000</v>
      </c>
      <c r="H771" s="24">
        <f t="shared" si="44"/>
        <v>8590.5779999999995</v>
      </c>
      <c r="I771" s="24">
        <v>2590.578</v>
      </c>
      <c r="J771" s="25">
        <v>6000</v>
      </c>
      <c r="K771" s="26">
        <v>1</v>
      </c>
      <c r="L771" s="26">
        <v>1</v>
      </c>
      <c r="M771" s="27"/>
    </row>
    <row r="772" spans="1:13" ht="64">
      <c r="A772" s="1">
        <v>25</v>
      </c>
      <c r="B772" s="22">
        <v>30</v>
      </c>
      <c r="C772" s="23" t="s">
        <v>840</v>
      </c>
      <c r="D772" s="110" t="s">
        <v>34</v>
      </c>
      <c r="E772" s="24">
        <v>5085.1400000000003</v>
      </c>
      <c r="F772" s="24">
        <v>4085.14</v>
      </c>
      <c r="G772" s="25">
        <v>1000</v>
      </c>
      <c r="H772" s="24">
        <f t="shared" si="44"/>
        <v>4985.8949999999995</v>
      </c>
      <c r="I772" s="24">
        <v>4085.14</v>
      </c>
      <c r="J772" s="25">
        <v>900.755</v>
      </c>
      <c r="K772" s="26">
        <v>1</v>
      </c>
      <c r="L772" s="26"/>
      <c r="M772" s="27"/>
    </row>
    <row r="773" spans="1:13" ht="96">
      <c r="A773" s="1">
        <v>25</v>
      </c>
      <c r="B773" s="22">
        <v>31</v>
      </c>
      <c r="C773" s="23" t="s">
        <v>841</v>
      </c>
      <c r="D773" s="91">
        <v>2019</v>
      </c>
      <c r="E773" s="24">
        <v>7403.8159999999998</v>
      </c>
      <c r="F773" s="24">
        <v>4732.4989999999998</v>
      </c>
      <c r="G773" s="25">
        <v>2671.317</v>
      </c>
      <c r="H773" s="24">
        <f t="shared" si="44"/>
        <v>0</v>
      </c>
      <c r="I773" s="24">
        <v>0</v>
      </c>
      <c r="J773" s="25">
        <v>0</v>
      </c>
      <c r="K773" s="26">
        <v>1</v>
      </c>
      <c r="L773" s="26"/>
      <c r="M773" s="27"/>
    </row>
    <row r="774" spans="1:13" ht="33" thickBot="1">
      <c r="A774" s="1">
        <v>25</v>
      </c>
      <c r="B774" s="36">
        <v>32</v>
      </c>
      <c r="C774" s="37" t="s">
        <v>842</v>
      </c>
      <c r="D774" s="93" t="s">
        <v>151</v>
      </c>
      <c r="E774" s="38">
        <v>3196.5410000000002</v>
      </c>
      <c r="F774" s="38">
        <v>3196.5410000000002</v>
      </c>
      <c r="G774" s="39">
        <v>0</v>
      </c>
      <c r="H774" s="38">
        <f t="shared" si="44"/>
        <v>3196.5410000000002</v>
      </c>
      <c r="I774" s="38">
        <v>3196.5410000000002</v>
      </c>
      <c r="J774" s="39">
        <v>0</v>
      </c>
      <c r="K774" s="40">
        <v>1</v>
      </c>
      <c r="L774" s="40">
        <v>1</v>
      </c>
      <c r="M774" s="41"/>
    </row>
    <row r="775" spans="1:13" ht="64">
      <c r="A775" s="1">
        <v>26</v>
      </c>
      <c r="B775" s="15"/>
      <c r="C775" s="16" t="s">
        <v>843</v>
      </c>
      <c r="D775" s="16"/>
      <c r="E775" s="17">
        <f>SUM(E776:E784)</f>
        <v>307310.02400000003</v>
      </c>
      <c r="F775" s="17">
        <f t="shared" ref="F775:J775" si="47">SUM(F776:F784)</f>
        <v>270065.09600000002</v>
      </c>
      <c r="G775" s="18">
        <f t="shared" si="47"/>
        <v>37244.928</v>
      </c>
      <c r="H775" s="17">
        <f t="shared" si="44"/>
        <v>291089.576</v>
      </c>
      <c r="I775" s="17">
        <f t="shared" si="47"/>
        <v>254016.76900000003</v>
      </c>
      <c r="J775" s="18">
        <f t="shared" si="47"/>
        <v>37072.807000000001</v>
      </c>
      <c r="K775" s="20">
        <f t="shared" ref="K775:L775" si="48">SUM(K776:K784)</f>
        <v>8</v>
      </c>
      <c r="L775" s="20">
        <f t="shared" si="48"/>
        <v>4</v>
      </c>
      <c r="M775" s="21"/>
    </row>
    <row r="776" spans="1:13" ht="32">
      <c r="A776" s="1">
        <v>26</v>
      </c>
      <c r="B776" s="22">
        <v>1</v>
      </c>
      <c r="C776" s="23" t="s">
        <v>844</v>
      </c>
      <c r="D776" s="23" t="s">
        <v>61</v>
      </c>
      <c r="E776" s="24">
        <v>40000</v>
      </c>
      <c r="F776" s="24">
        <v>25000</v>
      </c>
      <c r="G776" s="25">
        <v>15000</v>
      </c>
      <c r="H776" s="24">
        <f t="shared" si="44"/>
        <v>40000</v>
      </c>
      <c r="I776" s="24">
        <v>25000</v>
      </c>
      <c r="J776" s="25">
        <v>15000</v>
      </c>
      <c r="K776" s="26">
        <v>1</v>
      </c>
      <c r="L776" s="26"/>
      <c r="M776" s="27"/>
    </row>
    <row r="777" spans="1:13" ht="32">
      <c r="A777" s="1">
        <v>26</v>
      </c>
      <c r="B777" s="22">
        <v>2</v>
      </c>
      <c r="C777" s="23" t="s">
        <v>845</v>
      </c>
      <c r="D777" s="23" t="s">
        <v>846</v>
      </c>
      <c r="E777" s="24">
        <v>6227.7</v>
      </c>
      <c r="F777" s="24">
        <v>6227.7</v>
      </c>
      <c r="G777" s="25">
        <v>0</v>
      </c>
      <c r="H777" s="24">
        <f t="shared" si="44"/>
        <v>6227.7</v>
      </c>
      <c r="I777" s="24">
        <v>6227.7</v>
      </c>
      <c r="J777" s="25">
        <v>0</v>
      </c>
      <c r="K777" s="26">
        <v>1</v>
      </c>
      <c r="L777" s="26">
        <v>1</v>
      </c>
      <c r="M777" s="27"/>
    </row>
    <row r="778" spans="1:13" ht="64">
      <c r="A778" s="1">
        <v>26</v>
      </c>
      <c r="B778" s="22">
        <v>3</v>
      </c>
      <c r="C778" s="23" t="s">
        <v>847</v>
      </c>
      <c r="D778" s="23" t="s">
        <v>848</v>
      </c>
      <c r="E778" s="24">
        <v>100000.02800000001</v>
      </c>
      <c r="F778" s="24">
        <v>77755.100000000006</v>
      </c>
      <c r="G778" s="25">
        <v>22244.928</v>
      </c>
      <c r="H778" s="24">
        <f t="shared" ref="H778:H784" si="49">I778+J778</f>
        <v>99827.907000000007</v>
      </c>
      <c r="I778" s="24">
        <v>77755.100000000006</v>
      </c>
      <c r="J778" s="25">
        <v>22072.807000000001</v>
      </c>
      <c r="K778" s="26">
        <v>1</v>
      </c>
      <c r="L778" s="26"/>
      <c r="M778" s="27"/>
    </row>
    <row r="779" spans="1:13" ht="48">
      <c r="A779" s="1">
        <v>26</v>
      </c>
      <c r="B779" s="22">
        <v>4</v>
      </c>
      <c r="C779" s="23" t="s">
        <v>849</v>
      </c>
      <c r="D779" s="23" t="s">
        <v>850</v>
      </c>
      <c r="E779" s="24">
        <v>42857.599999999999</v>
      </c>
      <c r="F779" s="24">
        <v>42857.599999999999</v>
      </c>
      <c r="G779" s="25">
        <v>0</v>
      </c>
      <c r="H779" s="24">
        <f t="shared" si="49"/>
        <v>36940.224000000002</v>
      </c>
      <c r="I779" s="24">
        <v>36940.224000000002</v>
      </c>
      <c r="J779" s="25">
        <v>0</v>
      </c>
      <c r="K779" s="26">
        <v>1</v>
      </c>
      <c r="L779" s="26">
        <v>1</v>
      </c>
      <c r="M779" s="27"/>
    </row>
    <row r="780" spans="1:13" ht="32">
      <c r="A780" s="1">
        <v>26</v>
      </c>
      <c r="B780" s="30">
        <v>5</v>
      </c>
      <c r="C780" s="31" t="s">
        <v>851</v>
      </c>
      <c r="D780" s="31"/>
      <c r="E780" s="32">
        <f>9632.9-9632.9</f>
        <v>0</v>
      </c>
      <c r="F780" s="32">
        <f>9632.9-9632.9</f>
        <v>0</v>
      </c>
      <c r="G780" s="33">
        <f>0-0</f>
        <v>0</v>
      </c>
      <c r="H780" s="32">
        <f t="shared" si="49"/>
        <v>0</v>
      </c>
      <c r="I780" s="32"/>
      <c r="J780" s="33"/>
      <c r="K780" s="34">
        <v>0</v>
      </c>
      <c r="L780" s="34">
        <v>0</v>
      </c>
      <c r="M780" s="35" t="s">
        <v>28</v>
      </c>
    </row>
    <row r="781" spans="1:13" ht="32">
      <c r="A781" s="1">
        <v>26</v>
      </c>
      <c r="B781" s="22">
        <v>6</v>
      </c>
      <c r="C781" s="23" t="s">
        <v>852</v>
      </c>
      <c r="D781" s="23" t="s">
        <v>81</v>
      </c>
      <c r="E781" s="24">
        <v>40000</v>
      </c>
      <c r="F781" s="24">
        <v>40000</v>
      </c>
      <c r="G781" s="25">
        <v>0</v>
      </c>
      <c r="H781" s="24">
        <f t="shared" si="49"/>
        <v>40000</v>
      </c>
      <c r="I781" s="24">
        <v>40000</v>
      </c>
      <c r="J781" s="25">
        <v>0</v>
      </c>
      <c r="K781" s="26">
        <v>1</v>
      </c>
      <c r="L781" s="26"/>
      <c r="M781" s="27"/>
    </row>
    <row r="782" spans="1:13" ht="64">
      <c r="A782" s="1">
        <v>26</v>
      </c>
      <c r="B782" s="22">
        <v>7</v>
      </c>
      <c r="C782" s="23" t="s">
        <v>853</v>
      </c>
      <c r="D782" s="23" t="s">
        <v>854</v>
      </c>
      <c r="E782" s="24">
        <v>19655.509999999998</v>
      </c>
      <c r="F782" s="24">
        <v>19655.509999999998</v>
      </c>
      <c r="G782" s="25">
        <v>0</v>
      </c>
      <c r="H782" s="24">
        <f t="shared" si="49"/>
        <v>19655.422999999999</v>
      </c>
      <c r="I782" s="24">
        <v>19655.422999999999</v>
      </c>
      <c r="J782" s="25">
        <v>0</v>
      </c>
      <c r="K782" s="26">
        <v>1</v>
      </c>
      <c r="L782" s="26">
        <v>1</v>
      </c>
      <c r="M782" s="27"/>
    </row>
    <row r="783" spans="1:13" ht="32">
      <c r="A783" s="1">
        <v>26</v>
      </c>
      <c r="B783" s="22">
        <v>8</v>
      </c>
      <c r="C783" s="23" t="s">
        <v>855</v>
      </c>
      <c r="D783" s="23" t="s">
        <v>61</v>
      </c>
      <c r="E783" s="24">
        <v>25344.49</v>
      </c>
      <c r="F783" s="24">
        <v>25344.49</v>
      </c>
      <c r="G783" s="25">
        <v>0</v>
      </c>
      <c r="H783" s="24">
        <f t="shared" si="49"/>
        <v>25341.913</v>
      </c>
      <c r="I783" s="24">
        <v>25341.913</v>
      </c>
      <c r="J783" s="25">
        <v>0</v>
      </c>
      <c r="K783" s="26">
        <v>1</v>
      </c>
      <c r="L783" s="26"/>
      <c r="M783" s="27"/>
    </row>
    <row r="784" spans="1:13" ht="49" thickBot="1">
      <c r="A784" s="1">
        <v>26</v>
      </c>
      <c r="B784" s="36">
        <v>9</v>
      </c>
      <c r="C784" s="37" t="s">
        <v>856</v>
      </c>
      <c r="D784" s="37" t="s">
        <v>21</v>
      </c>
      <c r="E784" s="38">
        <v>33224.696000000004</v>
      </c>
      <c r="F784" s="38">
        <v>33224.696000000004</v>
      </c>
      <c r="G784" s="39">
        <v>0</v>
      </c>
      <c r="H784" s="38">
        <f t="shared" si="49"/>
        <v>23096.409</v>
      </c>
      <c r="I784" s="38">
        <v>23096.409</v>
      </c>
      <c r="J784" s="39">
        <v>0</v>
      </c>
      <c r="K784" s="40">
        <v>1</v>
      </c>
      <c r="L784" s="40">
        <v>1</v>
      </c>
      <c r="M784" s="41"/>
    </row>
    <row r="786" spans="3:4">
      <c r="C786" s="94" t="s">
        <v>857</v>
      </c>
      <c r="D786" s="94"/>
    </row>
  </sheetData>
  <mergeCells count="13">
    <mergeCell ref="C1:M1"/>
    <mergeCell ref="C2:M2"/>
    <mergeCell ref="B3:B5"/>
    <mergeCell ref="C3:C5"/>
    <mergeCell ref="D3:D5"/>
    <mergeCell ref="E3:J3"/>
    <mergeCell ref="K3:K5"/>
    <mergeCell ref="L3:L5"/>
    <mergeCell ref="M3:M5"/>
    <mergeCell ref="E4:E5"/>
    <mergeCell ref="F4:G4"/>
    <mergeCell ref="H4:H5"/>
    <mergeCell ref="I4:J4"/>
  </mergeCells>
  <printOptions horizontalCentered="1"/>
  <pageMargins left="0.19685039370078741" right="0" top="0" bottom="0" header="0" footer="0"/>
  <pageSetup paperSize="9" scale="6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2019</vt:lpstr>
      <vt:lpstr>'2019'!Print_Area</vt:lpstr>
      <vt:lpstr>'2019'!Print_Titles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Діденко Леся Петрівна</dc:creator>
  <cp:lastModifiedBy>Microsoft Office User</cp:lastModifiedBy>
  <dcterms:created xsi:type="dcterms:W3CDTF">2022-09-29T13:54:37Z</dcterms:created>
  <dcterms:modified xsi:type="dcterms:W3CDTF">2022-10-29T22:49:09Z</dcterms:modified>
</cp:coreProperties>
</file>