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d McCallum\Documents\151 Research\BinAnalysis\bin_configuration\"/>
    </mc:Choice>
  </mc:AlternateContent>
  <xr:revisionPtr revIDLastSave="0" documentId="8_{9F84C41A-0913-42FF-8C4A-4E4F970F0E39}" xr6:coauthVersionLast="45" xr6:coauthVersionMax="45" xr10:uidLastSave="{00000000-0000-0000-0000-000000000000}"/>
  <bookViews>
    <workbookView xWindow="-110" yWindow="-110" windowWidth="19420" windowHeight="10420" xr2:uid="{CB9AAAE8-B408-4F48-9295-8DE7F4291A3A}"/>
  </bookViews>
  <sheets>
    <sheet name="Price" sheetId="1" r:id="rId1"/>
    <sheet name="Acrylon" sheetId="3" r:id="rId2"/>
    <sheet name="Instal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E22" i="3" l="1"/>
  <c r="H20" i="3" l="1"/>
  <c r="E41" i="1" l="1"/>
  <c r="E45" i="1" l="1"/>
  <c r="E40" i="1"/>
  <c r="E36" i="1"/>
  <c r="H36" i="1" s="1"/>
  <c r="B19" i="4"/>
  <c r="C36" i="1"/>
  <c r="B36" i="1"/>
  <c r="B41" i="1"/>
  <c r="B40" i="1"/>
  <c r="H37" i="1"/>
  <c r="H38" i="1"/>
  <c r="B34" i="1"/>
  <c r="G19" i="1"/>
  <c r="G21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G24" i="1"/>
  <c r="G23" i="1"/>
  <c r="G22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B19" i="1"/>
  <c r="H39" i="1" l="1"/>
  <c r="G2" i="4"/>
  <c r="E20" i="3"/>
  <c r="F20" i="3"/>
  <c r="E18" i="3"/>
  <c r="B26" i="3"/>
  <c r="C39" i="3"/>
  <c r="C38" i="3"/>
  <c r="C37" i="3"/>
  <c r="C36" i="3"/>
  <c r="C35" i="3"/>
  <c r="C34" i="3"/>
  <c r="C33" i="3"/>
  <c r="C32" i="3"/>
  <c r="C31" i="3"/>
  <c r="C30" i="3"/>
  <c r="C29" i="3"/>
  <c r="C28" i="3"/>
  <c r="F2" i="1"/>
  <c r="F6" i="3"/>
  <c r="G39" i="3" l="1"/>
  <c r="E39" i="3"/>
  <c r="G38" i="3"/>
  <c r="E38" i="3"/>
  <c r="G37" i="3"/>
  <c r="E37" i="3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9" i="3"/>
  <c r="E29" i="3"/>
  <c r="G28" i="3"/>
  <c r="E28" i="3"/>
</calcChain>
</file>

<file path=xl/sharedStrings.xml><?xml version="1.0" encoding="utf-8"?>
<sst xmlns="http://schemas.openxmlformats.org/spreadsheetml/2006/main" count="200" uniqueCount="102">
  <si>
    <t>C10</t>
  </si>
  <si>
    <t>C11</t>
  </si>
  <si>
    <t>C12</t>
  </si>
  <si>
    <t>Bin Parameters</t>
  </si>
  <si>
    <t>Manufacturer</t>
  </si>
  <si>
    <t>Corrugation</t>
  </si>
  <si>
    <t>Number of Rings</t>
  </si>
  <si>
    <t>Bin Type</t>
  </si>
  <si>
    <t>Bin Hierarchy</t>
  </si>
  <si>
    <t>GV-GSI Part Number</t>
  </si>
  <si>
    <t>GV Size Code</t>
  </si>
  <si>
    <t>Ring Number</t>
  </si>
  <si>
    <t>Part Number</t>
  </si>
  <si>
    <t>Coax Cable Section</t>
  </si>
  <si>
    <t>Cable Array Coax Rev</t>
  </si>
  <si>
    <t>Sensor Coax Rev</t>
  </si>
  <si>
    <t>Sensor Coax Variant</t>
  </si>
  <si>
    <t>Sensor Size</t>
  </si>
  <si>
    <t>Upper Sensor Coax Part Number</t>
  </si>
  <si>
    <t>Lower Sensor Coax Part Number</t>
  </si>
  <si>
    <t>Coax Length [mm]</t>
  </si>
  <si>
    <t>Finished Length [mm]</t>
  </si>
  <si>
    <t>Bin Diameter [ft]</t>
  </si>
  <si>
    <t>Quantity</t>
  </si>
  <si>
    <t>Coax Length Totals</t>
  </si>
  <si>
    <t>Total Required Length [mm]</t>
  </si>
  <si>
    <t>Sensor Coax</t>
  </si>
  <si>
    <t>Cable Array Coax</t>
  </si>
  <si>
    <t>All Coax</t>
  </si>
  <si>
    <t>Build Table: Variable Length Multi-Conductor Cable</t>
  </si>
  <si>
    <t>Build Table: Standard Length Multi-Conductor Cable</t>
  </si>
  <si>
    <t>Description</t>
  </si>
  <si>
    <t>Top to Bottom Box Cable</t>
  </si>
  <si>
    <t>Top Box to Temp/Humidity Cable</t>
  </si>
  <si>
    <t>Plenum Sensor Assembly</t>
  </si>
  <si>
    <t>Creation Date</t>
  </si>
  <si>
    <t>Group Calculator Version</t>
  </si>
  <si>
    <t>Kit Builder Version</t>
  </si>
  <si>
    <t>Revision Date</t>
  </si>
  <si>
    <t>Build Sheet Version Control</t>
  </si>
  <si>
    <t>Bin Code</t>
  </si>
  <si>
    <t>Vendor</t>
  </si>
  <si>
    <t>Price Electronics</t>
  </si>
  <si>
    <t>P.O. Number</t>
  </si>
  <si>
    <t>Acrylon Plastics</t>
  </si>
  <si>
    <t>Release Date</t>
  </si>
  <si>
    <t>Site Name</t>
  </si>
  <si>
    <t>Number of Bins</t>
  </si>
  <si>
    <t>Sensor Rev</t>
  </si>
  <si>
    <t>Cable Array Rev</t>
  </si>
  <si>
    <t>Wire Rope Loop Height [mm]</t>
  </si>
  <si>
    <t>Array Part Number</t>
  </si>
  <si>
    <t>Cable Number</t>
  </si>
  <si>
    <t>Ferrule Location [mm]</t>
  </si>
  <si>
    <t>Sensor Variant</t>
  </si>
  <si>
    <t>Installer</t>
  </si>
  <si>
    <t>Lateral Sheet Number*</t>
  </si>
  <si>
    <t>Sheet Bolt Number**</t>
  </si>
  <si>
    <t>Sensor Number</t>
  </si>
  <si>
    <t>Cable Array Number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</si>
  <si>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</si>
  <si>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</si>
  <si>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</si>
  <si>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</si>
  <si>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</si>
  <si>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</si>
  <si>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</si>
  <si>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</si>
  <si>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</si>
  <si>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</si>
  <si>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</si>
  <si>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</si>
  <si>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</si>
  <si>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</si>
  <si>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</si>
  <si>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</si>
  <si>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</si>
  <si>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</si>
  <si>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</si>
  <si>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</si>
  <si>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</si>
  <si>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</si>
  <si>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</si>
  <si>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</si>
  <si>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Associated Cable Array Number</t>
  </si>
  <si>
    <t>Imaging Box Location</t>
  </si>
  <si>
    <t>002054-D-00</t>
  </si>
  <si>
    <t>Box to Array Coax Rev</t>
  </si>
  <si>
    <t>Box to Array Coax</t>
  </si>
  <si>
    <t>Install Table: Imaging Sensors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</si>
  <si>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</si>
  <si>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</si>
  <si>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</si>
  <si>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</si>
  <si>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</si>
  <si>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</si>
  <si>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</si>
  <si>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</si>
  <si>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</si>
  <si>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Taping Direction</t>
  </si>
  <si>
    <t>Tx - Tape Start Distance From Ferrule [mm]</t>
  </si>
  <si>
    <t>Free Coax Length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</si>
</sst>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0"/>
    <numFmt numFmtId="166" formatCode="000"/>
  </numFmts>
  <fonts count="7" x14ac:knownFonts="1">
    <font>
      <sz val="11"/>
      <color theme="1"/>
      <name val="Calibri"/>
      <family val="2"/>
      <scheme val="minor"/>
    </font>
    <font>
      <b/>
      <sz val="16"/>
      <color rgb="FFFED30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FDB61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D2D2D"/>
        <bgColor indexed="64"/>
      </patternFill>
    </fill>
    <fill>
      <patternFill patternType="solid">
        <fgColor rgb="FFFDB618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 applyFill="1" applyBorder="1" applyAlignment="1"/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1" fontId="3" fillId="0" borderId="0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3" fillId="0" borderId="16" xfId="0" applyNumberFormat="1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1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1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1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1" fontId="3" fillId="0" borderId="12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1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1" fontId="3" fillId="0" borderId="15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2" fillId="3" borderId="19" xfId="0" applyFont="1" applyFill="1" applyBorder="1" applyAlignment="1">
      <alignment horizontal="center" vertical="center" wrapText="1"/>
    </xf>
    <xf numFmtId="0" fontId="3" fillId="0" borderId="30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164" fontId="3" fillId="0" borderId="26" xfId="0" applyNumberFormat="1" applyFont="1" applyBorder="1" applyAlignment="1">
      <alignment horizontal="left" vertical="center"/>
    </xf>
    <xf numFmtId="0" fontId="3" fillId="0" borderId="27" xfId="0" applyNumberFormat="1" applyFont="1" applyBorder="1" applyAlignment="1">
      <alignment horizontal="left" vertical="center"/>
    </xf>
    <xf numFmtId="165" fontId="3" fillId="0" borderId="27" xfId="0" applyNumberFormat="1" applyFont="1" applyBorder="1" applyAlignment="1">
      <alignment horizontal="left" vertical="center"/>
    </xf>
    <xf numFmtId="166" fontId="3" fillId="0" borderId="27" xfId="0" applyNumberFormat="1" applyFont="1" applyBorder="1" applyAlignment="1">
      <alignment horizontal="left" vertical="center"/>
    </xf>
    <xf numFmtId="2" fontId="3" fillId="0" borderId="27" xfId="0" applyNumberFormat="1" applyFont="1" applyBorder="1" applyAlignment="1">
      <alignment horizontal="left" vertical="center"/>
    </xf>
    <xf numFmtId="49" fontId="3" fillId="0" borderId="27" xfId="0" applyNumberFormat="1" applyFont="1" applyBorder="1" applyAlignment="1">
      <alignment horizontal="left" vertical="center"/>
    </xf>
    <xf numFmtId="49" fontId="3" fillId="0" borderId="32" xfId="0" applyNumberFormat="1" applyFont="1" applyBorder="1" applyAlignment="1">
      <alignment horizontal="left" vertical="center"/>
    </xf>
    <xf numFmtId="2" fontId="3" fillId="0" borderId="28" xfId="0" applyNumberFormat="1" applyFont="1" applyBorder="1" applyAlignment="1">
      <alignment horizontal="left" vertical="center"/>
    </xf>
    <xf numFmtId="0" fontId="2" fillId="3" borderId="33" xfId="0" applyNumberFormat="1" applyFont="1" applyFill="1" applyBorder="1" applyAlignment="1">
      <alignment vertical="center"/>
    </xf>
    <xf numFmtId="0" fontId="2" fillId="3" borderId="34" xfId="0" applyNumberFormat="1" applyFont="1" applyFill="1" applyBorder="1" applyAlignment="1">
      <alignment vertical="center"/>
    </xf>
    <xf numFmtId="0" fontId="2" fillId="3" borderId="35" xfId="0" applyNumberFormat="1" applyFont="1" applyFill="1" applyBorder="1" applyAlignment="1">
      <alignment vertical="center"/>
    </xf>
    <xf numFmtId="0" fontId="2" fillId="3" borderId="36" xfId="0" applyNumberFormat="1" applyFont="1" applyFill="1" applyBorder="1" applyAlignment="1">
      <alignment vertical="center"/>
    </xf>
    <xf numFmtId="0" fontId="3" fillId="0" borderId="26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left" vertical="center" wrapText="1"/>
    </xf>
    <xf numFmtId="0" fontId="2" fillId="3" borderId="34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5" fillId="3" borderId="18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8" xfId="0" applyFont="1" applyFill="1" applyBorder="1" applyAlignment="1">
      <alignment vertical="center"/>
    </xf>
    <xf numFmtId="0" fontId="2" fillId="3" borderId="39" xfId="0" applyFont="1" applyFill="1" applyBorder="1" applyAlignment="1">
      <alignment vertical="center"/>
    </xf>
    <xf numFmtId="0" fontId="2" fillId="3" borderId="40" xfId="0" applyFont="1" applyFill="1" applyBorder="1" applyAlignment="1">
      <alignment vertical="center"/>
    </xf>
    <xf numFmtId="0" fontId="2" fillId="3" borderId="41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49" fontId="3" fillId="0" borderId="28" xfId="0" applyNumberFormat="1" applyFont="1" applyBorder="1" applyAlignment="1">
      <alignment horizontal="left" vertical="center"/>
    </xf>
    <xf numFmtId="49" fontId="3" fillId="0" borderId="26" xfId="0" applyNumberFormat="1" applyFont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3" borderId="38" xfId="0" applyNumberFormat="1" applyFont="1" applyFill="1" applyBorder="1" applyAlignment="1">
      <alignment vertical="center"/>
    </xf>
    <xf numFmtId="49" fontId="3" fillId="0" borderId="37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27" xfId="0" applyFont="1" applyFill="1" applyBorder="1" applyAlignment="1">
      <alignment horizontal="center" vertical="center"/>
    </xf>
    <xf numFmtId="1" fontId="3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1" fontId="3" fillId="0" borderId="17" xfId="0" applyNumberFormat="1" applyFont="1" applyBorder="1" applyAlignment="1">
      <alignment vertical="center"/>
    </xf>
    <xf numFmtId="1" fontId="3" fillId="0" borderId="12" xfId="0" applyNumberFormat="1" applyFont="1" applyBorder="1" applyAlignment="1">
      <alignment vertical="center"/>
    </xf>
    <xf numFmtId="1" fontId="3" fillId="0" borderId="15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 vertical="center"/>
    </xf>
    <xf numFmtId="0" fontId="2" fillId="3" borderId="16" xfId="0" applyNumberFormat="1" applyFont="1" applyFill="1" applyBorder="1" applyAlignment="1">
      <alignment vertical="center"/>
    </xf>
    <xf numFmtId="164" fontId="3" fillId="0" borderId="17" xfId="0" applyNumberFormat="1" applyFont="1" applyBorder="1" applyAlignment="1">
      <alignment horizontal="left" vertical="center"/>
    </xf>
    <xf numFmtId="0" fontId="2" fillId="3" borderId="10" xfId="0" applyNumberFormat="1" applyFont="1" applyFill="1" applyBorder="1" applyAlignment="1">
      <alignment vertical="center"/>
    </xf>
    <xf numFmtId="0" fontId="3" fillId="0" borderId="12" xfId="0" applyNumberFormat="1" applyFont="1" applyBorder="1" applyAlignment="1">
      <alignment horizontal="left" vertical="center"/>
    </xf>
    <xf numFmtId="165" fontId="3" fillId="0" borderId="12" xfId="0" applyNumberFormat="1" applyFont="1" applyBorder="1" applyAlignment="1">
      <alignment horizontal="left" vertical="center"/>
    </xf>
    <xf numFmtId="166" fontId="3" fillId="0" borderId="12" xfId="0" applyNumberFormat="1" applyFont="1" applyBorder="1" applyAlignment="1">
      <alignment horizontal="left" vertical="center"/>
    </xf>
    <xf numFmtId="2" fontId="3" fillId="0" borderId="12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left" vertical="center"/>
    </xf>
    <xf numFmtId="0" fontId="2" fillId="3" borderId="13" xfId="0" applyNumberFormat="1" applyFont="1" applyFill="1" applyBorder="1" applyAlignment="1">
      <alignment vertical="center"/>
    </xf>
    <xf numFmtId="49" fontId="3" fillId="0" borderId="15" xfId="0" applyNumberFormat="1" applyFont="1" applyBorder="1" applyAlignment="1">
      <alignment horizontal="left" vertical="center"/>
    </xf>
    <xf numFmtId="0" fontId="3" fillId="0" borderId="20" xfId="0" applyNumberFormat="1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2" fillId="3" borderId="43" xfId="0" applyNumberFormat="1" applyFont="1" applyFill="1" applyBorder="1" applyAlignment="1">
      <alignment vertical="center"/>
    </xf>
    <xf numFmtId="2" fontId="3" fillId="0" borderId="44" xfId="0" applyNumberFormat="1" applyFont="1" applyBorder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2" fillId="3" borderId="45" xfId="0" applyFont="1" applyFill="1" applyBorder="1" applyAlignment="1">
      <alignment horizontal="left" vertical="center" wrapText="1"/>
    </xf>
    <xf numFmtId="0" fontId="2" fillId="3" borderId="40" xfId="0" applyFont="1" applyFill="1" applyBorder="1" applyAlignment="1">
      <alignment horizontal="left" vertical="center"/>
    </xf>
    <xf numFmtId="0" fontId="2" fillId="3" borderId="41" xfId="0" applyFont="1" applyFill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NumberFormat="1" applyFont="1" applyFill="1" applyBorder="1" applyAlignment="1">
      <alignment vertical="center"/>
    </xf>
    <xf numFmtId="1" fontId="3" fillId="0" borderId="6" xfId="0" applyNumberFormat="1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42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  <xf numFmtId="0" fontId="3" fillId="0" borderId="4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" fontId="3" fillId="0" borderId="10" xfId="0" applyNumberFormat="1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D2D2D"/>
      <color rgb="FFFDB6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1090261</xdr:colOff>
      <xdr:row>1</xdr:row>
      <xdr:rowOff>34141</xdr:rowOff>
    </xdr:from>
    <xdr:to>
      <xdr:col>9</xdr:col>
      <xdr:colOff>1142999</xdr:colOff>
      <xdr:row>7</xdr:row>
      <xdr:rowOff>171186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680720-3877-4419-9EAD-00A24AF09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33443" y="230414"/>
          <a:ext cx="2257920" cy="1799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352424</xdr:colOff>
      <xdr:row>0</xdr:row>
      <xdr:rowOff>104775</xdr:rowOff>
    </xdr:from>
    <xdr:to>
      <xdr:col>6</xdr:col>
      <xdr:colOff>1372071</xdr:colOff>
      <xdr:row>3</xdr:row>
      <xdr:rowOff>187819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4D8E15-DD6F-422E-87B9-A7520CB66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125074" y="104775"/>
          <a:ext cx="1019647" cy="832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524783</xdr:colOff>
      <xdr:row>1</xdr:row>
      <xdr:rowOff>168275</xdr:rowOff>
    </xdr:from>
    <xdr:to>
      <xdr:col>3</xdr:col>
      <xdr:colOff>1544430</xdr:colOff>
      <xdr:row>4</xdr:row>
      <xdr:rowOff>163780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6A728-F3EC-4A1B-BCF1-112B07BEF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869997" y="358775"/>
          <a:ext cx="1019647" cy="830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DDC3-6F77-4DEC-B858-131CFA979EBF}">
  <dimension ref="A1:J45"/>
  <sheetViews>
    <sheetView tabSelected="1" topLeftCell="A13" zoomScale="55" zoomScaleNormal="55" workbookViewId="0">
      <selection activeCell="G30" sqref="G30"/>
    </sheetView>
  </sheetViews>
  <sheetFormatPr defaultRowHeight="14.5" x14ac:dyDescent="0.35"/>
  <cols>
    <col min="2" max="5" width="31.6328125" customWidth="1"/>
    <col min="6" max="6" width="4.36328125" customWidth="1"/>
    <col min="7" max="10" width="31.6328125" customWidth="1"/>
    <col min="11" max="11" width="20.453125" customWidth="1"/>
    <col min="12" max="14" width="16.81640625" customWidth="1"/>
  </cols>
  <sheetData>
    <row r="1" spans="2:7" ht="15" thickBot="1" x14ac:dyDescent="0.4"/>
    <row r="2" spans="2:7" ht="22" customHeight="1" thickBot="1" x14ac:dyDescent="0.55000000000000004">
      <c r="B2" s="113" t="s">
        <v>3</v>
      </c>
      <c r="C2" s="114"/>
      <c r="E2" s="51" t="s">
        <v>40</v>
      </c>
      <c r="F2" s="113">
        <f>$C$10</f>
        <v>0</v>
      </c>
      <c r="G2" s="114"/>
    </row>
    <row r="3" spans="2:7" s="8" customFormat="1" ht="22" customHeight="1" x14ac:dyDescent="0.35">
      <c r="B3" s="37" t="s">
        <v>4</v>
      </c>
      <c r="C3" s="29"/>
      <c r="E3" s="52" t="s">
        <v>41</v>
      </c>
      <c r="F3" s="121" t="s">
        <v>42</v>
      </c>
      <c r="G3" s="122"/>
    </row>
    <row r="4" spans="2:7" s="8" customFormat="1" ht="22" customHeight="1" x14ac:dyDescent="0.35">
      <c r="B4" s="38" t="s">
        <v>5</v>
      </c>
      <c r="C4" s="30"/>
      <c r="E4" s="53" t="s">
        <v>45</v>
      </c>
      <c r="F4" s="115"/>
      <c r="G4" s="116"/>
    </row>
    <row r="5" spans="2:7" s="8" customFormat="1" ht="22" customHeight="1" x14ac:dyDescent="0.35">
      <c r="B5" s="38" t="s">
        <v>6</v>
      </c>
      <c r="C5" s="31"/>
      <c r="E5" s="53" t="s">
        <v>46</v>
      </c>
      <c r="F5" s="115"/>
      <c r="G5" s="116"/>
    </row>
    <row r="6" spans="2:7" s="8" customFormat="1" ht="22" customHeight="1" thickBot="1" x14ac:dyDescent="0.4">
      <c r="B6" s="38" t="s">
        <v>22</v>
      </c>
      <c r="C6" s="32"/>
      <c r="E6" s="54" t="s">
        <v>47</v>
      </c>
      <c r="F6" s="117"/>
      <c r="G6" s="118"/>
    </row>
    <row r="7" spans="2:7" s="8" customFormat="1" ht="22" customHeight="1" thickBot="1" x14ac:dyDescent="0.4">
      <c r="B7" s="38" t="s">
        <v>7</v>
      </c>
      <c r="C7" s="33"/>
      <c r="E7" s="68"/>
      <c r="F7" s="67"/>
      <c r="G7" s="67"/>
    </row>
    <row r="8" spans="2:7" s="8" customFormat="1" ht="22" customHeight="1" thickBot="1" x14ac:dyDescent="0.4">
      <c r="B8" s="38" t="s">
        <v>8</v>
      </c>
      <c r="C8" s="33"/>
      <c r="E8" s="48" t="s">
        <v>43</v>
      </c>
      <c r="F8" s="119"/>
      <c r="G8" s="120"/>
    </row>
    <row r="9" spans="2:7" s="8" customFormat="1" ht="22" customHeight="1" x14ac:dyDescent="0.35">
      <c r="B9" s="38" t="s">
        <v>9</v>
      </c>
      <c r="C9" s="33"/>
    </row>
    <row r="10" spans="2:7" s="8" customFormat="1" ht="22" customHeight="1" thickBot="1" x14ac:dyDescent="0.4">
      <c r="B10" s="39" t="s">
        <v>10</v>
      </c>
      <c r="C10" s="35"/>
      <c r="E10" s="123" t="s">
        <v>39</v>
      </c>
      <c r="F10" s="124"/>
      <c r="G10" s="124"/>
    </row>
    <row r="11" spans="2:7" s="8" customFormat="1" ht="22" customHeight="1" x14ac:dyDescent="0.35">
      <c r="B11" s="37" t="s">
        <v>49</v>
      </c>
      <c r="C11" s="59"/>
      <c r="E11" s="95" t="s">
        <v>35</v>
      </c>
      <c r="F11" s="125"/>
      <c r="G11" s="126"/>
    </row>
    <row r="12" spans="2:7" s="8" customFormat="1" ht="22" customHeight="1" x14ac:dyDescent="0.35">
      <c r="B12" s="65" t="s">
        <v>15</v>
      </c>
      <c r="C12" s="34"/>
      <c r="E12" s="96" t="s">
        <v>38</v>
      </c>
      <c r="F12" s="127"/>
      <c r="G12" s="128"/>
    </row>
    <row r="13" spans="2:7" s="8" customFormat="1" ht="22" customHeight="1" x14ac:dyDescent="0.35">
      <c r="B13" s="38" t="s">
        <v>16</v>
      </c>
      <c r="C13" s="34"/>
      <c r="E13" s="96" t="s">
        <v>36</v>
      </c>
      <c r="F13" s="129"/>
      <c r="G13" s="130"/>
    </row>
    <row r="14" spans="2:7" s="8" customFormat="1" ht="22" customHeight="1" thickBot="1" x14ac:dyDescent="0.4">
      <c r="B14" s="38" t="s">
        <v>48</v>
      </c>
      <c r="C14" s="33"/>
      <c r="E14" s="97" t="s">
        <v>37</v>
      </c>
      <c r="F14" s="111"/>
      <c r="G14" s="112"/>
    </row>
    <row r="15" spans="2:7" s="8" customFormat="1" ht="22" customHeight="1" x14ac:dyDescent="0.35">
      <c r="B15" s="38" t="s">
        <v>14</v>
      </c>
      <c r="C15" s="33"/>
    </row>
    <row r="16" spans="2:7" ht="22" customHeight="1" thickBot="1" x14ac:dyDescent="0.4">
      <c r="B16" s="91" t="s">
        <v>87</v>
      </c>
      <c r="C16" s="92"/>
      <c r="G16" s="8"/>
    </row>
    <row r="17" spans="1:10" ht="22" customHeight="1" x14ac:dyDescent="0.35">
      <c r="G17" s="8"/>
    </row>
    <row r="18" spans="1:10" ht="22" customHeight="1" thickBot="1" x14ac:dyDescent="0.4">
      <c r="B18" s="8"/>
      <c r="C18" s="8"/>
      <c r="D18" s="8"/>
      <c r="E18" s="8"/>
      <c r="G18" s="8"/>
      <c r="H18" s="8"/>
      <c r="I18" s="8"/>
      <c r="J18" s="8"/>
    </row>
    <row r="19" spans="1:10" ht="22" customHeight="1" thickBot="1" x14ac:dyDescent="0.4">
      <c r="B19" s="106" t="str">
        <f>"Build Table : Cable Array Coax 002001-" &amp; $C$10 &amp;  "-" &amp; $C$15 &amp; " To 002024-" &amp; $C$10 &amp;  "-" &amp; $C$15</f>
        <v>Build Table : Cable Array Coax 002001-- To 002024--</v>
      </c>
      <c r="C19" s="110"/>
      <c r="D19" s="110"/>
      <c r="E19" s="107"/>
      <c r="G19" s="106" t="str">
        <f>"Build Table : Box to Array Coax 002101-" &amp; $C$10 &amp;  "-" &amp; $C$16 &amp; " To 002124-" &amp; $C$10 &amp;  "-" &amp; $C$16</f>
        <v>Build Table : Box to Array Coax 002101-- To 002124--</v>
      </c>
      <c r="H19" s="110"/>
      <c r="I19" s="110"/>
      <c r="J19" s="107"/>
    </row>
    <row r="20" spans="1:10" ht="22" customHeight="1" thickBot="1" x14ac:dyDescent="0.4">
      <c r="B20" s="2" t="s">
        <v>18</v>
      </c>
      <c r="C20" s="4" t="s">
        <v>20</v>
      </c>
      <c r="D20" s="5" t="s">
        <v>19</v>
      </c>
      <c r="E20" s="3" t="s">
        <v>20</v>
      </c>
      <c r="G20" s="2" t="s">
        <v>18</v>
      </c>
      <c r="H20" s="4" t="s">
        <v>20</v>
      </c>
      <c r="I20" s="5" t="s">
        <v>19</v>
      </c>
      <c r="J20" s="3" t="s">
        <v>20</v>
      </c>
    </row>
    <row r="21" spans="1:10" ht="22" customHeight="1" x14ac:dyDescent="0.35">
      <c r="B21" s="12" t="str">
        <f>"002001-" &amp; $C$10 &amp; "-" &amp; $C$15</f>
        <v>002001--</v>
      </c>
      <c r="C21" s="13"/>
      <c r="D21" s="14" t="str">
        <f>"002002-" &amp; $C$10 &amp; "-" &amp; $C$15</f>
        <v>002002--</v>
      </c>
      <c r="E21" s="15"/>
      <c r="G21" s="12" t="str">
        <f>"002101-" &amp; $C$10 &amp; "-" &amp; $C$16</f>
        <v>002101--</v>
      </c>
      <c r="H21" s="13"/>
      <c r="I21" s="14" t="str">
        <f>"002102-" &amp; $C$10 &amp; "-" &amp; $C$16</f>
        <v>002102--</v>
      </c>
      <c r="J21" s="15"/>
    </row>
    <row r="22" spans="1:10" ht="22" customHeight="1" x14ac:dyDescent="0.35">
      <c r="B22" s="16" t="str">
        <f>"002003-" &amp; $C$10 &amp; "-" &amp; $C$15</f>
        <v>002003--</v>
      </c>
      <c r="C22" s="17"/>
      <c r="D22" s="18" t="str">
        <f>"002004-" &amp; $C$10 &amp; "-" &amp; $C$15</f>
        <v>002004--</v>
      </c>
      <c r="E22" s="19"/>
      <c r="G22" s="16" t="str">
        <f>"002103-" &amp; $C$10 &amp; "-" &amp; $C$16</f>
        <v>002103--</v>
      </c>
      <c r="H22" s="17"/>
      <c r="I22" s="18" t="str">
        <f>"002104-" &amp; $C$10 &amp; "-" &amp; $C$16</f>
        <v>002104--</v>
      </c>
      <c r="J22" s="19"/>
    </row>
    <row r="23" spans="1:10" ht="22" customHeight="1" x14ac:dyDescent="0.35">
      <c r="B23" s="16" t="str">
        <f>"002005-" &amp; $C$10 &amp; "-" &amp; $C$15</f>
        <v>002005--</v>
      </c>
      <c r="C23" s="17"/>
      <c r="D23" s="18" t="str">
        <f>"002006-" &amp; $C$10 &amp; "-" &amp; $C$15</f>
        <v>002006--</v>
      </c>
      <c r="E23" s="19"/>
      <c r="G23" s="16" t="str">
        <f>"002105-" &amp; $C$10 &amp; "-" &amp; $C$16</f>
        <v>002105--</v>
      </c>
      <c r="H23" s="17"/>
      <c r="I23" s="18" t="str">
        <f>"002106-" &amp; $C$10 &amp; "-" &amp; $C$16</f>
        <v>002106--</v>
      </c>
      <c r="J23" s="19"/>
    </row>
    <row r="24" spans="1:10" ht="22" customHeight="1" x14ac:dyDescent="0.35">
      <c r="B24" s="16" t="str">
        <f>"002007-" &amp; $C$10 &amp; "-" &amp; $C$15</f>
        <v>002007--</v>
      </c>
      <c r="C24" s="17"/>
      <c r="D24" s="18" t="str">
        <f>"002008-" &amp; $C$10 &amp; "-" &amp; $C$15</f>
        <v>002008--</v>
      </c>
      <c r="E24" s="19"/>
      <c r="G24" s="16" t="str">
        <f>"002107-" &amp; $C$10 &amp; "-" &amp; $C$16</f>
        <v>002107--</v>
      </c>
      <c r="H24" s="17"/>
      <c r="I24" s="18" t="str">
        <f>"002108-" &amp; $C$10 &amp; "-" &amp; $C$16</f>
        <v>002108--</v>
      </c>
      <c r="J24" s="19"/>
    </row>
    <row r="25" spans="1:10" ht="22" customHeight="1" x14ac:dyDescent="0.35">
      <c r="B25" s="16" t="str">
        <f>"002009-" &amp; $C$10 &amp; "-" &amp; $C$15</f>
        <v>002009--</v>
      </c>
      <c r="C25" s="17"/>
      <c r="D25" s="18" t="str">
        <f>"002010-" &amp; $C$10 &amp; "-" &amp; $C$15</f>
        <v>002010--</v>
      </c>
      <c r="E25" s="19"/>
      <c r="G25" s="16" t="str">
        <f>"002109-" &amp; $C$10 &amp; "-" &amp; $C$16</f>
        <v>002109--</v>
      </c>
      <c r="H25" s="17"/>
      <c r="I25" s="18" t="str">
        <f>"002110-" &amp; $C$10 &amp; "-" &amp; $C$16</f>
        <v>002110--</v>
      </c>
      <c r="J25" s="19"/>
    </row>
    <row r="26" spans="1:10" ht="22" customHeight="1" x14ac:dyDescent="0.35">
      <c r="B26" s="16" t="str">
        <f>"002011-" &amp; $C$10 &amp; "-" &amp; $C$15</f>
        <v>002011--</v>
      </c>
      <c r="C26" s="17"/>
      <c r="D26" s="18" t="str">
        <f>"002012-" &amp; $C$10 &amp; "-" &amp; $C$15</f>
        <v>002012--</v>
      </c>
      <c r="E26" s="19"/>
      <c r="G26" s="16" t="str">
        <f>"002111-" &amp; $C$10 &amp; "-" &amp; $C$16</f>
        <v>002111--</v>
      </c>
      <c r="H26" s="17"/>
      <c r="I26" s="18" t="str">
        <f>"002112-" &amp; $C$10 &amp; "-" &amp; $C$16</f>
        <v>002112--</v>
      </c>
      <c r="J26" s="19"/>
    </row>
    <row r="27" spans="1:10" ht="22" customHeight="1" x14ac:dyDescent="0.35">
      <c r="B27" s="16" t="str">
        <f>"002013-" &amp; $C$10 &amp; "-" &amp; $C$15</f>
        <v>002013--</v>
      </c>
      <c r="C27" s="17"/>
      <c r="D27" s="18" t="str">
        <f>"002014-" &amp; $C$10 &amp; "-" &amp; $C$15</f>
        <v>002014--</v>
      </c>
      <c r="E27" s="19"/>
      <c r="G27" s="16" t="str">
        <f>"002113-" &amp; $C$10 &amp; "-" &amp; $C$16</f>
        <v>002113--</v>
      </c>
      <c r="H27" s="17"/>
      <c r="I27" s="18" t="str">
        <f>"002114-" &amp; $C$10 &amp; "-" &amp; $C$16</f>
        <v>002114--</v>
      </c>
      <c r="J27" s="19"/>
    </row>
    <row r="28" spans="1:10" ht="22" customHeight="1" x14ac:dyDescent="0.5">
      <c r="A28" s="1"/>
      <c r="B28" s="16" t="str">
        <f>"002015-" &amp; $C$10 &amp; "-" &amp; $C$15</f>
        <v>002015--</v>
      </c>
      <c r="C28" s="17"/>
      <c r="D28" s="18" t="str">
        <f>"002016-" &amp; $C$10 &amp; "-" &amp; $C$15</f>
        <v>002016--</v>
      </c>
      <c r="E28" s="19"/>
      <c r="G28" s="16" t="str">
        <f>"002115-" &amp; $C$10 &amp; "-" &amp; $C$16</f>
        <v>002115--</v>
      </c>
      <c r="H28" s="17"/>
      <c r="I28" s="18" t="str">
        <f>"002116-" &amp; $C$10 &amp; "-" &amp; $C$16</f>
        <v>002116--</v>
      </c>
      <c r="J28" s="19"/>
    </row>
    <row r="29" spans="1:10" ht="22" customHeight="1" x14ac:dyDescent="0.35">
      <c r="B29" s="16" t="str">
        <f>"002017-" &amp; $C$10 &amp; "-" &amp; $C$15</f>
        <v>002017--</v>
      </c>
      <c r="C29" s="17"/>
      <c r="D29" s="18" t="str">
        <f>"002018-" &amp; $C$10 &amp; "-" &amp; $C$15</f>
        <v>002018--</v>
      </c>
      <c r="E29" s="19"/>
      <c r="G29" s="16" t="str">
        <f>"002117-" &amp; $C$10 &amp; "-" &amp; $C$16</f>
        <v>002117--</v>
      </c>
      <c r="H29" s="17"/>
      <c r="I29" s="18" t="str">
        <f>"002118-" &amp; $C$10 &amp; "-" &amp; $C$16</f>
        <v>002118--</v>
      </c>
      <c r="J29" s="19"/>
    </row>
    <row r="30" spans="1:10" ht="22" customHeight="1" x14ac:dyDescent="0.35">
      <c r="B30" s="16" t="str">
        <f>"002019-" &amp; $C$10 &amp; "-" &amp; $C$15</f>
        <v>002019--</v>
      </c>
      <c r="C30" s="17"/>
      <c r="D30" s="18" t="str">
        <f>"002020-" &amp; $C$10 &amp; "-" &amp; $C$15</f>
        <v>002020--</v>
      </c>
      <c r="E30" s="19"/>
      <c r="G30" s="16" t="str">
        <f>"002119-" &amp; $C$10 &amp; "-" &amp; $C$16</f>
        <v>002119--</v>
      </c>
      <c r="H30" s="17"/>
      <c r="I30" s="18" t="str">
        <f>"002120-" &amp; $C$10 &amp; "-" &amp; $C$16</f>
        <v>002120--</v>
      </c>
      <c r="J30" s="19"/>
    </row>
    <row r="31" spans="1:10" ht="22" customHeight="1" x14ac:dyDescent="0.35">
      <c r="B31" s="16" t="str">
        <f>"002021-" &amp; $C$10 &amp; "-" &amp; $C$15</f>
        <v>002021--</v>
      </c>
      <c r="C31" s="17"/>
      <c r="D31" s="18" t="str">
        <f>"002022-" &amp; $C$10 &amp; "-" &amp; $C$15</f>
        <v>002022--</v>
      </c>
      <c r="E31" s="19"/>
      <c r="F31" s="8"/>
      <c r="G31" s="16" t="str">
        <f>"002121-" &amp; $C$10 &amp; "-" &amp; $C$16</f>
        <v>002121--</v>
      </c>
      <c r="H31" s="17"/>
      <c r="I31" s="18" t="str">
        <f>"002122-" &amp; $C$10 &amp; "-" &amp; $C$16</f>
        <v>002122--</v>
      </c>
      <c r="J31" s="19"/>
    </row>
    <row r="32" spans="1:10" ht="22" customHeight="1" thickBot="1" x14ac:dyDescent="0.4">
      <c r="B32" s="20" t="str">
        <f>"002023-" &amp; $C$10 &amp; "-" &amp; $C$15</f>
        <v>002023--</v>
      </c>
      <c r="C32" s="21"/>
      <c r="D32" s="22" t="str">
        <f>"002024-" &amp; $C$10 &amp; "-" &amp; $C$15</f>
        <v>002024--</v>
      </c>
      <c r="E32" s="23"/>
      <c r="G32" s="20" t="str">
        <f>"002123-" &amp; $C$10 &amp; "-" &amp; $C$16</f>
        <v>002123--</v>
      </c>
      <c r="H32" s="21"/>
      <c r="I32" s="22" t="str">
        <f>"002124-" &amp; $C$10 &amp; "-" &amp; $C$16</f>
        <v>002124--</v>
      </c>
      <c r="J32" s="23"/>
    </row>
    <row r="33" spans="2:10" ht="22" customHeight="1" thickBot="1" x14ac:dyDescent="0.4">
      <c r="G33" s="8"/>
      <c r="H33" s="8"/>
      <c r="I33" s="8"/>
      <c r="J33" s="8"/>
    </row>
    <row r="34" spans="2:10" ht="22" customHeight="1" thickBot="1" x14ac:dyDescent="0.4">
      <c r="B34" s="103" t="str">
        <f>"Build Table: Sensor Coax"</f>
        <v>Build Table: Sensor Coax</v>
      </c>
      <c r="C34" s="104"/>
      <c r="D34" s="104"/>
      <c r="E34" s="105"/>
      <c r="G34" s="106" t="s">
        <v>24</v>
      </c>
      <c r="H34" s="107"/>
    </row>
    <row r="35" spans="2:10" ht="22" customHeight="1" thickBot="1" x14ac:dyDescent="0.4">
      <c r="B35" s="2" t="s">
        <v>12</v>
      </c>
      <c r="C35" s="4" t="s">
        <v>17</v>
      </c>
      <c r="D35" s="4" t="s">
        <v>20</v>
      </c>
      <c r="E35" s="3" t="s">
        <v>23</v>
      </c>
      <c r="G35" s="2" t="s">
        <v>13</v>
      </c>
      <c r="H35" s="3" t="s">
        <v>25</v>
      </c>
    </row>
    <row r="36" spans="2:10" ht="22" customHeight="1" thickBot="1" x14ac:dyDescent="0.4">
      <c r="B36" s="98" t="str">
        <f>"002000-" &amp; $C$13 &amp; "-" &amp; $C$12</f>
        <v>002000--</v>
      </c>
      <c r="C36" s="99" t="str">
        <f>IF($C$13="01","Small",IF($C$13="02","Medium",IF($C$13="03","Large","-")))</f>
        <v>-</v>
      </c>
      <c r="D36" s="24">
        <v>0</v>
      </c>
      <c r="E36" s="25">
        <f>24*F6</f>
        <v>0</v>
      </c>
      <c r="G36" s="57" t="s">
        <v>26</v>
      </c>
      <c r="H36" s="93">
        <f>($D$36*$E$36)</f>
        <v>0</v>
      </c>
    </row>
    <row r="37" spans="2:10" ht="22" customHeight="1" x14ac:dyDescent="0.35">
      <c r="G37" s="16" t="s">
        <v>27</v>
      </c>
      <c r="H37" s="73">
        <f>SUM($C$21:$C$32,$E$21:$E$32)</f>
        <v>0</v>
      </c>
    </row>
    <row r="38" spans="2:10" ht="22" customHeight="1" thickBot="1" x14ac:dyDescent="0.4">
      <c r="B38" s="108" t="s">
        <v>29</v>
      </c>
      <c r="C38" s="109"/>
      <c r="D38" s="109"/>
      <c r="E38" s="109"/>
      <c r="G38" s="16" t="s">
        <v>88</v>
      </c>
      <c r="H38" s="73">
        <f>SUM($H$21:$H$32,$J$21:$J$32)</f>
        <v>0</v>
      </c>
    </row>
    <row r="39" spans="2:10" ht="22" customHeight="1" thickBot="1" x14ac:dyDescent="0.4">
      <c r="B39" s="2" t="s">
        <v>12</v>
      </c>
      <c r="C39" s="26" t="s">
        <v>31</v>
      </c>
      <c r="D39" s="4" t="s">
        <v>21</v>
      </c>
      <c r="E39" s="3" t="s">
        <v>23</v>
      </c>
      <c r="G39" s="11" t="s">
        <v>28</v>
      </c>
      <c r="H39" s="94">
        <f>SUM(H36:H38)</f>
        <v>0</v>
      </c>
    </row>
    <row r="40" spans="2:10" ht="22" customHeight="1" x14ac:dyDescent="0.35">
      <c r="B40" s="10" t="str">
        <f>"002049-" &amp; $C$10 &amp; "-C-00"</f>
        <v>002049--C-00</v>
      </c>
      <c r="C40" s="87" t="s">
        <v>32</v>
      </c>
      <c r="D40" s="27"/>
      <c r="E40" s="72">
        <f>F6</f>
        <v>0</v>
      </c>
    </row>
    <row r="41" spans="2:10" ht="22" customHeight="1" thickBot="1" x14ac:dyDescent="0.4">
      <c r="B41" s="11" t="str">
        <f>"002053-" &amp; $C$10 &amp; "-D-00"</f>
        <v>002053--D-00</v>
      </c>
      <c r="C41" s="88" t="s">
        <v>33</v>
      </c>
      <c r="D41" s="28"/>
      <c r="E41" s="74">
        <f>F6</f>
        <v>0</v>
      </c>
    </row>
    <row r="42" spans="2:10" ht="22" customHeight="1" x14ac:dyDescent="0.35">
      <c r="B42" s="8"/>
      <c r="C42" s="8"/>
      <c r="D42" s="8"/>
      <c r="E42" s="8"/>
    </row>
    <row r="43" spans="2:10" ht="22" customHeight="1" thickBot="1" x14ac:dyDescent="0.4">
      <c r="B43" s="108" t="s">
        <v>30</v>
      </c>
      <c r="C43" s="109"/>
      <c r="D43" s="109"/>
      <c r="E43" s="109"/>
    </row>
    <row r="44" spans="2:10" ht="22" customHeight="1" thickBot="1" x14ac:dyDescent="0.4">
      <c r="B44" s="2" t="s">
        <v>12</v>
      </c>
      <c r="C44" s="26" t="s">
        <v>31</v>
      </c>
      <c r="D44" s="4" t="s">
        <v>21</v>
      </c>
      <c r="E44" s="3" t="s">
        <v>23</v>
      </c>
    </row>
    <row r="45" spans="2:10" ht="22" customHeight="1" thickBot="1" x14ac:dyDescent="0.4">
      <c r="B45" s="89" t="s">
        <v>86</v>
      </c>
      <c r="C45" s="90" t="s">
        <v>34</v>
      </c>
      <c r="D45" s="100"/>
      <c r="E45" s="101">
        <f>F6</f>
        <v>0</v>
      </c>
    </row>
  </sheetData>
  <mergeCells count="18">
    <mergeCell ref="F14:G14"/>
    <mergeCell ref="B2:C2"/>
    <mergeCell ref="G19:J19"/>
    <mergeCell ref="F5:G5"/>
    <mergeCell ref="F6:G6"/>
    <mergeCell ref="F8:G8"/>
    <mergeCell ref="F2:G2"/>
    <mergeCell ref="F3:G3"/>
    <mergeCell ref="F4:G4"/>
    <mergeCell ref="E10:G10"/>
    <mergeCell ref="F11:G11"/>
    <mergeCell ref="F12:G12"/>
    <mergeCell ref="F13:G13"/>
    <mergeCell ref="B34:E34"/>
    <mergeCell ref="G34:H34"/>
    <mergeCell ref="B38:E38"/>
    <mergeCell ref="B43:E43"/>
    <mergeCell ref="B19:E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843F7-0EAE-40CD-8A4B-28D13C9556D0}">
  <dimension ref="A1:H44"/>
  <sheetViews>
    <sheetView zoomScale="85" zoomScaleNormal="85" workbookViewId="0">
      <selection activeCell="H24" sqref="H24"/>
    </sheetView>
  </sheetViews>
  <sheetFormatPr defaultRowHeight="14.5" x14ac:dyDescent="0.35"/>
  <cols>
    <col min="2" max="2" width="26" bestFit="1" customWidth="1"/>
    <col min="3" max="3" width="32.26953125" bestFit="1" customWidth="1"/>
    <col min="4" max="4" width="22.7265625" customWidth="1"/>
    <col min="5" max="8" width="23.7265625" customWidth="1"/>
    <col min="9" max="9" width="20.453125" customWidth="1"/>
    <col min="10" max="12" width="16.81640625" customWidth="1"/>
  </cols>
  <sheetData>
    <row r="1" spans="2:7" ht="15" thickBot="1" x14ac:dyDescent="0.4"/>
    <row r="2" spans="2:7" ht="21.5" thickBot="1" x14ac:dyDescent="0.55000000000000004">
      <c r="B2" s="113" t="s">
        <v>3</v>
      </c>
      <c r="C2" s="114"/>
    </row>
    <row r="3" spans="2:7" s="8" customFormat="1" ht="22" customHeight="1" x14ac:dyDescent="0.35">
      <c r="B3" s="37" t="s">
        <v>4</v>
      </c>
      <c r="C3" s="29"/>
    </row>
    <row r="4" spans="2:7" s="8" customFormat="1" ht="22" customHeight="1" x14ac:dyDescent="0.35">
      <c r="B4" s="38" t="s">
        <v>5</v>
      </c>
      <c r="C4" s="30"/>
    </row>
    <row r="5" spans="2:7" s="8" customFormat="1" ht="22" customHeight="1" thickBot="1" x14ac:dyDescent="0.4">
      <c r="B5" s="38" t="s">
        <v>6</v>
      </c>
      <c r="C5" s="31"/>
    </row>
    <row r="6" spans="2:7" s="8" customFormat="1" ht="22" customHeight="1" thickBot="1" x14ac:dyDescent="0.55000000000000004">
      <c r="B6" s="38" t="s">
        <v>22</v>
      </c>
      <c r="C6" s="32"/>
      <c r="E6" s="51" t="s">
        <v>40</v>
      </c>
      <c r="F6" s="113">
        <f>$C$10</f>
        <v>0</v>
      </c>
      <c r="G6" s="114"/>
    </row>
    <row r="7" spans="2:7" s="8" customFormat="1" ht="22" customHeight="1" x14ac:dyDescent="0.35">
      <c r="B7" s="38" t="s">
        <v>7</v>
      </c>
      <c r="C7" s="33"/>
      <c r="E7" s="52" t="s">
        <v>41</v>
      </c>
      <c r="F7" s="131" t="s">
        <v>44</v>
      </c>
      <c r="G7" s="132"/>
    </row>
    <row r="8" spans="2:7" s="8" customFormat="1" ht="22" customHeight="1" x14ac:dyDescent="0.35">
      <c r="B8" s="38" t="s">
        <v>8</v>
      </c>
      <c r="C8" s="33"/>
      <c r="E8" s="53" t="s">
        <v>45</v>
      </c>
      <c r="F8" s="133"/>
      <c r="G8" s="134"/>
    </row>
    <row r="9" spans="2:7" s="8" customFormat="1" ht="22" customHeight="1" x14ac:dyDescent="0.35">
      <c r="B9" s="38" t="s">
        <v>9</v>
      </c>
      <c r="C9" s="33"/>
      <c r="E9" s="53" t="s">
        <v>46</v>
      </c>
      <c r="F9" s="115"/>
      <c r="G9" s="116"/>
    </row>
    <row r="10" spans="2:7" s="8" customFormat="1" ht="22" customHeight="1" thickBot="1" x14ac:dyDescent="0.4">
      <c r="B10" s="40" t="s">
        <v>10</v>
      </c>
      <c r="C10" s="58"/>
      <c r="E10" s="54" t="s">
        <v>47</v>
      </c>
      <c r="F10" s="117"/>
      <c r="G10" s="118"/>
    </row>
    <row r="11" spans="2:7" s="8" customFormat="1" ht="22" customHeight="1" thickBot="1" x14ac:dyDescent="0.4">
      <c r="B11" s="37" t="s">
        <v>49</v>
      </c>
      <c r="C11" s="59"/>
    </row>
    <row r="12" spans="2:7" s="8" customFormat="1" ht="22" customHeight="1" thickBot="1" x14ac:dyDescent="0.4">
      <c r="B12" s="65" t="s">
        <v>15</v>
      </c>
      <c r="C12" s="66"/>
      <c r="E12" s="48" t="s">
        <v>43</v>
      </c>
      <c r="F12" s="119"/>
      <c r="G12" s="120"/>
    </row>
    <row r="13" spans="2:7" s="8" customFormat="1" ht="22" customHeight="1" x14ac:dyDescent="0.35">
      <c r="B13" s="38" t="s">
        <v>54</v>
      </c>
      <c r="C13" s="34"/>
    </row>
    <row r="14" spans="2:7" s="8" customFormat="1" ht="22" customHeight="1" x14ac:dyDescent="0.35">
      <c r="B14" s="38" t="s">
        <v>48</v>
      </c>
      <c r="C14" s="33"/>
    </row>
    <row r="15" spans="2:7" s="8" customFormat="1" ht="22" customHeight="1" thickBot="1" x14ac:dyDescent="0.4">
      <c r="B15" s="40" t="s">
        <v>14</v>
      </c>
      <c r="C15" s="36"/>
    </row>
    <row r="16" spans="2:7" ht="15.5" x14ac:dyDescent="0.35">
      <c r="B16" s="6"/>
      <c r="C16" s="7"/>
    </row>
    <row r="17" spans="2:8" ht="22" customHeight="1" thickBot="1" x14ac:dyDescent="0.4">
      <c r="E17" s="8"/>
    </row>
    <row r="18" spans="2:8" ht="21.5" thickBot="1" x14ac:dyDescent="0.4">
      <c r="B18" s="103" t="s">
        <v>39</v>
      </c>
      <c r="C18" s="105"/>
      <c r="E18" s="103" t="str">
        <f>"Build Table: Sensors"</f>
        <v>Build Table: Sensors</v>
      </c>
      <c r="F18" s="104"/>
      <c r="G18" s="104"/>
      <c r="H18" s="105"/>
    </row>
    <row r="19" spans="2:8" ht="22" customHeight="1" thickBot="1" x14ac:dyDescent="0.4">
      <c r="B19" s="42" t="s">
        <v>35</v>
      </c>
      <c r="C19" s="41"/>
      <c r="E19" s="2" t="s">
        <v>17</v>
      </c>
      <c r="F19" s="4" t="s">
        <v>12</v>
      </c>
      <c r="G19" s="4" t="s">
        <v>20</v>
      </c>
      <c r="H19" s="3" t="s">
        <v>23</v>
      </c>
    </row>
    <row r="20" spans="2:8" ht="22" customHeight="1" thickBot="1" x14ac:dyDescent="0.4">
      <c r="B20" s="43" t="s">
        <v>38</v>
      </c>
      <c r="C20" s="69"/>
      <c r="E20" s="56" t="str">
        <f>IF($C$13="01","Small",IF($C$13="02","Medium",IF($C$13="03","Large","-")))</f>
        <v>-</v>
      </c>
      <c r="F20" s="24" t="str">
        <f>"008000-" &amp; $C$13 &amp; "-" &amp; $C$14</f>
        <v>008000--</v>
      </c>
      <c r="G20" s="24">
        <v>0</v>
      </c>
      <c r="H20" s="25">
        <f>24*F10</f>
        <v>0</v>
      </c>
    </row>
    <row r="21" spans="2:8" ht="22" customHeight="1" thickBot="1" x14ac:dyDescent="0.4">
      <c r="B21" s="43" t="s">
        <v>36</v>
      </c>
      <c r="C21" s="70"/>
      <c r="E21" s="9"/>
    </row>
    <row r="22" spans="2:8" ht="22" customHeight="1" thickBot="1" x14ac:dyDescent="0.4">
      <c r="B22" s="44" t="s">
        <v>37</v>
      </c>
      <c r="C22" s="71"/>
      <c r="E22" s="103" t="str">
        <f>"Build Table: Coax Taping"</f>
        <v>Build Table: Coax Taping</v>
      </c>
      <c r="F22" s="104"/>
      <c r="G22" s="104"/>
      <c r="H22" s="105"/>
    </row>
    <row r="23" spans="2:8" ht="22" customHeight="1" thickBot="1" x14ac:dyDescent="0.4">
      <c r="B23" s="8"/>
      <c r="C23" s="8"/>
      <c r="D23" s="8"/>
      <c r="E23" s="2" t="s">
        <v>99</v>
      </c>
      <c r="F23" s="135" t="s">
        <v>100</v>
      </c>
      <c r="G23" s="136"/>
      <c r="H23" s="3" t="s">
        <v>101</v>
      </c>
    </row>
    <row r="24" spans="2:8" ht="22" customHeight="1" thickBot="1" x14ac:dyDescent="0.4">
      <c r="B24" s="8"/>
      <c r="C24" s="8"/>
      <c r="D24" s="8"/>
      <c r="E24" s="56"/>
      <c r="F24" s="137"/>
      <c r="G24" s="138"/>
      <c r="H24" s="102"/>
    </row>
    <row r="25" spans="2:8" ht="22" customHeight="1" thickBot="1" x14ac:dyDescent="0.4">
      <c r="B25" s="8"/>
      <c r="C25" s="8"/>
      <c r="D25" s="8"/>
      <c r="E25" s="8"/>
      <c r="F25" s="8"/>
      <c r="G25" s="8"/>
      <c r="H25" s="8"/>
    </row>
    <row r="26" spans="2:8" ht="22" customHeight="1" thickBot="1" x14ac:dyDescent="0.4">
      <c r="B26" s="103" t="str">
        <f>"Build Table : Cable Array 008001-" &amp; $C$10 &amp;  "-" &amp; $C$11 &amp; " To 008012-" &amp; $C$10 &amp;  "-" &amp; $C$11</f>
        <v>Build Table : Cable Array 008001-- To 008012--</v>
      </c>
      <c r="C26" s="104"/>
      <c r="D26" s="104"/>
      <c r="E26" s="104"/>
      <c r="F26" s="104"/>
      <c r="G26" s="104"/>
      <c r="H26" s="105"/>
    </row>
    <row r="27" spans="2:8" ht="31.5" thickBot="1" x14ac:dyDescent="0.4">
      <c r="B27" s="2" t="s">
        <v>50</v>
      </c>
      <c r="C27" s="4" t="s">
        <v>51</v>
      </c>
      <c r="D27" s="4" t="s">
        <v>52</v>
      </c>
      <c r="E27" s="4" t="s">
        <v>18</v>
      </c>
      <c r="F27" s="4" t="s">
        <v>53</v>
      </c>
      <c r="G27" s="4" t="s">
        <v>19</v>
      </c>
      <c r="H27" s="3" t="s">
        <v>53</v>
      </c>
    </row>
    <row r="28" spans="2:8" ht="22" customHeight="1" x14ac:dyDescent="0.35">
      <c r="B28" s="55"/>
      <c r="C28" s="14" t="str">
        <f>"008001-" &amp; $C$10 &amp; "-" &amp; $C$11</f>
        <v>008001--</v>
      </c>
      <c r="D28" s="75" t="s">
        <v>90</v>
      </c>
      <c r="E28" s="14" t="str">
        <f>"002001-" &amp; $C$10 &amp; "-" &amp; $C$15</f>
        <v>002001--</v>
      </c>
      <c r="F28" s="13"/>
      <c r="G28" s="14" t="str">
        <f>"002002-" &amp; $C$10 &amp; "-" &amp; $C$15</f>
        <v>002002--</v>
      </c>
      <c r="H28" s="15"/>
    </row>
    <row r="29" spans="2:8" ht="22" customHeight="1" x14ac:dyDescent="0.35">
      <c r="B29" s="49"/>
      <c r="C29" s="18" t="str">
        <f>"008002-" &amp; $C$10 &amp; "-" &amp; $C$11</f>
        <v>008002--</v>
      </c>
      <c r="D29" s="63" t="s">
        <v>91</v>
      </c>
      <c r="E29" s="18" t="str">
        <f>"002003-" &amp; $C$10 &amp; "-" &amp; $C$15</f>
        <v>002003--</v>
      </c>
      <c r="F29" s="17"/>
      <c r="G29" s="18" t="str">
        <f>"002004-" &amp; $C$10 &amp; "-" &amp; $C$15</f>
        <v>002004--</v>
      </c>
      <c r="H29" s="19"/>
    </row>
    <row r="30" spans="2:8" ht="22" customHeight="1" x14ac:dyDescent="0.35">
      <c r="B30" s="49"/>
      <c r="C30" s="18" t="str">
        <f>"008003-" &amp; $C$10 &amp; "-" &amp; $C$11</f>
        <v>008003--</v>
      </c>
      <c r="D30" s="63" t="s">
        <v>92</v>
      </c>
      <c r="E30" s="18" t="str">
        <f>"002005-" &amp; $C$10 &amp; "-" &amp; $C$15</f>
        <v>002005--</v>
      </c>
      <c r="F30" s="17"/>
      <c r="G30" s="18" t="str">
        <f>"002006-" &amp; $C$10 &amp; "-" &amp; $C$15</f>
        <v>002006--</v>
      </c>
      <c r="H30" s="19"/>
    </row>
    <row r="31" spans="2:8" ht="22" customHeight="1" x14ac:dyDescent="0.35">
      <c r="B31" s="49"/>
      <c r="C31" s="18" t="str">
        <f>"008004-" &amp; $C$10 &amp; "-" &amp; $C$11</f>
        <v>008004--</v>
      </c>
      <c r="D31" s="63" t="s">
        <v>93</v>
      </c>
      <c r="E31" s="18" t="str">
        <f>"002007-" &amp; $C$10 &amp; "-" &amp; $C$15</f>
        <v>002007--</v>
      </c>
      <c r="F31" s="17"/>
      <c r="G31" s="18" t="str">
        <f>"002008-" &amp; $C$10 &amp; "-" &amp; $C$15</f>
        <v>002008--</v>
      </c>
      <c r="H31" s="19"/>
    </row>
    <row r="32" spans="2:8" ht="22" customHeight="1" x14ac:dyDescent="0.35">
      <c r="B32" s="49"/>
      <c r="C32" s="18" t="str">
        <f>"008005-" &amp; $C$10 &amp; "-" &amp; $C$11</f>
        <v>008005--</v>
      </c>
      <c r="D32" s="63" t="s">
        <v>94</v>
      </c>
      <c r="E32" s="18" t="str">
        <f>"002009-" &amp; $C$10 &amp; "-" &amp; $C$15</f>
        <v>002009--</v>
      </c>
      <c r="F32" s="17"/>
      <c r="G32" s="18" t="str">
        <f>"002010-" &amp; $C$10 &amp; "-" &amp; $C$15</f>
        <v>002010--</v>
      </c>
      <c r="H32" s="19"/>
    </row>
    <row r="33" spans="1:8" ht="22" customHeight="1" x14ac:dyDescent="0.35">
      <c r="B33" s="49"/>
      <c r="C33" s="18" t="str">
        <f>"008006-" &amp; $C$10 &amp; "-" &amp; $C$11</f>
        <v>008006--</v>
      </c>
      <c r="D33" s="63" t="s">
        <v>95</v>
      </c>
      <c r="E33" s="18" t="str">
        <f>"002011-" &amp; $C$10 &amp; "-" &amp; $C$15</f>
        <v>002011--</v>
      </c>
      <c r="F33" s="17"/>
      <c r="G33" s="18" t="str">
        <f>"002012-" &amp; $C$10 &amp; "-" &amp; $C$15</f>
        <v>002012--</v>
      </c>
      <c r="H33" s="19"/>
    </row>
    <row r="34" spans="1:8" ht="22" customHeight="1" x14ac:dyDescent="0.35">
      <c r="B34" s="49"/>
      <c r="C34" s="18" t="str">
        <f>"008007-" &amp; $C$10 &amp; "-" &amp; $C$11</f>
        <v>008007--</v>
      </c>
      <c r="D34" s="63" t="s">
        <v>96</v>
      </c>
      <c r="E34" s="18" t="str">
        <f>"002013-" &amp; $C$10 &amp; "-" &amp; $C$15</f>
        <v>002013--</v>
      </c>
      <c r="F34" s="17"/>
      <c r="G34" s="18" t="str">
        <f>"002014-" &amp; $C$10 &amp; "-" &amp; $C$15</f>
        <v>002014--</v>
      </c>
      <c r="H34" s="19"/>
    </row>
    <row r="35" spans="1:8" ht="22" customHeight="1" x14ac:dyDescent="0.35">
      <c r="B35" s="49"/>
      <c r="C35" s="18" t="str">
        <f>"008008-" &amp; $C$10 &amp; "-" &amp; $C$11</f>
        <v>008008--</v>
      </c>
      <c r="D35" s="63" t="s">
        <v>97</v>
      </c>
      <c r="E35" s="18" t="str">
        <f>"002015-" &amp; $C$10 &amp; "-" &amp; $C$15</f>
        <v>002015--</v>
      </c>
      <c r="F35" s="17"/>
      <c r="G35" s="18" t="str">
        <f>"002016-" &amp; $C$10 &amp; "-" &amp; $C$15</f>
        <v>002016--</v>
      </c>
      <c r="H35" s="19"/>
    </row>
    <row r="36" spans="1:8" ht="22" customHeight="1" x14ac:dyDescent="0.35">
      <c r="B36" s="49"/>
      <c r="C36" s="18" t="str">
        <f>"008009-" &amp; $C$10 &amp; "-" &amp; $C$11</f>
        <v>008009--</v>
      </c>
      <c r="D36" s="63" t="s">
        <v>98</v>
      </c>
      <c r="E36" s="18" t="str">
        <f>"002017-" &amp; $C$10 &amp; "-" &amp; $C$15</f>
        <v>002017--</v>
      </c>
      <c r="F36" s="17"/>
      <c r="G36" s="18" t="str">
        <f>"002018-" &amp; $C$10 &amp; "-" &amp; $C$15</f>
        <v>002018--</v>
      </c>
      <c r="H36" s="19"/>
    </row>
    <row r="37" spans="1:8" ht="22" customHeight="1" x14ac:dyDescent="0.35">
      <c r="B37" s="49"/>
      <c r="C37" s="18" t="str">
        <f>"008010-" &amp; $C$10 &amp; "-" &amp; $C$11</f>
        <v>008010--</v>
      </c>
      <c r="D37" s="63" t="s">
        <v>0</v>
      </c>
      <c r="E37" s="18" t="str">
        <f>"002019-" &amp; $C$10 &amp; "-" &amp; $C$15</f>
        <v>002019--</v>
      </c>
      <c r="F37" s="17"/>
      <c r="G37" s="18" t="str">
        <f>"002020-" &amp; $C$10 &amp; "-" &amp; $C$15</f>
        <v>002020--</v>
      </c>
      <c r="H37" s="19"/>
    </row>
    <row r="38" spans="1:8" ht="22" customHeight="1" x14ac:dyDescent="0.35">
      <c r="B38" s="49"/>
      <c r="C38" s="18" t="str">
        <f>"008011-" &amp; $C$10 &amp; "-" &amp; $C$11</f>
        <v>008011--</v>
      </c>
      <c r="D38" s="63" t="s">
        <v>1</v>
      </c>
      <c r="E38" s="18" t="str">
        <f>"002021-" &amp; $C$10 &amp; "-" &amp; $C$15</f>
        <v>002021--</v>
      </c>
      <c r="F38" s="17"/>
      <c r="G38" s="18" t="str">
        <f>"002022-" &amp; $C$10 &amp; "-" &amp; $C$15</f>
        <v>002022--</v>
      </c>
      <c r="H38" s="19"/>
    </row>
    <row r="39" spans="1:8" ht="22" customHeight="1" thickBot="1" x14ac:dyDescent="0.4">
      <c r="B39" s="50"/>
      <c r="C39" s="22" t="str">
        <f>"008012-" &amp; $C$10 &amp; "-" &amp; $C$11</f>
        <v>008012--</v>
      </c>
      <c r="D39" s="64" t="s">
        <v>2</v>
      </c>
      <c r="E39" s="22" t="str">
        <f>"002023-" &amp; $C$10 &amp; "-" &amp; $C$15</f>
        <v>002023--</v>
      </c>
      <c r="F39" s="21"/>
      <c r="G39" s="22" t="str">
        <f>"002024-" &amp; $C$10 &amp; "-" &amp; $C$15</f>
        <v>002024--</v>
      </c>
      <c r="H39" s="23"/>
    </row>
    <row r="40" spans="1:8" ht="22" customHeight="1" x14ac:dyDescent="0.35">
      <c r="E40" s="8"/>
      <c r="F40" s="8"/>
      <c r="G40" s="8"/>
      <c r="H40" s="8"/>
    </row>
    <row r="41" spans="1:8" ht="22" customHeight="1" x14ac:dyDescent="0.5">
      <c r="A41" s="1"/>
    </row>
    <row r="42" spans="1:8" ht="22" customHeight="1" x14ac:dyDescent="0.35"/>
    <row r="43" spans="1:8" ht="22" customHeight="1" x14ac:dyDescent="0.35"/>
    <row r="44" spans="1:8" x14ac:dyDescent="0.35">
      <c r="E44" s="8"/>
    </row>
  </sheetData>
  <mergeCells count="13">
    <mergeCell ref="F12:G12"/>
    <mergeCell ref="B18:C18"/>
    <mergeCell ref="E18:H18"/>
    <mergeCell ref="B26:H26"/>
    <mergeCell ref="B2:C2"/>
    <mergeCell ref="F6:G6"/>
    <mergeCell ref="F7:G7"/>
    <mergeCell ref="F8:G8"/>
    <mergeCell ref="F9:G9"/>
    <mergeCell ref="F10:G10"/>
    <mergeCell ref="E22:H22"/>
    <mergeCell ref="F23:G23"/>
    <mergeCell ref="F24:G24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5031F-2552-4C76-A25D-BE780DEC7FEB}">
  <dimension ref="A1:H39"/>
  <sheetViews>
    <sheetView topLeftCell="A19" zoomScale="70" zoomScaleNormal="70" workbookViewId="0">
      <selection activeCell="G15" sqref="G15"/>
    </sheetView>
  </sheetViews>
  <sheetFormatPr defaultRowHeight="14.5" x14ac:dyDescent="0.35"/>
  <cols>
    <col min="2" max="4" width="26.7265625" customWidth="1"/>
    <col min="5" max="5" width="6.7265625" customWidth="1"/>
    <col min="6" max="7" width="26.7265625" customWidth="1"/>
    <col min="8" max="8" width="36.81640625" bestFit="1" customWidth="1"/>
    <col min="9" max="9" width="32.54296875" bestFit="1" customWidth="1"/>
    <col min="10" max="10" width="16.81640625" customWidth="1"/>
  </cols>
  <sheetData>
    <row r="1" spans="2:8" ht="15" thickBot="1" x14ac:dyDescent="0.4"/>
    <row r="2" spans="2:8" ht="21.5" thickBot="1" x14ac:dyDescent="0.55000000000000004">
      <c r="B2" s="113" t="s">
        <v>3</v>
      </c>
      <c r="C2" s="114"/>
      <c r="F2" s="51" t="s">
        <v>40</v>
      </c>
      <c r="G2" s="113">
        <f>$C$11</f>
        <v>0</v>
      </c>
      <c r="H2" s="114"/>
    </row>
    <row r="3" spans="2:8" s="8" customFormat="1" ht="22" customHeight="1" x14ac:dyDescent="0.35">
      <c r="B3" s="77" t="s">
        <v>4</v>
      </c>
      <c r="C3" s="78"/>
      <c r="F3" s="52" t="s">
        <v>55</v>
      </c>
      <c r="G3" s="131"/>
      <c r="H3" s="132"/>
    </row>
    <row r="4" spans="2:8" s="8" customFormat="1" ht="22" customHeight="1" x14ac:dyDescent="0.35">
      <c r="B4" s="79" t="s">
        <v>5</v>
      </c>
      <c r="C4" s="80"/>
      <c r="F4" s="53" t="s">
        <v>45</v>
      </c>
      <c r="G4" s="133"/>
      <c r="H4" s="134"/>
    </row>
    <row r="5" spans="2:8" s="8" customFormat="1" ht="22" customHeight="1" x14ac:dyDescent="0.35">
      <c r="B5" s="79" t="s">
        <v>6</v>
      </c>
      <c r="C5" s="81"/>
      <c r="F5" s="53" t="s">
        <v>46</v>
      </c>
      <c r="G5" s="115"/>
      <c r="H5" s="116"/>
    </row>
    <row r="6" spans="2:8" s="8" customFormat="1" ht="22" customHeight="1" thickBot="1" x14ac:dyDescent="0.4">
      <c r="B6" s="79" t="s">
        <v>22</v>
      </c>
      <c r="C6" s="82"/>
      <c r="F6" s="54" t="s">
        <v>47</v>
      </c>
      <c r="G6" s="117"/>
      <c r="H6" s="118"/>
    </row>
    <row r="7" spans="2:8" s="8" customFormat="1" ht="22" customHeight="1" thickBot="1" x14ac:dyDescent="0.4">
      <c r="B7" s="79" t="s">
        <v>7</v>
      </c>
      <c r="C7" s="83"/>
    </row>
    <row r="8" spans="2:8" s="8" customFormat="1" ht="22" customHeight="1" thickBot="1" x14ac:dyDescent="0.4">
      <c r="B8" s="79" t="s">
        <v>8</v>
      </c>
      <c r="C8" s="83"/>
      <c r="F8" s="106" t="s">
        <v>17</v>
      </c>
      <c r="G8" s="110"/>
      <c r="H8" s="76"/>
    </row>
    <row r="9" spans="2:8" s="8" customFormat="1" ht="22" customHeight="1" thickBot="1" x14ac:dyDescent="0.4">
      <c r="B9" s="79" t="s">
        <v>9</v>
      </c>
      <c r="C9" s="83"/>
      <c r="G9"/>
      <c r="H9"/>
    </row>
    <row r="10" spans="2:8" s="8" customFormat="1" ht="22" customHeight="1" thickBot="1" x14ac:dyDescent="0.4">
      <c r="B10" s="79" t="s">
        <v>10</v>
      </c>
      <c r="C10" s="84"/>
      <c r="F10" s="106" t="s">
        <v>89</v>
      </c>
      <c r="G10" s="110"/>
      <c r="H10" s="110"/>
    </row>
    <row r="11" spans="2:8" s="8" customFormat="1" ht="22" customHeight="1" thickBot="1" x14ac:dyDescent="0.4">
      <c r="B11" s="85" t="s">
        <v>85</v>
      </c>
      <c r="C11" s="86"/>
      <c r="F11" s="2" t="s">
        <v>58</v>
      </c>
      <c r="G11" s="4" t="s">
        <v>11</v>
      </c>
      <c r="H11" s="3" t="s">
        <v>84</v>
      </c>
    </row>
    <row r="12" spans="2:8" ht="16" thickBot="1" x14ac:dyDescent="0.4">
      <c r="F12" s="55" t="s">
        <v>60</v>
      </c>
      <c r="G12" s="13"/>
      <c r="H12" s="45" t="s">
        <v>90</v>
      </c>
    </row>
    <row r="13" spans="2:8" ht="22" customHeight="1" thickBot="1" x14ac:dyDescent="0.4">
      <c r="B13" s="103" t="s">
        <v>39</v>
      </c>
      <c r="C13" s="105"/>
      <c r="F13" s="49" t="s">
        <v>61</v>
      </c>
      <c r="G13" s="17"/>
      <c r="H13" s="46" t="s">
        <v>90</v>
      </c>
    </row>
    <row r="14" spans="2:8" ht="15.5" x14ac:dyDescent="0.35">
      <c r="B14" s="42" t="s">
        <v>35</v>
      </c>
      <c r="C14" s="41"/>
      <c r="F14" s="49" t="s">
        <v>62</v>
      </c>
      <c r="G14" s="17"/>
      <c r="H14" s="46" t="s">
        <v>91</v>
      </c>
    </row>
    <row r="15" spans="2:8" ht="22" customHeight="1" x14ac:dyDescent="0.35">
      <c r="B15" s="43" t="s">
        <v>38</v>
      </c>
      <c r="C15" s="69"/>
      <c r="F15" s="49" t="s">
        <v>63</v>
      </c>
      <c r="G15" s="17"/>
      <c r="H15" s="46" t="s">
        <v>91</v>
      </c>
    </row>
    <row r="16" spans="2:8" ht="22" customHeight="1" x14ac:dyDescent="0.35">
      <c r="B16" s="43" t="s">
        <v>36</v>
      </c>
      <c r="C16" s="70"/>
      <c r="F16" s="49" t="s">
        <v>64</v>
      </c>
      <c r="G16" s="17"/>
      <c r="H16" s="46" t="s">
        <v>92</v>
      </c>
    </row>
    <row r="17" spans="2:8" ht="22" customHeight="1" thickBot="1" x14ac:dyDescent="0.4">
      <c r="B17" s="44" t="s">
        <v>37</v>
      </c>
      <c r="C17" s="71"/>
      <c r="F17" s="49" t="s">
        <v>65</v>
      </c>
      <c r="G17" s="17"/>
      <c r="H17" s="46" t="s">
        <v>92</v>
      </c>
    </row>
    <row r="18" spans="2:8" ht="22" customHeight="1" thickBot="1" x14ac:dyDescent="0.4">
      <c r="B18" s="8"/>
      <c r="C18" s="8"/>
      <c r="D18" s="8"/>
      <c r="F18" s="49" t="s">
        <v>66</v>
      </c>
      <c r="G18" s="17"/>
      <c r="H18" s="46" t="s">
        <v>93</v>
      </c>
    </row>
    <row r="19" spans="2:8" ht="22" customHeight="1" thickBot="1" x14ac:dyDescent="0.4">
      <c r="B19" s="106" t="str">
        <f>"Install Table: Cable Arrays C01 to C12"</f>
        <v>Install Table: Cable Arrays C01 to C12</v>
      </c>
      <c r="C19" s="110"/>
      <c r="D19" s="107"/>
      <c r="E19" s="8"/>
      <c r="F19" s="49" t="s">
        <v>67</v>
      </c>
      <c r="G19" s="17"/>
      <c r="H19" s="46" t="s">
        <v>93</v>
      </c>
    </row>
    <row r="20" spans="2:8" ht="22" customHeight="1" thickBot="1" x14ac:dyDescent="0.4">
      <c r="B20" s="2" t="s">
        <v>59</v>
      </c>
      <c r="C20" s="4" t="s">
        <v>56</v>
      </c>
      <c r="D20" s="3" t="s">
        <v>57</v>
      </c>
      <c r="E20" s="60"/>
      <c r="F20" s="49" t="s">
        <v>68</v>
      </c>
      <c r="G20" s="17"/>
      <c r="H20" s="46" t="s">
        <v>94</v>
      </c>
    </row>
    <row r="21" spans="2:8" ht="22" customHeight="1" x14ac:dyDescent="0.35">
      <c r="B21" s="55" t="s">
        <v>90</v>
      </c>
      <c r="C21" s="75"/>
      <c r="D21" s="45"/>
      <c r="E21" s="61"/>
      <c r="F21" s="49" t="s">
        <v>69</v>
      </c>
      <c r="G21" s="17"/>
      <c r="H21" s="46" t="s">
        <v>94</v>
      </c>
    </row>
    <row r="22" spans="2:8" ht="22" customHeight="1" x14ac:dyDescent="0.35">
      <c r="B22" s="49" t="s">
        <v>91</v>
      </c>
      <c r="C22" s="63"/>
      <c r="D22" s="46"/>
      <c r="E22" s="62"/>
      <c r="F22" s="49" t="s">
        <v>70</v>
      </c>
      <c r="G22" s="17"/>
      <c r="H22" s="46" t="s">
        <v>95</v>
      </c>
    </row>
    <row r="23" spans="2:8" ht="22" customHeight="1" x14ac:dyDescent="0.35">
      <c r="B23" s="49" t="s">
        <v>92</v>
      </c>
      <c r="C23" s="63"/>
      <c r="D23" s="46"/>
      <c r="E23" s="62"/>
      <c r="F23" s="49" t="s">
        <v>71</v>
      </c>
      <c r="G23" s="17"/>
      <c r="H23" s="46" t="s">
        <v>95</v>
      </c>
    </row>
    <row r="24" spans="2:8" ht="22" customHeight="1" x14ac:dyDescent="0.35">
      <c r="B24" s="49" t="s">
        <v>93</v>
      </c>
      <c r="C24" s="63"/>
      <c r="D24" s="46"/>
      <c r="E24" s="62"/>
      <c r="F24" s="49" t="s">
        <v>72</v>
      </c>
      <c r="G24" s="17"/>
      <c r="H24" s="46" t="s">
        <v>96</v>
      </c>
    </row>
    <row r="25" spans="2:8" ht="22" customHeight="1" x14ac:dyDescent="0.35">
      <c r="B25" s="49" t="s">
        <v>94</v>
      </c>
      <c r="C25" s="63"/>
      <c r="D25" s="46"/>
      <c r="E25" s="62"/>
      <c r="F25" s="49" t="s">
        <v>73</v>
      </c>
      <c r="G25" s="17"/>
      <c r="H25" s="46" t="s">
        <v>96</v>
      </c>
    </row>
    <row r="26" spans="2:8" ht="22" customHeight="1" x14ac:dyDescent="0.35">
      <c r="B26" s="49" t="s">
        <v>95</v>
      </c>
      <c r="C26" s="63"/>
      <c r="D26" s="46"/>
      <c r="E26" s="62"/>
      <c r="F26" s="49" t="s">
        <v>74</v>
      </c>
      <c r="G26" s="17"/>
      <c r="H26" s="46" t="s">
        <v>97</v>
      </c>
    </row>
    <row r="27" spans="2:8" ht="22" customHeight="1" x14ac:dyDescent="0.35">
      <c r="B27" s="49" t="s">
        <v>96</v>
      </c>
      <c r="C27" s="63"/>
      <c r="D27" s="46"/>
      <c r="E27" s="62"/>
      <c r="F27" s="49" t="s">
        <v>75</v>
      </c>
      <c r="G27" s="17"/>
      <c r="H27" s="46" t="s">
        <v>97</v>
      </c>
    </row>
    <row r="28" spans="2:8" ht="22" customHeight="1" x14ac:dyDescent="0.35">
      <c r="B28" s="49" t="s">
        <v>97</v>
      </c>
      <c r="C28" s="63"/>
      <c r="D28" s="46"/>
      <c r="E28" s="62"/>
      <c r="F28" s="49" t="s">
        <v>76</v>
      </c>
      <c r="G28" s="17"/>
      <c r="H28" s="46" t="s">
        <v>98</v>
      </c>
    </row>
    <row r="29" spans="2:8" ht="22" customHeight="1" x14ac:dyDescent="0.35">
      <c r="B29" s="49" t="s">
        <v>98</v>
      </c>
      <c r="C29" s="63"/>
      <c r="D29" s="46"/>
      <c r="E29" s="62"/>
      <c r="F29" s="49" t="s">
        <v>77</v>
      </c>
      <c r="G29" s="17"/>
      <c r="H29" s="46" t="s">
        <v>98</v>
      </c>
    </row>
    <row r="30" spans="2:8" ht="22" customHeight="1" x14ac:dyDescent="0.35">
      <c r="B30" s="49" t="s">
        <v>0</v>
      </c>
      <c r="C30" s="63"/>
      <c r="D30" s="46"/>
      <c r="E30" s="62"/>
      <c r="F30" s="49" t="s">
        <v>78</v>
      </c>
      <c r="G30" s="17"/>
      <c r="H30" s="46" t="s">
        <v>0</v>
      </c>
    </row>
    <row r="31" spans="2:8" ht="22" customHeight="1" x14ac:dyDescent="0.35">
      <c r="B31" s="49" t="s">
        <v>1</v>
      </c>
      <c r="C31" s="63"/>
      <c r="D31" s="46"/>
      <c r="E31" s="62"/>
      <c r="F31" s="49" t="s">
        <v>79</v>
      </c>
      <c r="G31" s="17"/>
      <c r="H31" s="46" t="s">
        <v>0</v>
      </c>
    </row>
    <row r="32" spans="2:8" ht="22" customHeight="1" thickBot="1" x14ac:dyDescent="0.4">
      <c r="B32" s="50" t="s">
        <v>2</v>
      </c>
      <c r="C32" s="64"/>
      <c r="D32" s="47"/>
      <c r="E32" s="62"/>
      <c r="F32" s="49" t="s">
        <v>80</v>
      </c>
      <c r="G32" s="17"/>
      <c r="H32" s="46" t="s">
        <v>1</v>
      </c>
    </row>
    <row r="33" spans="1:8" ht="22" customHeight="1" x14ac:dyDescent="0.35">
      <c r="E33" s="62"/>
      <c r="F33" s="49" t="s">
        <v>81</v>
      </c>
      <c r="G33" s="17"/>
      <c r="H33" s="46" t="s">
        <v>1</v>
      </c>
    </row>
    <row r="34" spans="1:8" ht="22" customHeight="1" x14ac:dyDescent="0.35">
      <c r="F34" s="49" t="s">
        <v>82</v>
      </c>
      <c r="G34" s="17"/>
      <c r="H34" s="46" t="s">
        <v>2</v>
      </c>
    </row>
    <row r="35" spans="1:8" ht="22" customHeight="1" thickBot="1" x14ac:dyDescent="0.55000000000000004">
      <c r="A35" s="1"/>
      <c r="F35" s="50" t="s">
        <v>83</v>
      </c>
      <c r="G35" s="21"/>
      <c r="H35" s="47" t="s">
        <v>2</v>
      </c>
    </row>
    <row r="36" spans="1:8" ht="22" customHeight="1" x14ac:dyDescent="0.35"/>
    <row r="37" spans="1:8" ht="22" customHeight="1" x14ac:dyDescent="0.35"/>
    <row r="38" spans="1:8" ht="22" customHeight="1" x14ac:dyDescent="0.35"/>
    <row r="39" spans="1:8" ht="22" customHeight="1" x14ac:dyDescent="0.35"/>
  </sheetData>
  <mergeCells count="10">
    <mergeCell ref="B19:D19"/>
    <mergeCell ref="F8:G8"/>
    <mergeCell ref="B13:C13"/>
    <mergeCell ref="F10:H10"/>
    <mergeCell ref="G6:H6"/>
    <mergeCell ref="B2:C2"/>
    <mergeCell ref="G2:H2"/>
    <mergeCell ref="G3:H3"/>
    <mergeCell ref="G4:H4"/>
    <mergeCell ref="G5:H5"/>
  </mergeCells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</vt:lpstr>
      <vt:lpstr>Acrylon</vt:lpstr>
      <vt:lpstr>Install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Nemez</dc:creator>
  <cp:lastModifiedBy>Reid McCallum</cp:lastModifiedBy>
  <dcterms:created xsi:type="dcterms:W3CDTF">2019-04-15T17:56:59Z</dcterms:created>
  <dcterms:modified xsi:type="dcterms:W3CDTF">2020-08-18T23:40:37Z</dcterms:modified>
</cp:coreProperties>
</file>