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-108" yWindow="-108" windowWidth="23256" windowHeight="12456" firstSheet="2" activeTab="12"/>
  </bookViews>
  <sheets>
    <sheet name="Data" sheetId="1" r:id="rId1"/>
    <sheet name="Questions" sheetId="2" r:id="rId2"/>
    <sheet name="Arithmetics" sheetId="3" r:id="rId3"/>
    <sheet name="percent" sheetId="4" r:id="rId4"/>
    <sheet name="percentiles" sheetId="5" r:id="rId5"/>
    <sheet name="percentiles (2)" sheetId="6" r:id="rId6"/>
    <sheet name="OR" sheetId="7" r:id="rId7"/>
    <sheet name="countif" sheetId="8" r:id="rId8"/>
    <sheet name="moments" sheetId="10" r:id="rId9"/>
    <sheet name="pivot table 1" sheetId="12" r:id="rId10"/>
    <sheet name="Sheet1" sheetId="14" r:id="rId11"/>
    <sheet name="pivot table" sheetId="11" r:id="rId12"/>
    <sheet name="corr&amp; cov" sheetId="13" r:id="rId13"/>
  </sheets>
  <definedNames>
    <definedName name="_xlchart.v1.0" hidden="1">moments!$J$1</definedName>
    <definedName name="_xlchart.v1.1" hidden="1">moments!$J$2:$J$1001</definedName>
  </definedNames>
  <calcPr calcId="124519"/>
  <pivotCaches>
    <pivotCache cacheId="0" r:id="rId14"/>
    <pivotCache cacheId="1" r:id="rId15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3"/>
  <c r="C3"/>
  <c r="C4"/>
  <c r="C5"/>
  <c r="C6"/>
  <c r="C7"/>
  <c r="C8"/>
  <c r="C9"/>
  <c r="C10"/>
  <c r="C2"/>
  <c r="B13"/>
  <c r="F7"/>
  <c r="G21" i="3"/>
  <c r="G20"/>
  <c r="D20"/>
  <c r="D12"/>
  <c r="D11"/>
  <c r="C16"/>
  <c r="A16"/>
  <c r="D3"/>
  <c r="F6" i="13" l="1"/>
  <c r="F5"/>
  <c r="AF13" i="10"/>
  <c r="AF12"/>
  <c r="AH10"/>
  <c r="AF10"/>
  <c r="AH9"/>
  <c r="AF9"/>
  <c r="AF11" s="1"/>
  <c r="AH7" a="1"/>
  <c r="AH7" s="1"/>
  <c r="AF8"/>
  <c r="AF7"/>
  <c r="AC8"/>
  <c r="AC7"/>
  <c r="AA7" a="1"/>
  <c r="AA7" s="1"/>
  <c r="Z7" a="1"/>
  <c r="Z7" s="1"/>
  <c r="Y7" a="1"/>
  <c r="Y7" s="1"/>
  <c r="X7" a="1"/>
  <c r="X7" s="1"/>
  <c r="W7" a="1"/>
  <c r="W7" s="1"/>
  <c r="V7" a="1"/>
  <c r="V7" s="1"/>
  <c r="U7" a="1"/>
  <c r="U7" s="1"/>
  <c r="T6" a="1"/>
  <c r="T6" s="1"/>
  <c r="Q1001"/>
  <c r="P1001"/>
  <c r="O1001"/>
  <c r="Q1000"/>
  <c r="P1000"/>
  <c r="O1000"/>
  <c r="Q999"/>
  <c r="P999"/>
  <c r="O999"/>
  <c r="Q998"/>
  <c r="P998"/>
  <c r="O998"/>
  <c r="Q997"/>
  <c r="P997"/>
  <c r="O997"/>
  <c r="Q996"/>
  <c r="P996"/>
  <c r="O996"/>
  <c r="Q995"/>
  <c r="P995"/>
  <c r="O995"/>
  <c r="Q994"/>
  <c r="P994"/>
  <c r="O994"/>
  <c r="Q993"/>
  <c r="P993"/>
  <c r="O993"/>
  <c r="Q992"/>
  <c r="P992"/>
  <c r="O992"/>
  <c r="Q991"/>
  <c r="P991"/>
  <c r="O991"/>
  <c r="Q990"/>
  <c r="P990"/>
  <c r="O990"/>
  <c r="Q989"/>
  <c r="P989"/>
  <c r="O989"/>
  <c r="Q988"/>
  <c r="P988"/>
  <c r="O988"/>
  <c r="Q987"/>
  <c r="P987"/>
  <c r="O987"/>
  <c r="Q986"/>
  <c r="P986"/>
  <c r="O986"/>
  <c r="Q985"/>
  <c r="P985"/>
  <c r="O985"/>
  <c r="Q984"/>
  <c r="P984"/>
  <c r="O984"/>
  <c r="Q983"/>
  <c r="P983"/>
  <c r="O983"/>
  <c r="Q982"/>
  <c r="P982"/>
  <c r="O982"/>
  <c r="Q981"/>
  <c r="P981"/>
  <c r="O981"/>
  <c r="Q980"/>
  <c r="P980"/>
  <c r="O980"/>
  <c r="Q979"/>
  <c r="P979"/>
  <c r="O979"/>
  <c r="Q978"/>
  <c r="P978"/>
  <c r="O978"/>
  <c r="Q977"/>
  <c r="P977"/>
  <c r="O977"/>
  <c r="Q976"/>
  <c r="P976"/>
  <c r="O976"/>
  <c r="Q975"/>
  <c r="P975"/>
  <c r="O975"/>
  <c r="Q974"/>
  <c r="P974"/>
  <c r="O974"/>
  <c r="Q973"/>
  <c r="P973"/>
  <c r="O973"/>
  <c r="Q972"/>
  <c r="P972"/>
  <c r="O972"/>
  <c r="Q971"/>
  <c r="P971"/>
  <c r="O971"/>
  <c r="Q970"/>
  <c r="P970"/>
  <c r="O970"/>
  <c r="Q969"/>
  <c r="P969"/>
  <c r="O969"/>
  <c r="Q968"/>
  <c r="P968"/>
  <c r="O968"/>
  <c r="Q967"/>
  <c r="P967"/>
  <c r="O967"/>
  <c r="Q966"/>
  <c r="P966"/>
  <c r="O966"/>
  <c r="Q965"/>
  <c r="P965"/>
  <c r="O965"/>
  <c r="Q964"/>
  <c r="P964"/>
  <c r="O964"/>
  <c r="Q963"/>
  <c r="P963"/>
  <c r="O963"/>
  <c r="Q962"/>
  <c r="P962"/>
  <c r="O962"/>
  <c r="Q961"/>
  <c r="P961"/>
  <c r="O961"/>
  <c r="Q960"/>
  <c r="P960"/>
  <c r="O960"/>
  <c r="Q959"/>
  <c r="P959"/>
  <c r="O959"/>
  <c r="Q958"/>
  <c r="P958"/>
  <c r="O958"/>
  <c r="Q957"/>
  <c r="P957"/>
  <c r="O957"/>
  <c r="Q956"/>
  <c r="P956"/>
  <c r="O956"/>
  <c r="Q955"/>
  <c r="P955"/>
  <c r="O955"/>
  <c r="Q954"/>
  <c r="P954"/>
  <c r="O954"/>
  <c r="Q953"/>
  <c r="P953"/>
  <c r="O953"/>
  <c r="Q952"/>
  <c r="P952"/>
  <c r="O952"/>
  <c r="Q951"/>
  <c r="P951"/>
  <c r="O951"/>
  <c r="Q950"/>
  <c r="P950"/>
  <c r="O950"/>
  <c r="Q949"/>
  <c r="P949"/>
  <c r="O949"/>
  <c r="Q948"/>
  <c r="P948"/>
  <c r="O948"/>
  <c r="Q947"/>
  <c r="P947"/>
  <c r="O947"/>
  <c r="Q946"/>
  <c r="P946"/>
  <c r="O946"/>
  <c r="Q945"/>
  <c r="P945"/>
  <c r="O945"/>
  <c r="Q944"/>
  <c r="P944"/>
  <c r="O944"/>
  <c r="Q943"/>
  <c r="P943"/>
  <c r="O943"/>
  <c r="Q942"/>
  <c r="P942"/>
  <c r="O942"/>
  <c r="Q941"/>
  <c r="P941"/>
  <c r="O941"/>
  <c r="Q940"/>
  <c r="P940"/>
  <c r="O940"/>
  <c r="Q939"/>
  <c r="P939"/>
  <c r="O939"/>
  <c r="Q938"/>
  <c r="P938"/>
  <c r="O938"/>
  <c r="Q937"/>
  <c r="P937"/>
  <c r="O937"/>
  <c r="Q936"/>
  <c r="P936"/>
  <c r="O936"/>
  <c r="Q935"/>
  <c r="P935"/>
  <c r="O935"/>
  <c r="Q934"/>
  <c r="P934"/>
  <c r="O934"/>
  <c r="Q933"/>
  <c r="P933"/>
  <c r="O933"/>
  <c r="Q932"/>
  <c r="P932"/>
  <c r="O932"/>
  <c r="Q931"/>
  <c r="P931"/>
  <c r="O931"/>
  <c r="Q930"/>
  <c r="P930"/>
  <c r="O930"/>
  <c r="Q929"/>
  <c r="P929"/>
  <c r="O929"/>
  <c r="Q928"/>
  <c r="P928"/>
  <c r="O928"/>
  <c r="Q927"/>
  <c r="P927"/>
  <c r="O927"/>
  <c r="Q926"/>
  <c r="P926"/>
  <c r="O926"/>
  <c r="Q925"/>
  <c r="P925"/>
  <c r="O925"/>
  <c r="Q924"/>
  <c r="P924"/>
  <c r="O924"/>
  <c r="Q923"/>
  <c r="P923"/>
  <c r="O923"/>
  <c r="Q922"/>
  <c r="P922"/>
  <c r="O922"/>
  <c r="Q921"/>
  <c r="P921"/>
  <c r="O921"/>
  <c r="Q920"/>
  <c r="P920"/>
  <c r="O920"/>
  <c r="Q919"/>
  <c r="P919"/>
  <c r="O919"/>
  <c r="Q918"/>
  <c r="P918"/>
  <c r="O918"/>
  <c r="Q917"/>
  <c r="P917"/>
  <c r="O917"/>
  <c r="Q916"/>
  <c r="P916"/>
  <c r="O916"/>
  <c r="Q915"/>
  <c r="P915"/>
  <c r="O915"/>
  <c r="Q914"/>
  <c r="P914"/>
  <c r="O914"/>
  <c r="Q913"/>
  <c r="P913"/>
  <c r="O913"/>
  <c r="Q912"/>
  <c r="P912"/>
  <c r="O912"/>
  <c r="Q911"/>
  <c r="P911"/>
  <c r="O911"/>
  <c r="Q910"/>
  <c r="P910"/>
  <c r="O910"/>
  <c r="Q909"/>
  <c r="P909"/>
  <c r="O909"/>
  <c r="Q908"/>
  <c r="P908"/>
  <c r="O908"/>
  <c r="Q907"/>
  <c r="P907"/>
  <c r="O907"/>
  <c r="Q906"/>
  <c r="P906"/>
  <c r="O906"/>
  <c r="Q905"/>
  <c r="P905"/>
  <c r="O905"/>
  <c r="Q904"/>
  <c r="P904"/>
  <c r="O904"/>
  <c r="Q903"/>
  <c r="P903"/>
  <c r="O903"/>
  <c r="Q902"/>
  <c r="P902"/>
  <c r="O902"/>
  <c r="Q901"/>
  <c r="P901"/>
  <c r="O901"/>
  <c r="Q900"/>
  <c r="P900"/>
  <c r="O900"/>
  <c r="Q899"/>
  <c r="P899"/>
  <c r="O899"/>
  <c r="Q898"/>
  <c r="P898"/>
  <c r="O898"/>
  <c r="Q897"/>
  <c r="P897"/>
  <c r="O897"/>
  <c r="Q896"/>
  <c r="P896"/>
  <c r="O896"/>
  <c r="Q895"/>
  <c r="P895"/>
  <c r="O895"/>
  <c r="Q894"/>
  <c r="P894"/>
  <c r="O894"/>
  <c r="Q893"/>
  <c r="P893"/>
  <c r="O893"/>
  <c r="Q892"/>
  <c r="P892"/>
  <c r="O892"/>
  <c r="Q891"/>
  <c r="P891"/>
  <c r="O891"/>
  <c r="Q890"/>
  <c r="P890"/>
  <c r="O890"/>
  <c r="Q889"/>
  <c r="P889"/>
  <c r="O889"/>
  <c r="Q888"/>
  <c r="P888"/>
  <c r="O888"/>
  <c r="Q887"/>
  <c r="P887"/>
  <c r="O887"/>
  <c r="Q886"/>
  <c r="P886"/>
  <c r="O886"/>
  <c r="Q885"/>
  <c r="P885"/>
  <c r="O885"/>
  <c r="Q884"/>
  <c r="P884"/>
  <c r="O884"/>
  <c r="Q883"/>
  <c r="P883"/>
  <c r="O883"/>
  <c r="Q882"/>
  <c r="P882"/>
  <c r="O882"/>
  <c r="Q881"/>
  <c r="P881"/>
  <c r="O881"/>
  <c r="Q880"/>
  <c r="P880"/>
  <c r="O880"/>
  <c r="Q879"/>
  <c r="P879"/>
  <c r="O879"/>
  <c r="Q878"/>
  <c r="P878"/>
  <c r="O878"/>
  <c r="Q877"/>
  <c r="P877"/>
  <c r="O877"/>
  <c r="Q876"/>
  <c r="P876"/>
  <c r="O876"/>
  <c r="Q875"/>
  <c r="P875"/>
  <c r="O875"/>
  <c r="Q874"/>
  <c r="P874"/>
  <c r="O874"/>
  <c r="Q873"/>
  <c r="P873"/>
  <c r="O873"/>
  <c r="Q872"/>
  <c r="P872"/>
  <c r="O872"/>
  <c r="Q871"/>
  <c r="P871"/>
  <c r="O871"/>
  <c r="Q870"/>
  <c r="P870"/>
  <c r="O870"/>
  <c r="Q869"/>
  <c r="P869"/>
  <c r="O869"/>
  <c r="Q868"/>
  <c r="P868"/>
  <c r="O868"/>
  <c r="Q867"/>
  <c r="P867"/>
  <c r="O867"/>
  <c r="Q866"/>
  <c r="P866"/>
  <c r="O866"/>
  <c r="Q865"/>
  <c r="P865"/>
  <c r="O865"/>
  <c r="Q864"/>
  <c r="P864"/>
  <c r="O864"/>
  <c r="Q863"/>
  <c r="P863"/>
  <c r="O863"/>
  <c r="Q862"/>
  <c r="P862"/>
  <c r="O862"/>
  <c r="Q861"/>
  <c r="P861"/>
  <c r="O861"/>
  <c r="Q860"/>
  <c r="P860"/>
  <c r="O860"/>
  <c r="Q859"/>
  <c r="P859"/>
  <c r="O859"/>
  <c r="Q858"/>
  <c r="P858"/>
  <c r="O858"/>
  <c r="Q857"/>
  <c r="P857"/>
  <c r="O857"/>
  <c r="Q856"/>
  <c r="P856"/>
  <c r="O856"/>
  <c r="Q855"/>
  <c r="P855"/>
  <c r="O855"/>
  <c r="Q854"/>
  <c r="P854"/>
  <c r="O854"/>
  <c r="Q853"/>
  <c r="P853"/>
  <c r="O853"/>
  <c r="Q852"/>
  <c r="P852"/>
  <c r="O852"/>
  <c r="Q851"/>
  <c r="P851"/>
  <c r="O851"/>
  <c r="Q850"/>
  <c r="P850"/>
  <c r="O850"/>
  <c r="Q849"/>
  <c r="P849"/>
  <c r="O849"/>
  <c r="Q848"/>
  <c r="P848"/>
  <c r="O848"/>
  <c r="Q847"/>
  <c r="P847"/>
  <c r="O847"/>
  <c r="Q846"/>
  <c r="P846"/>
  <c r="O846"/>
  <c r="Q845"/>
  <c r="P845"/>
  <c r="O845"/>
  <c r="Q844"/>
  <c r="P844"/>
  <c r="O844"/>
  <c r="Q843"/>
  <c r="P843"/>
  <c r="O843"/>
  <c r="Q842"/>
  <c r="P842"/>
  <c r="O842"/>
  <c r="Q841"/>
  <c r="P841"/>
  <c r="O841"/>
  <c r="Q840"/>
  <c r="P840"/>
  <c r="O840"/>
  <c r="Q839"/>
  <c r="P839"/>
  <c r="O839"/>
  <c r="Q838"/>
  <c r="P838"/>
  <c r="O838"/>
  <c r="Q837"/>
  <c r="P837"/>
  <c r="O837"/>
  <c r="Q836"/>
  <c r="P836"/>
  <c r="O836"/>
  <c r="Q835"/>
  <c r="P835"/>
  <c r="O835"/>
  <c r="Q834"/>
  <c r="P834"/>
  <c r="O834"/>
  <c r="Q833"/>
  <c r="P833"/>
  <c r="O833"/>
  <c r="Q832"/>
  <c r="P832"/>
  <c r="O832"/>
  <c r="Q831"/>
  <c r="P831"/>
  <c r="O831"/>
  <c r="Q830"/>
  <c r="P830"/>
  <c r="O830"/>
  <c r="Q829"/>
  <c r="P829"/>
  <c r="O829"/>
  <c r="Q828"/>
  <c r="P828"/>
  <c r="O828"/>
  <c r="Q827"/>
  <c r="P827"/>
  <c r="O827"/>
  <c r="Q826"/>
  <c r="P826"/>
  <c r="O826"/>
  <c r="Q825"/>
  <c r="P825"/>
  <c r="O825"/>
  <c r="Q824"/>
  <c r="P824"/>
  <c r="O824"/>
  <c r="Q823"/>
  <c r="P823"/>
  <c r="O823"/>
  <c r="Q822"/>
  <c r="P822"/>
  <c r="O822"/>
  <c r="Q821"/>
  <c r="P821"/>
  <c r="O821"/>
  <c r="Q820"/>
  <c r="P820"/>
  <c r="O820"/>
  <c r="Q819"/>
  <c r="P819"/>
  <c r="O819"/>
  <c r="Q818"/>
  <c r="P818"/>
  <c r="O818"/>
  <c r="Q817"/>
  <c r="P817"/>
  <c r="O817"/>
  <c r="Q816"/>
  <c r="P816"/>
  <c r="O816"/>
  <c r="Q815"/>
  <c r="P815"/>
  <c r="O815"/>
  <c r="Q814"/>
  <c r="P814"/>
  <c r="O814"/>
  <c r="Q813"/>
  <c r="P813"/>
  <c r="O813"/>
  <c r="Q812"/>
  <c r="P812"/>
  <c r="O812"/>
  <c r="Q811"/>
  <c r="P811"/>
  <c r="O811"/>
  <c r="Q810"/>
  <c r="P810"/>
  <c r="O810"/>
  <c r="Q809"/>
  <c r="P809"/>
  <c r="O809"/>
  <c r="Q808"/>
  <c r="P808"/>
  <c r="O808"/>
  <c r="Q807"/>
  <c r="P807"/>
  <c r="O807"/>
  <c r="Q806"/>
  <c r="P806"/>
  <c r="O806"/>
  <c r="Q805"/>
  <c r="P805"/>
  <c r="O805"/>
  <c r="Q804"/>
  <c r="P804"/>
  <c r="O804"/>
  <c r="Q803"/>
  <c r="P803"/>
  <c r="O803"/>
  <c r="Q802"/>
  <c r="P802"/>
  <c r="O802"/>
  <c r="Q801"/>
  <c r="P801"/>
  <c r="O801"/>
  <c r="Q800"/>
  <c r="P800"/>
  <c r="O800"/>
  <c r="Q799"/>
  <c r="P799"/>
  <c r="O799"/>
  <c r="Q798"/>
  <c r="P798"/>
  <c r="O798"/>
  <c r="Q797"/>
  <c r="P797"/>
  <c r="O797"/>
  <c r="Q796"/>
  <c r="P796"/>
  <c r="O796"/>
  <c r="Q795"/>
  <c r="P795"/>
  <c r="O795"/>
  <c r="Q794"/>
  <c r="P794"/>
  <c r="O794"/>
  <c r="Q793"/>
  <c r="P793"/>
  <c r="O793"/>
  <c r="Q792"/>
  <c r="P792"/>
  <c r="O792"/>
  <c r="Q791"/>
  <c r="P791"/>
  <c r="O791"/>
  <c r="Q790"/>
  <c r="P790"/>
  <c r="O790"/>
  <c r="Q789"/>
  <c r="P789"/>
  <c r="O789"/>
  <c r="Q788"/>
  <c r="P788"/>
  <c r="O788"/>
  <c r="Q787"/>
  <c r="P787"/>
  <c r="O787"/>
  <c r="Q786"/>
  <c r="P786"/>
  <c r="O786"/>
  <c r="Q785"/>
  <c r="P785"/>
  <c r="O785"/>
  <c r="Q784"/>
  <c r="P784"/>
  <c r="O784"/>
  <c r="Q783"/>
  <c r="P783"/>
  <c r="O783"/>
  <c r="Q782"/>
  <c r="P782"/>
  <c r="O782"/>
  <c r="Q781"/>
  <c r="P781"/>
  <c r="O781"/>
  <c r="Q780"/>
  <c r="P780"/>
  <c r="O780"/>
  <c r="Q779"/>
  <c r="P779"/>
  <c r="O779"/>
  <c r="Q778"/>
  <c r="P778"/>
  <c r="O778"/>
  <c r="Q777"/>
  <c r="P777"/>
  <c r="O777"/>
  <c r="Q776"/>
  <c r="P776"/>
  <c r="O776"/>
  <c r="Q775"/>
  <c r="P775"/>
  <c r="O775"/>
  <c r="Q774"/>
  <c r="P774"/>
  <c r="O774"/>
  <c r="Q773"/>
  <c r="P773"/>
  <c r="O773"/>
  <c r="Q772"/>
  <c r="P772"/>
  <c r="O772"/>
  <c r="Q771"/>
  <c r="P771"/>
  <c r="O771"/>
  <c r="Q770"/>
  <c r="P770"/>
  <c r="O770"/>
  <c r="Q769"/>
  <c r="P769"/>
  <c r="O769"/>
  <c r="Q768"/>
  <c r="P768"/>
  <c r="O768"/>
  <c r="Q767"/>
  <c r="P767"/>
  <c r="O767"/>
  <c r="Q766"/>
  <c r="P766"/>
  <c r="O766"/>
  <c r="Q765"/>
  <c r="P765"/>
  <c r="O765"/>
  <c r="Q764"/>
  <c r="P764"/>
  <c r="O764"/>
  <c r="Q763"/>
  <c r="P763"/>
  <c r="O763"/>
  <c r="Q762"/>
  <c r="P762"/>
  <c r="O762"/>
  <c r="Q761"/>
  <c r="P761"/>
  <c r="O761"/>
  <c r="Q760"/>
  <c r="P760"/>
  <c r="O760"/>
  <c r="Q759"/>
  <c r="P759"/>
  <c r="O759"/>
  <c r="Q758"/>
  <c r="P758"/>
  <c r="O758"/>
  <c r="Q757"/>
  <c r="P757"/>
  <c r="O757"/>
  <c r="Q756"/>
  <c r="P756"/>
  <c r="O756"/>
  <c r="Q755"/>
  <c r="P755"/>
  <c r="O755"/>
  <c r="Q754"/>
  <c r="P754"/>
  <c r="O754"/>
  <c r="Q753"/>
  <c r="P753"/>
  <c r="O753"/>
  <c r="Q752"/>
  <c r="P752"/>
  <c r="O752"/>
  <c r="Q751"/>
  <c r="P751"/>
  <c r="O751"/>
  <c r="Q750"/>
  <c r="P750"/>
  <c r="O750"/>
  <c r="Q749"/>
  <c r="P749"/>
  <c r="O749"/>
  <c r="Q748"/>
  <c r="P748"/>
  <c r="O748"/>
  <c r="Q747"/>
  <c r="P747"/>
  <c r="O747"/>
  <c r="Q746"/>
  <c r="P746"/>
  <c r="O746"/>
  <c r="Q745"/>
  <c r="P745"/>
  <c r="O745"/>
  <c r="Q744"/>
  <c r="P744"/>
  <c r="O744"/>
  <c r="Q743"/>
  <c r="P743"/>
  <c r="O743"/>
  <c r="Q742"/>
  <c r="P742"/>
  <c r="O742"/>
  <c r="Q741"/>
  <c r="P741"/>
  <c r="O741"/>
  <c r="Q740"/>
  <c r="P740"/>
  <c r="O740"/>
  <c r="Q739"/>
  <c r="P739"/>
  <c r="O739"/>
  <c r="Q738"/>
  <c r="P738"/>
  <c r="O738"/>
  <c r="Q737"/>
  <c r="P737"/>
  <c r="O737"/>
  <c r="Q736"/>
  <c r="P736"/>
  <c r="O736"/>
  <c r="Q735"/>
  <c r="P735"/>
  <c r="O735"/>
  <c r="Q734"/>
  <c r="P734"/>
  <c r="O734"/>
  <c r="Q733"/>
  <c r="P733"/>
  <c r="O733"/>
  <c r="Q732"/>
  <c r="P732"/>
  <c r="O732"/>
  <c r="Q731"/>
  <c r="P731"/>
  <c r="O731"/>
  <c r="Q730"/>
  <c r="P730"/>
  <c r="O730"/>
  <c r="Q729"/>
  <c r="P729"/>
  <c r="O729"/>
  <c r="Q728"/>
  <c r="P728"/>
  <c r="O728"/>
  <c r="Q727"/>
  <c r="P727"/>
  <c r="O727"/>
  <c r="Q726"/>
  <c r="P726"/>
  <c r="O726"/>
  <c r="Q725"/>
  <c r="P725"/>
  <c r="O725"/>
  <c r="Q724"/>
  <c r="P724"/>
  <c r="O724"/>
  <c r="Q723"/>
  <c r="P723"/>
  <c r="O723"/>
  <c r="Q722"/>
  <c r="P722"/>
  <c r="O722"/>
  <c r="Q721"/>
  <c r="P721"/>
  <c r="O721"/>
  <c r="Q720"/>
  <c r="P720"/>
  <c r="O720"/>
  <c r="Q719"/>
  <c r="P719"/>
  <c r="O719"/>
  <c r="Q718"/>
  <c r="P718"/>
  <c r="O718"/>
  <c r="Q717"/>
  <c r="P717"/>
  <c r="O717"/>
  <c r="Q716"/>
  <c r="P716"/>
  <c r="O716"/>
  <c r="Q715"/>
  <c r="P715"/>
  <c r="O715"/>
  <c r="Q714"/>
  <c r="P714"/>
  <c r="O714"/>
  <c r="Q713"/>
  <c r="P713"/>
  <c r="O713"/>
  <c r="Q712"/>
  <c r="P712"/>
  <c r="O712"/>
  <c r="Q711"/>
  <c r="P711"/>
  <c r="O711"/>
  <c r="Q710"/>
  <c r="P710"/>
  <c r="O710"/>
  <c r="Q709"/>
  <c r="P709"/>
  <c r="O709"/>
  <c r="Q708"/>
  <c r="P708"/>
  <c r="O708"/>
  <c r="Q707"/>
  <c r="P707"/>
  <c r="O707"/>
  <c r="Q706"/>
  <c r="P706"/>
  <c r="O706"/>
  <c r="Q705"/>
  <c r="P705"/>
  <c r="O705"/>
  <c r="Q704"/>
  <c r="P704"/>
  <c r="O704"/>
  <c r="Q703"/>
  <c r="P703"/>
  <c r="O703"/>
  <c r="Q702"/>
  <c r="P702"/>
  <c r="O702"/>
  <c r="Q701"/>
  <c r="P701"/>
  <c r="O701"/>
  <c r="Q700"/>
  <c r="P700"/>
  <c r="O700"/>
  <c r="Q699"/>
  <c r="P699"/>
  <c r="O699"/>
  <c r="Q698"/>
  <c r="P698"/>
  <c r="O698"/>
  <c r="Q697"/>
  <c r="P697"/>
  <c r="O697"/>
  <c r="Q696"/>
  <c r="P696"/>
  <c r="O696"/>
  <c r="Q695"/>
  <c r="P695"/>
  <c r="O695"/>
  <c r="Q694"/>
  <c r="P694"/>
  <c r="O694"/>
  <c r="Q693"/>
  <c r="P693"/>
  <c r="O693"/>
  <c r="Q692"/>
  <c r="P692"/>
  <c r="O692"/>
  <c r="Q691"/>
  <c r="P691"/>
  <c r="O691"/>
  <c r="Q690"/>
  <c r="P690"/>
  <c r="O690"/>
  <c r="Q689"/>
  <c r="P689"/>
  <c r="O689"/>
  <c r="Q688"/>
  <c r="P688"/>
  <c r="O688"/>
  <c r="Q687"/>
  <c r="P687"/>
  <c r="O687"/>
  <c r="Q686"/>
  <c r="P686"/>
  <c r="O686"/>
  <c r="Q685"/>
  <c r="P685"/>
  <c r="O685"/>
  <c r="Q684"/>
  <c r="P684"/>
  <c r="O684"/>
  <c r="Q683"/>
  <c r="P683"/>
  <c r="O683"/>
  <c r="Q682"/>
  <c r="P682"/>
  <c r="O682"/>
  <c r="Q681"/>
  <c r="P681"/>
  <c r="O681"/>
  <c r="Q680"/>
  <c r="P680"/>
  <c r="O680"/>
  <c r="Q679"/>
  <c r="P679"/>
  <c r="O679"/>
  <c r="Q678"/>
  <c r="P678"/>
  <c r="O678"/>
  <c r="Q677"/>
  <c r="P677"/>
  <c r="O677"/>
  <c r="Q676"/>
  <c r="P676"/>
  <c r="O676"/>
  <c r="Q675"/>
  <c r="P675"/>
  <c r="O675"/>
  <c r="Q674"/>
  <c r="P674"/>
  <c r="O674"/>
  <c r="Q673"/>
  <c r="P673"/>
  <c r="O673"/>
  <c r="Q672"/>
  <c r="P672"/>
  <c r="O672"/>
  <c r="Q671"/>
  <c r="P671"/>
  <c r="O671"/>
  <c r="Q670"/>
  <c r="P670"/>
  <c r="O670"/>
  <c r="Q669"/>
  <c r="P669"/>
  <c r="O669"/>
  <c r="Q668"/>
  <c r="P668"/>
  <c r="O668"/>
  <c r="Q667"/>
  <c r="P667"/>
  <c r="O667"/>
  <c r="Q666"/>
  <c r="P666"/>
  <c r="O666"/>
  <c r="Q665"/>
  <c r="P665"/>
  <c r="O665"/>
  <c r="Q664"/>
  <c r="P664"/>
  <c r="O664"/>
  <c r="Q663"/>
  <c r="P663"/>
  <c r="O663"/>
  <c r="Q662"/>
  <c r="P662"/>
  <c r="O662"/>
  <c r="Q661"/>
  <c r="P661"/>
  <c r="O661"/>
  <c r="Q660"/>
  <c r="P660"/>
  <c r="O660"/>
  <c r="Q659"/>
  <c r="P659"/>
  <c r="O659"/>
  <c r="Q658"/>
  <c r="P658"/>
  <c r="O658"/>
  <c r="Q657"/>
  <c r="P657"/>
  <c r="O657"/>
  <c r="Q656"/>
  <c r="P656"/>
  <c r="O656"/>
  <c r="Q655"/>
  <c r="P655"/>
  <c r="O655"/>
  <c r="Q654"/>
  <c r="P654"/>
  <c r="O654"/>
  <c r="Q653"/>
  <c r="P653"/>
  <c r="O653"/>
  <c r="Q652"/>
  <c r="P652"/>
  <c r="O652"/>
  <c r="Q651"/>
  <c r="P651"/>
  <c r="O651"/>
  <c r="Q650"/>
  <c r="P650"/>
  <c r="O650"/>
  <c r="Q649"/>
  <c r="P649"/>
  <c r="O649"/>
  <c r="Q648"/>
  <c r="P648"/>
  <c r="O648"/>
  <c r="Q647"/>
  <c r="P647"/>
  <c r="O647"/>
  <c r="Q646"/>
  <c r="P646"/>
  <c r="O646"/>
  <c r="Q645"/>
  <c r="P645"/>
  <c r="O645"/>
  <c r="Q644"/>
  <c r="P644"/>
  <c r="O644"/>
  <c r="Q643"/>
  <c r="P643"/>
  <c r="O643"/>
  <c r="Q642"/>
  <c r="P642"/>
  <c r="O642"/>
  <c r="Q641"/>
  <c r="P641"/>
  <c r="O641"/>
  <c r="Q640"/>
  <c r="P640"/>
  <c r="O640"/>
  <c r="Q639"/>
  <c r="P639"/>
  <c r="O639"/>
  <c r="Q638"/>
  <c r="P638"/>
  <c r="O638"/>
  <c r="Q637"/>
  <c r="P637"/>
  <c r="O637"/>
  <c r="Q636"/>
  <c r="P636"/>
  <c r="O636"/>
  <c r="Q635"/>
  <c r="P635"/>
  <c r="O635"/>
  <c r="Q634"/>
  <c r="P634"/>
  <c r="O634"/>
  <c r="Q633"/>
  <c r="P633"/>
  <c r="O633"/>
  <c r="Q632"/>
  <c r="P632"/>
  <c r="O632"/>
  <c r="Q631"/>
  <c r="P631"/>
  <c r="O631"/>
  <c r="Q630"/>
  <c r="P630"/>
  <c r="O630"/>
  <c r="Q629"/>
  <c r="P629"/>
  <c r="O629"/>
  <c r="Q628"/>
  <c r="P628"/>
  <c r="O628"/>
  <c r="Q627"/>
  <c r="P627"/>
  <c r="O627"/>
  <c r="Q626"/>
  <c r="P626"/>
  <c r="O626"/>
  <c r="Q625"/>
  <c r="P625"/>
  <c r="O625"/>
  <c r="Q624"/>
  <c r="P624"/>
  <c r="O624"/>
  <c r="Q623"/>
  <c r="P623"/>
  <c r="O623"/>
  <c r="Q622"/>
  <c r="P622"/>
  <c r="O622"/>
  <c r="Q621"/>
  <c r="P621"/>
  <c r="O621"/>
  <c r="Q620"/>
  <c r="P620"/>
  <c r="O620"/>
  <c r="Q619"/>
  <c r="P619"/>
  <c r="O619"/>
  <c r="Q618"/>
  <c r="P618"/>
  <c r="O618"/>
  <c r="Q617"/>
  <c r="P617"/>
  <c r="O617"/>
  <c r="Q616"/>
  <c r="P616"/>
  <c r="O616"/>
  <c r="Q615"/>
  <c r="P615"/>
  <c r="O615"/>
  <c r="Q614"/>
  <c r="P614"/>
  <c r="O614"/>
  <c r="Q613"/>
  <c r="P613"/>
  <c r="O613"/>
  <c r="Q612"/>
  <c r="P612"/>
  <c r="O612"/>
  <c r="Q611"/>
  <c r="P611"/>
  <c r="O611"/>
  <c r="Q610"/>
  <c r="P610"/>
  <c r="O610"/>
  <c r="Q609"/>
  <c r="P609"/>
  <c r="O609"/>
  <c r="Q608"/>
  <c r="P608"/>
  <c r="O608"/>
  <c r="Q607"/>
  <c r="P607"/>
  <c r="O607"/>
  <c r="Q606"/>
  <c r="P606"/>
  <c r="O606"/>
  <c r="Q605"/>
  <c r="P605"/>
  <c r="O605"/>
  <c r="Q604"/>
  <c r="P604"/>
  <c r="O604"/>
  <c r="Q603"/>
  <c r="P603"/>
  <c r="O603"/>
  <c r="Q602"/>
  <c r="P602"/>
  <c r="O602"/>
  <c r="Q601"/>
  <c r="P601"/>
  <c r="O601"/>
  <c r="Q600"/>
  <c r="P600"/>
  <c r="O600"/>
  <c r="Q599"/>
  <c r="P599"/>
  <c r="O599"/>
  <c r="Q598"/>
  <c r="P598"/>
  <c r="O598"/>
  <c r="Q597"/>
  <c r="P597"/>
  <c r="O597"/>
  <c r="Q596"/>
  <c r="P596"/>
  <c r="O596"/>
  <c r="Q595"/>
  <c r="P595"/>
  <c r="O595"/>
  <c r="Q594"/>
  <c r="P594"/>
  <c r="O594"/>
  <c r="Q593"/>
  <c r="P593"/>
  <c r="O593"/>
  <c r="Q592"/>
  <c r="P592"/>
  <c r="O592"/>
  <c r="Q591"/>
  <c r="P591"/>
  <c r="O591"/>
  <c r="Q590"/>
  <c r="P590"/>
  <c r="O590"/>
  <c r="Q589"/>
  <c r="P589"/>
  <c r="O589"/>
  <c r="Q588"/>
  <c r="P588"/>
  <c r="O588"/>
  <c r="Q587"/>
  <c r="P587"/>
  <c r="O587"/>
  <c r="Q586"/>
  <c r="P586"/>
  <c r="O586"/>
  <c r="Q585"/>
  <c r="P585"/>
  <c r="O585"/>
  <c r="Q584"/>
  <c r="P584"/>
  <c r="O584"/>
  <c r="Q583"/>
  <c r="P583"/>
  <c r="O583"/>
  <c r="Q582"/>
  <c r="P582"/>
  <c r="O582"/>
  <c r="Q581"/>
  <c r="P581"/>
  <c r="O581"/>
  <c r="Q580"/>
  <c r="P580"/>
  <c r="O580"/>
  <c r="Q579"/>
  <c r="P579"/>
  <c r="O579"/>
  <c r="Q578"/>
  <c r="P578"/>
  <c r="O578"/>
  <c r="Q577"/>
  <c r="P577"/>
  <c r="O577"/>
  <c r="Q576"/>
  <c r="P576"/>
  <c r="O576"/>
  <c r="Q575"/>
  <c r="P575"/>
  <c r="O575"/>
  <c r="Q574"/>
  <c r="P574"/>
  <c r="O574"/>
  <c r="Q573"/>
  <c r="P573"/>
  <c r="O573"/>
  <c r="Q572"/>
  <c r="P572"/>
  <c r="O572"/>
  <c r="Q571"/>
  <c r="P571"/>
  <c r="O571"/>
  <c r="Q570"/>
  <c r="P570"/>
  <c r="O570"/>
  <c r="Q569"/>
  <c r="P569"/>
  <c r="O569"/>
  <c r="Q568"/>
  <c r="P568"/>
  <c r="O568"/>
  <c r="Q567"/>
  <c r="P567"/>
  <c r="O567"/>
  <c r="Q566"/>
  <c r="P566"/>
  <c r="O566"/>
  <c r="Q565"/>
  <c r="P565"/>
  <c r="O565"/>
  <c r="Q564"/>
  <c r="P564"/>
  <c r="O564"/>
  <c r="Q563"/>
  <c r="P563"/>
  <c r="O563"/>
  <c r="Q562"/>
  <c r="P562"/>
  <c r="O562"/>
  <c r="Q561"/>
  <c r="P561"/>
  <c r="O561"/>
  <c r="Q560"/>
  <c r="P560"/>
  <c r="O560"/>
  <c r="Q559"/>
  <c r="P559"/>
  <c r="O559"/>
  <c r="Q558"/>
  <c r="P558"/>
  <c r="O558"/>
  <c r="Q557"/>
  <c r="P557"/>
  <c r="O557"/>
  <c r="Q556"/>
  <c r="P556"/>
  <c r="O556"/>
  <c r="Q555"/>
  <c r="P555"/>
  <c r="O555"/>
  <c r="Q554"/>
  <c r="P554"/>
  <c r="O554"/>
  <c r="Q553"/>
  <c r="P553"/>
  <c r="O553"/>
  <c r="Q552"/>
  <c r="P552"/>
  <c r="O552"/>
  <c r="Q551"/>
  <c r="P551"/>
  <c r="O551"/>
  <c r="Q550"/>
  <c r="P550"/>
  <c r="O550"/>
  <c r="Q549"/>
  <c r="P549"/>
  <c r="O549"/>
  <c r="Q548"/>
  <c r="P548"/>
  <c r="O548"/>
  <c r="Q547"/>
  <c r="P547"/>
  <c r="O547"/>
  <c r="Q546"/>
  <c r="P546"/>
  <c r="O546"/>
  <c r="Q545"/>
  <c r="P545"/>
  <c r="O545"/>
  <c r="Q544"/>
  <c r="P544"/>
  <c r="O544"/>
  <c r="Q543"/>
  <c r="P543"/>
  <c r="O543"/>
  <c r="Q542"/>
  <c r="P542"/>
  <c r="O542"/>
  <c r="Q541"/>
  <c r="P541"/>
  <c r="O541"/>
  <c r="Q540"/>
  <c r="P540"/>
  <c r="O540"/>
  <c r="Q539"/>
  <c r="P539"/>
  <c r="O539"/>
  <c r="Q538"/>
  <c r="P538"/>
  <c r="O538"/>
  <c r="Q537"/>
  <c r="P537"/>
  <c r="O537"/>
  <c r="Q536"/>
  <c r="P536"/>
  <c r="O536"/>
  <c r="Q535"/>
  <c r="P535"/>
  <c r="O535"/>
  <c r="Q534"/>
  <c r="P534"/>
  <c r="O534"/>
  <c r="Q533"/>
  <c r="P533"/>
  <c r="O533"/>
  <c r="Q532"/>
  <c r="P532"/>
  <c r="O532"/>
  <c r="Q531"/>
  <c r="P531"/>
  <c r="O531"/>
  <c r="Q530"/>
  <c r="P530"/>
  <c r="O530"/>
  <c r="Q529"/>
  <c r="P529"/>
  <c r="O529"/>
  <c r="Q528"/>
  <c r="P528"/>
  <c r="O528"/>
  <c r="Q527"/>
  <c r="P527"/>
  <c r="O527"/>
  <c r="Q526"/>
  <c r="P526"/>
  <c r="O526"/>
  <c r="Q525"/>
  <c r="P525"/>
  <c r="O525"/>
  <c r="Q524"/>
  <c r="P524"/>
  <c r="O524"/>
  <c r="Q523"/>
  <c r="P523"/>
  <c r="O523"/>
  <c r="Q522"/>
  <c r="P522"/>
  <c r="O522"/>
  <c r="Q521"/>
  <c r="P521"/>
  <c r="O521"/>
  <c r="Q520"/>
  <c r="P520"/>
  <c r="O520"/>
  <c r="Q519"/>
  <c r="P519"/>
  <c r="O519"/>
  <c r="Q518"/>
  <c r="P518"/>
  <c r="O518"/>
  <c r="Q517"/>
  <c r="P517"/>
  <c r="O517"/>
  <c r="Q516"/>
  <c r="P516"/>
  <c r="O516"/>
  <c r="Q515"/>
  <c r="P515"/>
  <c r="O515"/>
  <c r="Q514"/>
  <c r="P514"/>
  <c r="O514"/>
  <c r="Q513"/>
  <c r="P513"/>
  <c r="O513"/>
  <c r="Q512"/>
  <c r="P512"/>
  <c r="O512"/>
  <c r="Q511"/>
  <c r="P511"/>
  <c r="O511"/>
  <c r="Q510"/>
  <c r="P510"/>
  <c r="O510"/>
  <c r="Q509"/>
  <c r="P509"/>
  <c r="O509"/>
  <c r="Q508"/>
  <c r="P508"/>
  <c r="O508"/>
  <c r="Q507"/>
  <c r="P507"/>
  <c r="O507"/>
  <c r="Q506"/>
  <c r="P506"/>
  <c r="O506"/>
  <c r="Q505"/>
  <c r="P505"/>
  <c r="O505"/>
  <c r="Q504"/>
  <c r="P504"/>
  <c r="O504"/>
  <c r="Q503"/>
  <c r="P503"/>
  <c r="O503"/>
  <c r="Q502"/>
  <c r="P502"/>
  <c r="O502"/>
  <c r="Q501"/>
  <c r="P501"/>
  <c r="O501"/>
  <c r="Q500"/>
  <c r="P500"/>
  <c r="O500"/>
  <c r="Q499"/>
  <c r="P499"/>
  <c r="O499"/>
  <c r="Q498"/>
  <c r="P498"/>
  <c r="O498"/>
  <c r="Q497"/>
  <c r="P497"/>
  <c r="O497"/>
  <c r="Q496"/>
  <c r="P496"/>
  <c r="O496"/>
  <c r="Q495"/>
  <c r="P495"/>
  <c r="O495"/>
  <c r="Q494"/>
  <c r="P494"/>
  <c r="O494"/>
  <c r="Q493"/>
  <c r="P493"/>
  <c r="O493"/>
  <c r="Q492"/>
  <c r="P492"/>
  <c r="O492"/>
  <c r="Q491"/>
  <c r="P491"/>
  <c r="O491"/>
  <c r="Q490"/>
  <c r="P490"/>
  <c r="O490"/>
  <c r="Q489"/>
  <c r="P489"/>
  <c r="O489"/>
  <c r="Q488"/>
  <c r="P488"/>
  <c r="O488"/>
  <c r="Q487"/>
  <c r="P487"/>
  <c r="O487"/>
  <c r="Q486"/>
  <c r="P486"/>
  <c r="O486"/>
  <c r="Q485"/>
  <c r="P485"/>
  <c r="O485"/>
  <c r="Q484"/>
  <c r="P484"/>
  <c r="O484"/>
  <c r="Q483"/>
  <c r="P483"/>
  <c r="O483"/>
  <c r="Q482"/>
  <c r="P482"/>
  <c r="O482"/>
  <c r="Q481"/>
  <c r="P481"/>
  <c r="O481"/>
  <c r="Q480"/>
  <c r="P480"/>
  <c r="O480"/>
  <c r="Q479"/>
  <c r="P479"/>
  <c r="O479"/>
  <c r="Q478"/>
  <c r="P478"/>
  <c r="O478"/>
  <c r="Q477"/>
  <c r="P477"/>
  <c r="O477"/>
  <c r="Q476"/>
  <c r="P476"/>
  <c r="O476"/>
  <c r="Q475"/>
  <c r="P475"/>
  <c r="O475"/>
  <c r="Q474"/>
  <c r="P474"/>
  <c r="O474"/>
  <c r="Q473"/>
  <c r="P473"/>
  <c r="O473"/>
  <c r="Q472"/>
  <c r="P472"/>
  <c r="O472"/>
  <c r="Q471"/>
  <c r="P471"/>
  <c r="O471"/>
  <c r="Q470"/>
  <c r="P470"/>
  <c r="O470"/>
  <c r="Q469"/>
  <c r="P469"/>
  <c r="O469"/>
  <c r="Q468"/>
  <c r="P468"/>
  <c r="O468"/>
  <c r="Q467"/>
  <c r="P467"/>
  <c r="O467"/>
  <c r="Q466"/>
  <c r="P466"/>
  <c r="O466"/>
  <c r="Q465"/>
  <c r="P465"/>
  <c r="O465"/>
  <c r="Q464"/>
  <c r="P464"/>
  <c r="O464"/>
  <c r="Q463"/>
  <c r="P463"/>
  <c r="O463"/>
  <c r="Q462"/>
  <c r="P462"/>
  <c r="O462"/>
  <c r="Q461"/>
  <c r="P461"/>
  <c r="O461"/>
  <c r="Q460"/>
  <c r="P460"/>
  <c r="O460"/>
  <c r="Q459"/>
  <c r="P459"/>
  <c r="O459"/>
  <c r="Q458"/>
  <c r="P458"/>
  <c r="O458"/>
  <c r="Q457"/>
  <c r="P457"/>
  <c r="O457"/>
  <c r="Q456"/>
  <c r="P456"/>
  <c r="O456"/>
  <c r="Q455"/>
  <c r="P455"/>
  <c r="O455"/>
  <c r="Q454"/>
  <c r="P454"/>
  <c r="O454"/>
  <c r="Q453"/>
  <c r="P453"/>
  <c r="O453"/>
  <c r="Q452"/>
  <c r="P452"/>
  <c r="O452"/>
  <c r="Q451"/>
  <c r="P451"/>
  <c r="O451"/>
  <c r="Q450"/>
  <c r="P450"/>
  <c r="O450"/>
  <c r="Q449"/>
  <c r="P449"/>
  <c r="O449"/>
  <c r="Q448"/>
  <c r="P448"/>
  <c r="O448"/>
  <c r="Q447"/>
  <c r="P447"/>
  <c r="O447"/>
  <c r="Q446"/>
  <c r="P446"/>
  <c r="O446"/>
  <c r="Q445"/>
  <c r="P445"/>
  <c r="O445"/>
  <c r="Q444"/>
  <c r="P444"/>
  <c r="O444"/>
  <c r="Q443"/>
  <c r="P443"/>
  <c r="O443"/>
  <c r="Q442"/>
  <c r="P442"/>
  <c r="O442"/>
  <c r="Q441"/>
  <c r="P441"/>
  <c r="O441"/>
  <c r="Q440"/>
  <c r="P440"/>
  <c r="O440"/>
  <c r="Q439"/>
  <c r="P439"/>
  <c r="O439"/>
  <c r="Q438"/>
  <c r="P438"/>
  <c r="O438"/>
  <c r="Q437"/>
  <c r="P437"/>
  <c r="O437"/>
  <c r="Q436"/>
  <c r="P436"/>
  <c r="O436"/>
  <c r="Q435"/>
  <c r="P435"/>
  <c r="O435"/>
  <c r="Q434"/>
  <c r="P434"/>
  <c r="O434"/>
  <c r="Q433"/>
  <c r="P433"/>
  <c r="O433"/>
  <c r="Q432"/>
  <c r="P432"/>
  <c r="O432"/>
  <c r="Q431"/>
  <c r="P431"/>
  <c r="O431"/>
  <c r="Q430"/>
  <c r="P430"/>
  <c r="O430"/>
  <c r="Q429"/>
  <c r="P429"/>
  <c r="O429"/>
  <c r="Q428"/>
  <c r="P428"/>
  <c r="O428"/>
  <c r="Q427"/>
  <c r="P427"/>
  <c r="O427"/>
  <c r="Q426"/>
  <c r="P426"/>
  <c r="O426"/>
  <c r="Q425"/>
  <c r="P425"/>
  <c r="O425"/>
  <c r="Q424"/>
  <c r="P424"/>
  <c r="O424"/>
  <c r="Q423"/>
  <c r="P423"/>
  <c r="O423"/>
  <c r="Q422"/>
  <c r="P422"/>
  <c r="O422"/>
  <c r="Q421"/>
  <c r="P421"/>
  <c r="O421"/>
  <c r="Q420"/>
  <c r="P420"/>
  <c r="O420"/>
  <c r="Q419"/>
  <c r="P419"/>
  <c r="O419"/>
  <c r="Q418"/>
  <c r="P418"/>
  <c r="O418"/>
  <c r="Q417"/>
  <c r="P417"/>
  <c r="O417"/>
  <c r="Q416"/>
  <c r="P416"/>
  <c r="O416"/>
  <c r="Q415"/>
  <c r="P415"/>
  <c r="O415"/>
  <c r="Q414"/>
  <c r="P414"/>
  <c r="O414"/>
  <c r="Q413"/>
  <c r="P413"/>
  <c r="O413"/>
  <c r="Q412"/>
  <c r="P412"/>
  <c r="O412"/>
  <c r="Q411"/>
  <c r="P411"/>
  <c r="O411"/>
  <c r="Q410"/>
  <c r="P410"/>
  <c r="O410"/>
  <c r="Q409"/>
  <c r="P409"/>
  <c r="O409"/>
  <c r="Q408"/>
  <c r="P408"/>
  <c r="O408"/>
  <c r="Q407"/>
  <c r="P407"/>
  <c r="O407"/>
  <c r="Q406"/>
  <c r="P406"/>
  <c r="O406"/>
  <c r="Q405"/>
  <c r="P405"/>
  <c r="O405"/>
  <c r="Q404"/>
  <c r="P404"/>
  <c r="O404"/>
  <c r="Q403"/>
  <c r="P403"/>
  <c r="O403"/>
  <c r="Q402"/>
  <c r="P402"/>
  <c r="O402"/>
  <c r="Q401"/>
  <c r="P401"/>
  <c r="O401"/>
  <c r="Q400"/>
  <c r="P400"/>
  <c r="O400"/>
  <c r="Q399"/>
  <c r="P399"/>
  <c r="O399"/>
  <c r="Q398"/>
  <c r="P398"/>
  <c r="O398"/>
  <c r="Q397"/>
  <c r="P397"/>
  <c r="O397"/>
  <c r="Q396"/>
  <c r="P396"/>
  <c r="O396"/>
  <c r="Q395"/>
  <c r="P395"/>
  <c r="O395"/>
  <c r="Q394"/>
  <c r="P394"/>
  <c r="O394"/>
  <c r="Q393"/>
  <c r="P393"/>
  <c r="O393"/>
  <c r="Q392"/>
  <c r="P392"/>
  <c r="O392"/>
  <c r="Q391"/>
  <c r="P391"/>
  <c r="O391"/>
  <c r="Q390"/>
  <c r="P390"/>
  <c r="O390"/>
  <c r="Q389"/>
  <c r="P389"/>
  <c r="O389"/>
  <c r="Q388"/>
  <c r="P388"/>
  <c r="O388"/>
  <c r="Q387"/>
  <c r="P387"/>
  <c r="O387"/>
  <c r="Q386"/>
  <c r="P386"/>
  <c r="O386"/>
  <c r="Q385"/>
  <c r="P385"/>
  <c r="O385"/>
  <c r="Q384"/>
  <c r="P384"/>
  <c r="O384"/>
  <c r="Q383"/>
  <c r="P383"/>
  <c r="O383"/>
  <c r="Q382"/>
  <c r="P382"/>
  <c r="O382"/>
  <c r="Q381"/>
  <c r="P381"/>
  <c r="O381"/>
  <c r="Q380"/>
  <c r="P380"/>
  <c r="O380"/>
  <c r="Q379"/>
  <c r="P379"/>
  <c r="O379"/>
  <c r="Q378"/>
  <c r="P378"/>
  <c r="O378"/>
  <c r="Q377"/>
  <c r="P377"/>
  <c r="O377"/>
  <c r="Q376"/>
  <c r="P376"/>
  <c r="O376"/>
  <c r="Q375"/>
  <c r="P375"/>
  <c r="O375"/>
  <c r="Q374"/>
  <c r="P374"/>
  <c r="O374"/>
  <c r="Q373"/>
  <c r="P373"/>
  <c r="O373"/>
  <c r="Q372"/>
  <c r="P372"/>
  <c r="O372"/>
  <c r="Q371"/>
  <c r="P371"/>
  <c r="O371"/>
  <c r="Q370"/>
  <c r="P370"/>
  <c r="O370"/>
  <c r="Q369"/>
  <c r="P369"/>
  <c r="O369"/>
  <c r="Q368"/>
  <c r="P368"/>
  <c r="O368"/>
  <c r="Q367"/>
  <c r="P367"/>
  <c r="O367"/>
  <c r="Q366"/>
  <c r="P366"/>
  <c r="O366"/>
  <c r="Q365"/>
  <c r="P365"/>
  <c r="O365"/>
  <c r="Q364"/>
  <c r="P364"/>
  <c r="O364"/>
  <c r="Q363"/>
  <c r="P363"/>
  <c r="O363"/>
  <c r="Q362"/>
  <c r="P362"/>
  <c r="O362"/>
  <c r="Q361"/>
  <c r="P361"/>
  <c r="O361"/>
  <c r="Q360"/>
  <c r="P360"/>
  <c r="O360"/>
  <c r="Q359"/>
  <c r="P359"/>
  <c r="O359"/>
  <c r="Q358"/>
  <c r="P358"/>
  <c r="O358"/>
  <c r="Q357"/>
  <c r="P357"/>
  <c r="O357"/>
  <c r="Q356"/>
  <c r="P356"/>
  <c r="O356"/>
  <c r="Q355"/>
  <c r="P355"/>
  <c r="O355"/>
  <c r="Q354"/>
  <c r="P354"/>
  <c r="O354"/>
  <c r="Q353"/>
  <c r="P353"/>
  <c r="O353"/>
  <c r="Q352"/>
  <c r="P352"/>
  <c r="O352"/>
  <c r="Q351"/>
  <c r="P351"/>
  <c r="O351"/>
  <c r="Q350"/>
  <c r="P350"/>
  <c r="O350"/>
  <c r="Q349"/>
  <c r="P349"/>
  <c r="O349"/>
  <c r="Q348"/>
  <c r="P348"/>
  <c r="O348"/>
  <c r="Q347"/>
  <c r="P347"/>
  <c r="O347"/>
  <c r="Q346"/>
  <c r="P346"/>
  <c r="O346"/>
  <c r="Q345"/>
  <c r="P345"/>
  <c r="O345"/>
  <c r="Q344"/>
  <c r="P344"/>
  <c r="O344"/>
  <c r="Q343"/>
  <c r="P343"/>
  <c r="O343"/>
  <c r="Q342"/>
  <c r="P342"/>
  <c r="O342"/>
  <c r="Q341"/>
  <c r="P341"/>
  <c r="O341"/>
  <c r="Q340"/>
  <c r="P340"/>
  <c r="O340"/>
  <c r="Q339"/>
  <c r="P339"/>
  <c r="O339"/>
  <c r="Q338"/>
  <c r="P338"/>
  <c r="O338"/>
  <c r="Q337"/>
  <c r="P337"/>
  <c r="O337"/>
  <c r="Q336"/>
  <c r="P336"/>
  <c r="O336"/>
  <c r="Q335"/>
  <c r="P335"/>
  <c r="O335"/>
  <c r="Q334"/>
  <c r="P334"/>
  <c r="O334"/>
  <c r="Q333"/>
  <c r="P333"/>
  <c r="O333"/>
  <c r="Q332"/>
  <c r="P332"/>
  <c r="O332"/>
  <c r="Q331"/>
  <c r="P331"/>
  <c r="O331"/>
  <c r="Q330"/>
  <c r="P330"/>
  <c r="O330"/>
  <c r="Q329"/>
  <c r="P329"/>
  <c r="O329"/>
  <c r="Q328"/>
  <c r="P328"/>
  <c r="O328"/>
  <c r="Q327"/>
  <c r="P327"/>
  <c r="O327"/>
  <c r="Q326"/>
  <c r="P326"/>
  <c r="O326"/>
  <c r="Q325"/>
  <c r="P325"/>
  <c r="O325"/>
  <c r="Q324"/>
  <c r="P324"/>
  <c r="O324"/>
  <c r="Q323"/>
  <c r="P323"/>
  <c r="O323"/>
  <c r="Q322"/>
  <c r="P322"/>
  <c r="O322"/>
  <c r="Q321"/>
  <c r="P321"/>
  <c r="O321"/>
  <c r="Q320"/>
  <c r="P320"/>
  <c r="O320"/>
  <c r="Q319"/>
  <c r="P319"/>
  <c r="O319"/>
  <c r="Q318"/>
  <c r="P318"/>
  <c r="O318"/>
  <c r="Q317"/>
  <c r="P317"/>
  <c r="O317"/>
  <c r="Q316"/>
  <c r="P316"/>
  <c r="O316"/>
  <c r="Q315"/>
  <c r="P315"/>
  <c r="O315"/>
  <c r="Q314"/>
  <c r="P314"/>
  <c r="O314"/>
  <c r="Q313"/>
  <c r="P313"/>
  <c r="O313"/>
  <c r="Q312"/>
  <c r="P312"/>
  <c r="O312"/>
  <c r="Q311"/>
  <c r="P311"/>
  <c r="O311"/>
  <c r="Q310"/>
  <c r="P310"/>
  <c r="O310"/>
  <c r="Q309"/>
  <c r="P309"/>
  <c r="O309"/>
  <c r="Q308"/>
  <c r="P308"/>
  <c r="O308"/>
  <c r="Q307"/>
  <c r="P307"/>
  <c r="O307"/>
  <c r="Q306"/>
  <c r="P306"/>
  <c r="O306"/>
  <c r="Q305"/>
  <c r="P305"/>
  <c r="O305"/>
  <c r="Q304"/>
  <c r="P304"/>
  <c r="O304"/>
  <c r="Q303"/>
  <c r="P303"/>
  <c r="O303"/>
  <c r="Q302"/>
  <c r="P302"/>
  <c r="O302"/>
  <c r="Q301"/>
  <c r="P301"/>
  <c r="O301"/>
  <c r="Q300"/>
  <c r="P300"/>
  <c r="O300"/>
  <c r="Q299"/>
  <c r="P299"/>
  <c r="O299"/>
  <c r="Q298"/>
  <c r="P298"/>
  <c r="O298"/>
  <c r="Q297"/>
  <c r="P297"/>
  <c r="O297"/>
  <c r="Q296"/>
  <c r="P296"/>
  <c r="O296"/>
  <c r="Q295"/>
  <c r="P295"/>
  <c r="O295"/>
  <c r="Q294"/>
  <c r="P294"/>
  <c r="O294"/>
  <c r="Q293"/>
  <c r="P293"/>
  <c r="O293"/>
  <c r="Q292"/>
  <c r="P292"/>
  <c r="O292"/>
  <c r="Q291"/>
  <c r="P291"/>
  <c r="O291"/>
  <c r="Q290"/>
  <c r="P290"/>
  <c r="O290"/>
  <c r="Q289"/>
  <c r="P289"/>
  <c r="O289"/>
  <c r="Q288"/>
  <c r="P288"/>
  <c r="O288"/>
  <c r="Q287"/>
  <c r="P287"/>
  <c r="O287"/>
  <c r="Q286"/>
  <c r="P286"/>
  <c r="O286"/>
  <c r="Q285"/>
  <c r="P285"/>
  <c r="O285"/>
  <c r="Q284"/>
  <c r="P284"/>
  <c r="O284"/>
  <c r="Q283"/>
  <c r="P283"/>
  <c r="O283"/>
  <c r="Q282"/>
  <c r="P282"/>
  <c r="O282"/>
  <c r="Q281"/>
  <c r="P281"/>
  <c r="O281"/>
  <c r="Q280"/>
  <c r="P280"/>
  <c r="O280"/>
  <c r="Q279"/>
  <c r="P279"/>
  <c r="O279"/>
  <c r="Q278"/>
  <c r="P278"/>
  <c r="O278"/>
  <c r="Q277"/>
  <c r="P277"/>
  <c r="O277"/>
  <c r="Q276"/>
  <c r="P276"/>
  <c r="O276"/>
  <c r="Q275"/>
  <c r="P275"/>
  <c r="O275"/>
  <c r="Q274"/>
  <c r="P274"/>
  <c r="O274"/>
  <c r="Q273"/>
  <c r="P273"/>
  <c r="O273"/>
  <c r="Q272"/>
  <c r="P272"/>
  <c r="O272"/>
  <c r="Q271"/>
  <c r="P271"/>
  <c r="O271"/>
  <c r="Q270"/>
  <c r="P270"/>
  <c r="O270"/>
  <c r="Q269"/>
  <c r="P269"/>
  <c r="O269"/>
  <c r="Q268"/>
  <c r="P268"/>
  <c r="O268"/>
  <c r="Q267"/>
  <c r="P267"/>
  <c r="O267"/>
  <c r="Q266"/>
  <c r="P266"/>
  <c r="O266"/>
  <c r="Q265"/>
  <c r="P265"/>
  <c r="O265"/>
  <c r="Q264"/>
  <c r="P264"/>
  <c r="O264"/>
  <c r="Q263"/>
  <c r="P263"/>
  <c r="O263"/>
  <c r="Q262"/>
  <c r="P262"/>
  <c r="O262"/>
  <c r="Q261"/>
  <c r="P261"/>
  <c r="O261"/>
  <c r="Q260"/>
  <c r="P260"/>
  <c r="O260"/>
  <c r="Q259"/>
  <c r="P259"/>
  <c r="O259"/>
  <c r="Q258"/>
  <c r="P258"/>
  <c r="O258"/>
  <c r="Q257"/>
  <c r="P257"/>
  <c r="O257"/>
  <c r="Q256"/>
  <c r="P256"/>
  <c r="O256"/>
  <c r="Q255"/>
  <c r="P255"/>
  <c r="O255"/>
  <c r="Q254"/>
  <c r="P254"/>
  <c r="O254"/>
  <c r="Q253"/>
  <c r="P253"/>
  <c r="O253"/>
  <c r="Q252"/>
  <c r="P252"/>
  <c r="O252"/>
  <c r="Q251"/>
  <c r="P251"/>
  <c r="O251"/>
  <c r="Q250"/>
  <c r="P250"/>
  <c r="O250"/>
  <c r="Q249"/>
  <c r="P249"/>
  <c r="O249"/>
  <c r="Q248"/>
  <c r="P248"/>
  <c r="O248"/>
  <c r="Q247"/>
  <c r="P247"/>
  <c r="O247"/>
  <c r="Q246"/>
  <c r="P246"/>
  <c r="O246"/>
  <c r="Q245"/>
  <c r="P245"/>
  <c r="O245"/>
  <c r="Q244"/>
  <c r="P244"/>
  <c r="O244"/>
  <c r="Q243"/>
  <c r="P243"/>
  <c r="O243"/>
  <c r="Q242"/>
  <c r="P242"/>
  <c r="O242"/>
  <c r="Q241"/>
  <c r="P241"/>
  <c r="O241"/>
  <c r="Q240"/>
  <c r="P240"/>
  <c r="O240"/>
  <c r="Q239"/>
  <c r="P239"/>
  <c r="O239"/>
  <c r="Q238"/>
  <c r="P238"/>
  <c r="O238"/>
  <c r="Q237"/>
  <c r="P237"/>
  <c r="O237"/>
  <c r="Q236"/>
  <c r="P236"/>
  <c r="O236"/>
  <c r="Q235"/>
  <c r="P235"/>
  <c r="O235"/>
  <c r="Q234"/>
  <c r="P234"/>
  <c r="O234"/>
  <c r="Q233"/>
  <c r="P233"/>
  <c r="O233"/>
  <c r="Q232"/>
  <c r="P232"/>
  <c r="O232"/>
  <c r="Q231"/>
  <c r="P231"/>
  <c r="O231"/>
  <c r="Q230"/>
  <c r="P230"/>
  <c r="O230"/>
  <c r="Q229"/>
  <c r="P229"/>
  <c r="O229"/>
  <c r="Q228"/>
  <c r="P228"/>
  <c r="O228"/>
  <c r="Q227"/>
  <c r="P227"/>
  <c r="O227"/>
  <c r="Q226"/>
  <c r="P226"/>
  <c r="O226"/>
  <c r="Q225"/>
  <c r="P225"/>
  <c r="O225"/>
  <c r="Q224"/>
  <c r="P224"/>
  <c r="O224"/>
  <c r="Q223"/>
  <c r="P223"/>
  <c r="O223"/>
  <c r="Q222"/>
  <c r="P222"/>
  <c r="O222"/>
  <c r="Q221"/>
  <c r="P221"/>
  <c r="O221"/>
  <c r="Q220"/>
  <c r="P220"/>
  <c r="O220"/>
  <c r="Q219"/>
  <c r="P219"/>
  <c r="O219"/>
  <c r="Q218"/>
  <c r="P218"/>
  <c r="O218"/>
  <c r="Q217"/>
  <c r="P217"/>
  <c r="O217"/>
  <c r="Q216"/>
  <c r="P216"/>
  <c r="O216"/>
  <c r="Q215"/>
  <c r="P215"/>
  <c r="O215"/>
  <c r="Q214"/>
  <c r="P214"/>
  <c r="O214"/>
  <c r="Q213"/>
  <c r="P213"/>
  <c r="O213"/>
  <c r="Q212"/>
  <c r="P212"/>
  <c r="O212"/>
  <c r="Q211"/>
  <c r="P211"/>
  <c r="O211"/>
  <c r="Q210"/>
  <c r="P210"/>
  <c r="O210"/>
  <c r="Q209"/>
  <c r="P209"/>
  <c r="O209"/>
  <c r="Q208"/>
  <c r="P208"/>
  <c r="O208"/>
  <c r="Q207"/>
  <c r="P207"/>
  <c r="O207"/>
  <c r="Q206"/>
  <c r="P206"/>
  <c r="O206"/>
  <c r="Q205"/>
  <c r="P205"/>
  <c r="O205"/>
  <c r="Q204"/>
  <c r="P204"/>
  <c r="O204"/>
  <c r="Q203"/>
  <c r="P203"/>
  <c r="O203"/>
  <c r="Q202"/>
  <c r="P202"/>
  <c r="O202"/>
  <c r="Q201"/>
  <c r="P201"/>
  <c r="O201"/>
  <c r="Q200"/>
  <c r="P200"/>
  <c r="O200"/>
  <c r="Q199"/>
  <c r="P199"/>
  <c r="O199"/>
  <c r="Q198"/>
  <c r="P198"/>
  <c r="O198"/>
  <c r="Q197"/>
  <c r="P197"/>
  <c r="O197"/>
  <c r="Q196"/>
  <c r="P196"/>
  <c r="O196"/>
  <c r="Q195"/>
  <c r="P195"/>
  <c r="O195"/>
  <c r="Q194"/>
  <c r="P194"/>
  <c r="O194"/>
  <c r="Q193"/>
  <c r="P193"/>
  <c r="O193"/>
  <c r="Q192"/>
  <c r="P192"/>
  <c r="O192"/>
  <c r="Q191"/>
  <c r="P191"/>
  <c r="O191"/>
  <c r="Q190"/>
  <c r="P190"/>
  <c r="O190"/>
  <c r="Q189"/>
  <c r="P189"/>
  <c r="O189"/>
  <c r="Q188"/>
  <c r="P188"/>
  <c r="O188"/>
  <c r="Q187"/>
  <c r="P187"/>
  <c r="O187"/>
  <c r="Q186"/>
  <c r="P186"/>
  <c r="O186"/>
  <c r="Q185"/>
  <c r="P185"/>
  <c r="O185"/>
  <c r="Q184"/>
  <c r="P184"/>
  <c r="O184"/>
  <c r="Q183"/>
  <c r="P183"/>
  <c r="O183"/>
  <c r="Q182"/>
  <c r="P182"/>
  <c r="O182"/>
  <c r="Q181"/>
  <c r="P181"/>
  <c r="O181"/>
  <c r="Q180"/>
  <c r="P180"/>
  <c r="O180"/>
  <c r="Q179"/>
  <c r="P179"/>
  <c r="O179"/>
  <c r="Q178"/>
  <c r="P178"/>
  <c r="O178"/>
  <c r="Q177"/>
  <c r="P177"/>
  <c r="O177"/>
  <c r="Q176"/>
  <c r="P176"/>
  <c r="O176"/>
  <c r="Q175"/>
  <c r="P175"/>
  <c r="O175"/>
  <c r="Q174"/>
  <c r="P174"/>
  <c r="O174"/>
  <c r="Q173"/>
  <c r="P173"/>
  <c r="O173"/>
  <c r="Q172"/>
  <c r="P172"/>
  <c r="O172"/>
  <c r="Q171"/>
  <c r="P171"/>
  <c r="O171"/>
  <c r="Q170"/>
  <c r="P170"/>
  <c r="O170"/>
  <c r="Q169"/>
  <c r="P169"/>
  <c r="O169"/>
  <c r="Q168"/>
  <c r="P168"/>
  <c r="O168"/>
  <c r="Q167"/>
  <c r="P167"/>
  <c r="O167"/>
  <c r="Q166"/>
  <c r="P166"/>
  <c r="O166"/>
  <c r="Q165"/>
  <c r="P165"/>
  <c r="O165"/>
  <c r="Q164"/>
  <c r="P164"/>
  <c r="O164"/>
  <c r="Q163"/>
  <c r="P163"/>
  <c r="O163"/>
  <c r="Q162"/>
  <c r="P162"/>
  <c r="O162"/>
  <c r="Q161"/>
  <c r="P161"/>
  <c r="O161"/>
  <c r="Q160"/>
  <c r="P160"/>
  <c r="O160"/>
  <c r="Q159"/>
  <c r="P159"/>
  <c r="O159"/>
  <c r="Q158"/>
  <c r="P158"/>
  <c r="O158"/>
  <c r="Q157"/>
  <c r="P157"/>
  <c r="O157"/>
  <c r="Q156"/>
  <c r="P156"/>
  <c r="O156"/>
  <c r="Q155"/>
  <c r="P155"/>
  <c r="O155"/>
  <c r="Q154"/>
  <c r="P154"/>
  <c r="O154"/>
  <c r="Q153"/>
  <c r="P153"/>
  <c r="O153"/>
  <c r="Q152"/>
  <c r="P152"/>
  <c r="O152"/>
  <c r="Q151"/>
  <c r="P151"/>
  <c r="O151"/>
  <c r="Q150"/>
  <c r="P150"/>
  <c r="O150"/>
  <c r="Q149"/>
  <c r="P149"/>
  <c r="O149"/>
  <c r="Q148"/>
  <c r="P148"/>
  <c r="O148"/>
  <c r="Q147"/>
  <c r="P147"/>
  <c r="O147"/>
  <c r="Q146"/>
  <c r="P146"/>
  <c r="O146"/>
  <c r="Q145"/>
  <c r="P145"/>
  <c r="O145"/>
  <c r="Q144"/>
  <c r="P144"/>
  <c r="O144"/>
  <c r="Q143"/>
  <c r="P143"/>
  <c r="O143"/>
  <c r="Q142"/>
  <c r="P142"/>
  <c r="O142"/>
  <c r="Q141"/>
  <c r="P141"/>
  <c r="O141"/>
  <c r="Q140"/>
  <c r="P140"/>
  <c r="O140"/>
  <c r="Q139"/>
  <c r="P139"/>
  <c r="O139"/>
  <c r="Q138"/>
  <c r="P138"/>
  <c r="O138"/>
  <c r="Q137"/>
  <c r="P137"/>
  <c r="O137"/>
  <c r="Q136"/>
  <c r="P136"/>
  <c r="O136"/>
  <c r="Q135"/>
  <c r="P135"/>
  <c r="O135"/>
  <c r="Q134"/>
  <c r="P134"/>
  <c r="O134"/>
  <c r="Q133"/>
  <c r="P133"/>
  <c r="O133"/>
  <c r="Q132"/>
  <c r="P132"/>
  <c r="O132"/>
  <c r="Q131"/>
  <c r="P131"/>
  <c r="O131"/>
  <c r="Q130"/>
  <c r="P130"/>
  <c r="O130"/>
  <c r="Q129"/>
  <c r="P129"/>
  <c r="O129"/>
  <c r="Q128"/>
  <c r="P128"/>
  <c r="O128"/>
  <c r="Q127"/>
  <c r="P127"/>
  <c r="O127"/>
  <c r="Q126"/>
  <c r="P126"/>
  <c r="O126"/>
  <c r="Q125"/>
  <c r="P125"/>
  <c r="O125"/>
  <c r="Q124"/>
  <c r="P124"/>
  <c r="O124"/>
  <c r="Q123"/>
  <c r="P123"/>
  <c r="O123"/>
  <c r="Q122"/>
  <c r="P122"/>
  <c r="O122"/>
  <c r="Q121"/>
  <c r="P121"/>
  <c r="O121"/>
  <c r="Q120"/>
  <c r="P120"/>
  <c r="O120"/>
  <c r="Q119"/>
  <c r="P119"/>
  <c r="O119"/>
  <c r="Q118"/>
  <c r="P118"/>
  <c r="O118"/>
  <c r="Q117"/>
  <c r="P117"/>
  <c r="O117"/>
  <c r="Q116"/>
  <c r="P116"/>
  <c r="O116"/>
  <c r="Q115"/>
  <c r="P115"/>
  <c r="O115"/>
  <c r="Q114"/>
  <c r="P114"/>
  <c r="O114"/>
  <c r="Q113"/>
  <c r="P113"/>
  <c r="O113"/>
  <c r="Q112"/>
  <c r="P112"/>
  <c r="O112"/>
  <c r="Q111"/>
  <c r="P111"/>
  <c r="O111"/>
  <c r="Q110"/>
  <c r="P110"/>
  <c r="O110"/>
  <c r="Q109"/>
  <c r="P109"/>
  <c r="O109"/>
  <c r="Q108"/>
  <c r="P108"/>
  <c r="O108"/>
  <c r="Q107"/>
  <c r="P107"/>
  <c r="O107"/>
  <c r="Q106"/>
  <c r="P106"/>
  <c r="O106"/>
  <c r="Q105"/>
  <c r="P105"/>
  <c r="O105"/>
  <c r="Q104"/>
  <c r="P104"/>
  <c r="O104"/>
  <c r="Q103"/>
  <c r="P103"/>
  <c r="O103"/>
  <c r="Q102"/>
  <c r="P102"/>
  <c r="O102"/>
  <c r="Q101"/>
  <c r="P101"/>
  <c r="O101"/>
  <c r="Q100"/>
  <c r="P100"/>
  <c r="O100"/>
  <c r="Q99"/>
  <c r="P99"/>
  <c r="O99"/>
  <c r="Q98"/>
  <c r="P98"/>
  <c r="O98"/>
  <c r="Q97"/>
  <c r="P97"/>
  <c r="O97"/>
  <c r="Q96"/>
  <c r="P96"/>
  <c r="O96"/>
  <c r="Q95"/>
  <c r="P95"/>
  <c r="O95"/>
  <c r="Q94"/>
  <c r="P94"/>
  <c r="O94"/>
  <c r="Q93"/>
  <c r="P93"/>
  <c r="O93"/>
  <c r="Q92"/>
  <c r="P92"/>
  <c r="O92"/>
  <c r="Q91"/>
  <c r="P91"/>
  <c r="O91"/>
  <c r="Q90"/>
  <c r="P90"/>
  <c r="O90"/>
  <c r="Q89"/>
  <c r="P89"/>
  <c r="O89"/>
  <c r="Q88"/>
  <c r="P88"/>
  <c r="O88"/>
  <c r="Q87"/>
  <c r="P87"/>
  <c r="O87"/>
  <c r="Q86"/>
  <c r="P86"/>
  <c r="O86"/>
  <c r="Q85"/>
  <c r="P85"/>
  <c r="O85"/>
  <c r="Q84"/>
  <c r="P84"/>
  <c r="O84"/>
  <c r="Q83"/>
  <c r="P83"/>
  <c r="O83"/>
  <c r="Q82"/>
  <c r="P82"/>
  <c r="O82"/>
  <c r="Q81"/>
  <c r="P81"/>
  <c r="O81"/>
  <c r="Q80"/>
  <c r="P80"/>
  <c r="O80"/>
  <c r="Q79"/>
  <c r="P79"/>
  <c r="O79"/>
  <c r="Q78"/>
  <c r="P78"/>
  <c r="O78"/>
  <c r="Q77"/>
  <c r="P77"/>
  <c r="O77"/>
  <c r="Q76"/>
  <c r="P76"/>
  <c r="O76"/>
  <c r="Q75"/>
  <c r="P75"/>
  <c r="O75"/>
  <c r="Q74"/>
  <c r="P74"/>
  <c r="O74"/>
  <c r="Q73"/>
  <c r="P73"/>
  <c r="O73"/>
  <c r="Q72"/>
  <c r="P72"/>
  <c r="O72"/>
  <c r="Q71"/>
  <c r="P71"/>
  <c r="O71"/>
  <c r="Q70"/>
  <c r="P70"/>
  <c r="O70"/>
  <c r="Q69"/>
  <c r="P69"/>
  <c r="O69"/>
  <c r="Q68"/>
  <c r="P68"/>
  <c r="O68"/>
  <c r="Q67"/>
  <c r="P67"/>
  <c r="O67"/>
  <c r="Q66"/>
  <c r="P66"/>
  <c r="O66"/>
  <c r="Q65"/>
  <c r="P65"/>
  <c r="O65"/>
  <c r="Q64"/>
  <c r="P64"/>
  <c r="O64"/>
  <c r="Q63"/>
  <c r="P63"/>
  <c r="O63"/>
  <c r="Q62"/>
  <c r="P62"/>
  <c r="O62"/>
  <c r="Q61"/>
  <c r="P61"/>
  <c r="O61"/>
  <c r="Q60"/>
  <c r="P60"/>
  <c r="O60"/>
  <c r="Q59"/>
  <c r="P59"/>
  <c r="O59"/>
  <c r="Q58"/>
  <c r="P58"/>
  <c r="O58"/>
  <c r="Q57"/>
  <c r="P57"/>
  <c r="O57"/>
  <c r="Q56"/>
  <c r="P56"/>
  <c r="O56"/>
  <c r="Q55"/>
  <c r="P55"/>
  <c r="O55"/>
  <c r="Q54"/>
  <c r="P54"/>
  <c r="O54"/>
  <c r="Q53"/>
  <c r="P53"/>
  <c r="O53"/>
  <c r="Q52"/>
  <c r="P52"/>
  <c r="O52"/>
  <c r="Q51"/>
  <c r="P51"/>
  <c r="O51"/>
  <c r="Q50"/>
  <c r="P50"/>
  <c r="O50"/>
  <c r="Q49"/>
  <c r="P49"/>
  <c r="O49"/>
  <c r="Q48"/>
  <c r="P48"/>
  <c r="O48"/>
  <c r="Q47"/>
  <c r="P47"/>
  <c r="O47"/>
  <c r="Q46"/>
  <c r="P46"/>
  <c r="O46"/>
  <c r="Q45"/>
  <c r="P45"/>
  <c r="O45"/>
  <c r="Q44"/>
  <c r="P44"/>
  <c r="O44"/>
  <c r="Q43"/>
  <c r="P43"/>
  <c r="O43"/>
  <c r="Q42"/>
  <c r="P42"/>
  <c r="O42"/>
  <c r="Q41"/>
  <c r="P41"/>
  <c r="O41"/>
  <c r="Q40"/>
  <c r="P40"/>
  <c r="O40"/>
  <c r="Q39"/>
  <c r="P39"/>
  <c r="O39"/>
  <c r="Q38"/>
  <c r="P38"/>
  <c r="O38"/>
  <c r="Q37"/>
  <c r="P37"/>
  <c r="O37"/>
  <c r="Q36"/>
  <c r="P36"/>
  <c r="O36"/>
  <c r="Q35"/>
  <c r="P35"/>
  <c r="O35"/>
  <c r="Q34"/>
  <c r="P34"/>
  <c r="O34"/>
  <c r="Q33"/>
  <c r="P33"/>
  <c r="O33"/>
  <c r="Q32"/>
  <c r="P32"/>
  <c r="O32"/>
  <c r="Q31"/>
  <c r="P31"/>
  <c r="O31"/>
  <c r="Q30"/>
  <c r="P30"/>
  <c r="O30"/>
  <c r="Q29"/>
  <c r="P29"/>
  <c r="O29"/>
  <c r="Q28"/>
  <c r="P28"/>
  <c r="O28"/>
  <c r="Q27"/>
  <c r="P27"/>
  <c r="O27"/>
  <c r="Q26"/>
  <c r="P26"/>
  <c r="O26"/>
  <c r="Q25"/>
  <c r="P25"/>
  <c r="O25"/>
  <c r="Q24"/>
  <c r="P24"/>
  <c r="O24"/>
  <c r="Q23"/>
  <c r="P23"/>
  <c r="O23"/>
  <c r="Q22"/>
  <c r="P22"/>
  <c r="O22"/>
  <c r="Q21"/>
  <c r="P21"/>
  <c r="O21"/>
  <c r="Q20"/>
  <c r="P20"/>
  <c r="O20"/>
  <c r="Q19"/>
  <c r="P19"/>
  <c r="O19"/>
  <c r="Q18"/>
  <c r="P18"/>
  <c r="O18"/>
  <c r="Q17"/>
  <c r="P17"/>
  <c r="O17"/>
  <c r="Q16"/>
  <c r="P16"/>
  <c r="O16"/>
  <c r="Q15"/>
  <c r="P15"/>
  <c r="O15"/>
  <c r="Q14"/>
  <c r="P14"/>
  <c r="O14"/>
  <c r="Q13"/>
  <c r="P13"/>
  <c r="O13"/>
  <c r="Q12"/>
  <c r="P12"/>
  <c r="O12"/>
  <c r="Q11"/>
  <c r="P11"/>
  <c r="O11"/>
  <c r="Q10"/>
  <c r="P10"/>
  <c r="O10"/>
  <c r="Q9"/>
  <c r="P9"/>
  <c r="O9"/>
  <c r="Q8"/>
  <c r="P8"/>
  <c r="O8"/>
  <c r="Q7"/>
  <c r="P7"/>
  <c r="O7"/>
  <c r="Q6"/>
  <c r="P6"/>
  <c r="O6"/>
  <c r="Q5"/>
  <c r="P5"/>
  <c r="O5"/>
  <c r="Q4"/>
  <c r="P4"/>
  <c r="O4"/>
  <c r="Q3"/>
  <c r="P3"/>
  <c r="O3"/>
  <c r="Q2"/>
  <c r="P2"/>
  <c r="O2"/>
  <c r="M5" i="8" a="1"/>
  <c r="M5" s="1"/>
  <c r="D18"/>
  <c r="E18"/>
  <c r="H17" a="1"/>
  <c r="H17" s="1"/>
  <c r="H16" a="1"/>
  <c r="H16" s="1"/>
  <c r="H20"/>
  <c r="N16"/>
  <c r="H12"/>
  <c r="H11"/>
  <c r="D23"/>
  <c r="E23"/>
  <c r="D22"/>
  <c r="E22"/>
  <c r="D21"/>
  <c r="E21"/>
  <c r="D20"/>
  <c r="E20"/>
  <c r="D19"/>
  <c r="E19"/>
  <c r="D17"/>
  <c r="E17"/>
  <c r="D16"/>
  <c r="E16"/>
  <c r="D15"/>
  <c r="H21"/>
  <c r="H15"/>
  <c r="E3"/>
  <c r="E4"/>
  <c r="E5"/>
  <c r="E6"/>
  <c r="E7"/>
  <c r="E8"/>
  <c r="E9"/>
  <c r="E10"/>
  <c r="E11"/>
  <c r="E12"/>
  <c r="E13"/>
  <c r="E14"/>
  <c r="E15"/>
  <c r="E2"/>
  <c r="D14"/>
  <c r="D13"/>
  <c r="G13" s="1"/>
  <c r="D12"/>
  <c r="D11"/>
  <c r="D10"/>
  <c r="D3"/>
  <c r="D4"/>
  <c r="D5"/>
  <c r="D6"/>
  <c r="H13" s="1"/>
  <c r="D7"/>
  <c r="D8"/>
  <c r="D9"/>
  <c r="D2"/>
  <c r="J9"/>
  <c r="I9"/>
  <c r="H9"/>
  <c r="J6"/>
  <c r="I6"/>
  <c r="I5"/>
  <c r="H6"/>
  <c r="H5"/>
  <c r="J10" i="7" a="1"/>
  <c r="J10" s="1"/>
  <c r="J11" a="1"/>
  <c r="J11" s="1"/>
  <c r="J12" a="1"/>
  <c r="J12" s="1"/>
  <c r="J13" a="1"/>
  <c r="J13" s="1"/>
  <c r="J14" a="1"/>
  <c r="J14"/>
  <c r="J15" a="1"/>
  <c r="J15"/>
  <c r="J16" a="1"/>
  <c r="J16" s="1"/>
  <c r="J17" a="1"/>
  <c r="J17"/>
  <c r="J9" a="1"/>
  <c r="J9" s="1"/>
  <c r="J8" a="1"/>
  <c r="J8" s="1"/>
  <c r="J7" a="1"/>
  <c r="J7" s="1"/>
  <c r="J6" a="1"/>
  <c r="J6" s="1"/>
  <c r="J5" a="1"/>
  <c r="J5" s="1"/>
  <c r="J4" a="1"/>
  <c r="J4" s="1"/>
  <c r="J3" a="1"/>
  <c r="J3" s="1"/>
  <c r="J2" a="1"/>
  <c r="J2" s="1"/>
  <c r="C3" a="1"/>
  <c r="C3" s="1"/>
  <c r="C4" a="1"/>
  <c r="C4" s="1"/>
  <c r="C5" a="1"/>
  <c r="C5" s="1"/>
  <c r="C6" a="1"/>
  <c r="C6" s="1"/>
  <c r="C7" a="1"/>
  <c r="C7" s="1"/>
  <c r="C8" a="1"/>
  <c r="C8" s="1"/>
  <c r="C9" a="1"/>
  <c r="C9" s="1"/>
  <c r="C10" a="1"/>
  <c r="C10" s="1"/>
  <c r="C11" a="1"/>
  <c r="C11" s="1"/>
  <c r="C12" a="1"/>
  <c r="C12" s="1"/>
  <c r="C13" a="1"/>
  <c r="C13" s="1"/>
  <c r="C14" a="1"/>
  <c r="C14" s="1"/>
  <c r="C15" a="1"/>
  <c r="C15" s="1"/>
  <c r="C16" a="1"/>
  <c r="C16" s="1"/>
  <c r="C17" a="1"/>
  <c r="C17" s="1"/>
  <c r="C2" a="1"/>
  <c r="C2" s="1"/>
  <c r="I8"/>
  <c r="I9"/>
  <c r="I10"/>
  <c r="I11"/>
  <c r="I12"/>
  <c r="I13"/>
  <c r="I14"/>
  <c r="I15"/>
  <c r="I16"/>
  <c r="I17"/>
  <c r="I7"/>
  <c r="I6"/>
  <c r="I5"/>
  <c r="I4"/>
  <c r="I3"/>
  <c r="I2"/>
  <c r="H3"/>
  <c r="H4"/>
  <c r="H5"/>
  <c r="H6"/>
  <c r="H7"/>
  <c r="H8"/>
  <c r="H9"/>
  <c r="H10"/>
  <c r="H11"/>
  <c r="H12"/>
  <c r="H13"/>
  <c r="H14"/>
  <c r="H15"/>
  <c r="H16"/>
  <c r="H17"/>
  <c r="H2"/>
  <c r="G2"/>
  <c r="G17"/>
  <c r="G3"/>
  <c r="G4"/>
  <c r="G5"/>
  <c r="G6"/>
  <c r="G7"/>
  <c r="G8"/>
  <c r="G9"/>
  <c r="G10"/>
  <c r="G11"/>
  <c r="G12"/>
  <c r="G13"/>
  <c r="G14"/>
  <c r="G15"/>
  <c r="G16"/>
  <c r="F3"/>
  <c r="F4"/>
  <c r="F5"/>
  <c r="F6"/>
  <c r="F7"/>
  <c r="F8"/>
  <c r="F9"/>
  <c r="F10"/>
  <c r="F11"/>
  <c r="F12"/>
  <c r="F13"/>
  <c r="F14"/>
  <c r="F15"/>
  <c r="F16"/>
  <c r="F17"/>
  <c r="F2"/>
  <c r="G9" i="6"/>
  <c r="G18"/>
  <c r="H17"/>
  <c r="I2"/>
  <c r="H2"/>
  <c r="G2"/>
  <c r="F2"/>
  <c r="E2"/>
  <c r="G17"/>
  <c r="H10"/>
  <c r="H11"/>
  <c r="H12"/>
  <c r="H13"/>
  <c r="H9"/>
  <c r="G12"/>
  <c r="G11"/>
  <c r="G10"/>
  <c r="O27"/>
  <c r="N27"/>
  <c r="O26"/>
  <c r="P26" s="1"/>
  <c r="N26"/>
  <c r="O25"/>
  <c r="N25"/>
  <c r="O24"/>
  <c r="N24"/>
  <c r="O23"/>
  <c r="N23"/>
  <c r="Y22"/>
  <c r="O22"/>
  <c r="P22" s="1"/>
  <c r="N22"/>
  <c r="Y21"/>
  <c r="O21"/>
  <c r="P21" s="1"/>
  <c r="N21"/>
  <c r="Y20"/>
  <c r="O20"/>
  <c r="N20"/>
  <c r="Y19"/>
  <c r="O19"/>
  <c r="N19"/>
  <c r="Y18"/>
  <c r="V18"/>
  <c r="O18"/>
  <c r="N18"/>
  <c r="P18" s="1"/>
  <c r="Y17"/>
  <c r="V17"/>
  <c r="O17"/>
  <c r="N17"/>
  <c r="Y16"/>
  <c r="V16"/>
  <c r="O16"/>
  <c r="P16" s="1"/>
  <c r="N16"/>
  <c r="Y15"/>
  <c r="V15"/>
  <c r="O15"/>
  <c r="N15"/>
  <c r="Y14"/>
  <c r="V14"/>
  <c r="O14"/>
  <c r="P14" s="1"/>
  <c r="N14"/>
  <c r="Y13"/>
  <c r="V13"/>
  <c r="O13"/>
  <c r="N13"/>
  <c r="O12"/>
  <c r="P12" s="1"/>
  <c r="N12"/>
  <c r="O11"/>
  <c r="N11"/>
  <c r="O10"/>
  <c r="N10"/>
  <c r="T9"/>
  <c r="S9"/>
  <c r="O9"/>
  <c r="N9"/>
  <c r="T8"/>
  <c r="S8"/>
  <c r="O8"/>
  <c r="P8" s="1"/>
  <c r="N8"/>
  <c r="O7"/>
  <c r="N7"/>
  <c r="V6"/>
  <c r="U6"/>
  <c r="V5"/>
  <c r="U5"/>
  <c r="O6" i="5"/>
  <c r="N6"/>
  <c r="M9"/>
  <c r="O5"/>
  <c r="N5"/>
  <c r="M8"/>
  <c r="R14"/>
  <c r="R15"/>
  <c r="R16"/>
  <c r="R17"/>
  <c r="R18"/>
  <c r="R19"/>
  <c r="R20"/>
  <c r="R21"/>
  <c r="R22"/>
  <c r="R13"/>
  <c r="O14"/>
  <c r="O15"/>
  <c r="O16"/>
  <c r="O17"/>
  <c r="O18"/>
  <c r="O13"/>
  <c r="L9"/>
  <c r="L8"/>
  <c r="H8"/>
  <c r="I8" s="1"/>
  <c r="H9"/>
  <c r="I9" s="1"/>
  <c r="H10"/>
  <c r="I10" s="1"/>
  <c r="H11"/>
  <c r="I11" s="1"/>
  <c r="H12"/>
  <c r="I12" s="1"/>
  <c r="H13"/>
  <c r="I13" s="1"/>
  <c r="H14"/>
  <c r="I14" s="1"/>
  <c r="H15"/>
  <c r="I15" s="1"/>
  <c r="H16"/>
  <c r="I16" s="1"/>
  <c r="H17"/>
  <c r="I17" s="1"/>
  <c r="H18"/>
  <c r="I18" s="1"/>
  <c r="H19"/>
  <c r="I19" s="1"/>
  <c r="H20"/>
  <c r="I20" s="1"/>
  <c r="H21"/>
  <c r="I21" s="1"/>
  <c r="H22"/>
  <c r="I22" s="1"/>
  <c r="H23"/>
  <c r="I23" s="1"/>
  <c r="H24"/>
  <c r="I24" s="1"/>
  <c r="H25"/>
  <c r="I25" s="1"/>
  <c r="H26"/>
  <c r="I26" s="1"/>
  <c r="H27"/>
  <c r="H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I27" s="1"/>
  <c r="G7"/>
  <c r="I7" s="1"/>
  <c r="G5" i="4"/>
  <c r="G3"/>
  <c r="G2"/>
  <c r="G4"/>
  <c r="D23" i="3"/>
  <c r="D22"/>
  <c r="D21"/>
  <c r="D14"/>
  <c r="I4"/>
  <c r="J17"/>
  <c r="I13"/>
  <c r="D4"/>
  <c r="D5"/>
  <c r="D6"/>
  <c r="D7"/>
  <c r="D8"/>
  <c r="D9"/>
  <c r="G11"/>
  <c r="G10"/>
  <c r="G9"/>
  <c r="G7"/>
  <c r="I6"/>
  <c r="H6"/>
  <c r="G6"/>
  <c r="G5"/>
  <c r="H4"/>
  <c r="G4"/>
  <c r="C23" i="2"/>
  <c r="Q2" i="1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976"/>
  <c r="Q977"/>
  <c r="Q978"/>
  <c r="Q979"/>
  <c r="Q980"/>
  <c r="Q981"/>
  <c r="Q982"/>
  <c r="Q983"/>
  <c r="Q984"/>
  <c r="Q985"/>
  <c r="Q986"/>
  <c r="Q987"/>
  <c r="Q988"/>
  <c r="Q989"/>
  <c r="Q990"/>
  <c r="Q991"/>
  <c r="Q992"/>
  <c r="Q993"/>
  <c r="Q994"/>
  <c r="Q995"/>
  <c r="Q996"/>
  <c r="Q997"/>
  <c r="Q998"/>
  <c r="Q999"/>
  <c r="Q1000"/>
  <c r="Q1001"/>
  <c r="E36" i="2"/>
  <c r="C24" a="1"/>
  <c r="C24" s="1"/>
  <c r="C22"/>
  <c r="C44"/>
  <c r="C43"/>
  <c r="C42"/>
  <c r="P2" i="1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C40" i="2"/>
  <c r="C39"/>
  <c r="C38"/>
  <c r="C37"/>
  <c r="C36"/>
  <c r="C25"/>
  <c r="C33"/>
  <c r="C35"/>
  <c r="C34"/>
  <c r="C32"/>
  <c r="C31"/>
  <c r="C30"/>
  <c r="C29"/>
  <c r="G26"/>
  <c r="C28"/>
  <c r="C27"/>
  <c r="C26"/>
  <c r="C21"/>
  <c r="C20"/>
  <c r="C19"/>
  <c r="C18"/>
  <c r="C17"/>
  <c r="C16"/>
  <c r="C15"/>
  <c r="C14"/>
  <c r="C13"/>
  <c r="C12"/>
  <c r="C11"/>
  <c r="C10"/>
  <c r="C9"/>
  <c r="C8"/>
  <c r="D7"/>
  <c r="D6"/>
  <c r="C7"/>
  <c r="C6"/>
  <c r="O2" i="1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O1001"/>
  <c r="C4" i="2"/>
  <c r="C3"/>
  <c r="C2"/>
  <c r="N20" i="8" l="1"/>
  <c r="N5"/>
  <c r="N6"/>
  <c r="N18"/>
  <c r="N7"/>
  <c r="N19"/>
  <c r="N8"/>
  <c r="N9"/>
  <c r="N21"/>
  <c r="N10"/>
  <c r="N11"/>
  <c r="N17"/>
  <c r="N15"/>
  <c r="N14"/>
  <c r="N13"/>
  <c r="N12"/>
  <c r="P13" i="6"/>
  <c r="P17"/>
  <c r="P7"/>
  <c r="P11"/>
  <c r="P27"/>
  <c r="P9"/>
  <c r="P19"/>
  <c r="P23"/>
  <c r="P24"/>
  <c r="P10"/>
  <c r="P20"/>
  <c r="P25"/>
  <c r="P15"/>
  <c r="AA21" i="10"/>
  <c r="AA20"/>
  <c r="AA19"/>
  <c r="AA18"/>
  <c r="AA17"/>
  <c r="AA16"/>
  <c r="AA15"/>
  <c r="AA14"/>
  <c r="AA13"/>
  <c r="AA12"/>
  <c r="AA11"/>
  <c r="AA10"/>
  <c r="AA9"/>
  <c r="AA8"/>
  <c r="Z11"/>
  <c r="Z10"/>
  <c r="Z9"/>
  <c r="Z8"/>
  <c r="Y12"/>
  <c r="Y11"/>
  <c r="Y10"/>
  <c r="Y9"/>
  <c r="Y8"/>
  <c r="X10"/>
  <c r="X9"/>
  <c r="X8"/>
  <c r="W12"/>
  <c r="W11"/>
  <c r="W10"/>
  <c r="W9"/>
  <c r="W8"/>
  <c r="V15"/>
  <c r="V14"/>
  <c r="V13"/>
  <c r="V12"/>
  <c r="V11"/>
  <c r="V10"/>
  <c r="V9"/>
  <c r="V8"/>
  <c r="U41"/>
  <c r="U40"/>
  <c r="U39"/>
  <c r="U38"/>
  <c r="U37"/>
  <c r="U36"/>
  <c r="U35"/>
  <c r="U34"/>
  <c r="U33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T918"/>
  <c r="T917"/>
  <c r="T916"/>
  <c r="T915"/>
  <c r="T914"/>
  <c r="T913"/>
  <c r="T912"/>
  <c r="T911"/>
  <c r="T910"/>
  <c r="T909"/>
  <c r="T908"/>
  <c r="T907"/>
  <c r="T906"/>
  <c r="T905"/>
  <c r="T904"/>
  <c r="T903"/>
  <c r="T902"/>
  <c r="T901"/>
  <c r="T900"/>
  <c r="T899"/>
  <c r="T898"/>
  <c r="T897"/>
  <c r="T896"/>
  <c r="T895"/>
  <c r="T894"/>
  <c r="T893"/>
  <c r="T892"/>
  <c r="T891"/>
  <c r="T890"/>
  <c r="T889"/>
  <c r="T888"/>
  <c r="T887"/>
  <c r="T886"/>
  <c r="T885"/>
  <c r="T884"/>
  <c r="T883"/>
  <c r="T882"/>
  <c r="T881"/>
  <c r="T880"/>
  <c r="T879"/>
  <c r="T878"/>
  <c r="T877"/>
  <c r="T876"/>
  <c r="T875"/>
  <c r="T874"/>
  <c r="T873"/>
  <c r="T872"/>
  <c r="T871"/>
  <c r="T870"/>
  <c r="T869"/>
  <c r="T868"/>
  <c r="T867"/>
  <c r="T866"/>
  <c r="T865"/>
  <c r="T864"/>
  <c r="T863"/>
  <c r="T862"/>
  <c r="T861"/>
  <c r="T860"/>
  <c r="T859"/>
  <c r="T858"/>
  <c r="T857"/>
  <c r="T856"/>
  <c r="T855"/>
  <c r="T854"/>
  <c r="T853"/>
  <c r="T852"/>
  <c r="T851"/>
  <c r="T850"/>
  <c r="T849"/>
  <c r="T848"/>
  <c r="T847"/>
  <c r="T846"/>
  <c r="T845"/>
  <c r="T844"/>
  <c r="T843"/>
  <c r="T842"/>
  <c r="T841"/>
  <c r="T840"/>
  <c r="T839"/>
  <c r="T838"/>
  <c r="T837"/>
  <c r="T836"/>
  <c r="T835"/>
  <c r="T834"/>
  <c r="T833"/>
  <c r="T832"/>
  <c r="T831"/>
  <c r="T830"/>
  <c r="T829"/>
  <c r="T828"/>
  <c r="T827"/>
  <c r="T826"/>
  <c r="T825"/>
  <c r="T824"/>
  <c r="T823"/>
  <c r="T822"/>
  <c r="T821"/>
  <c r="T820"/>
  <c r="T819"/>
  <c r="T818"/>
  <c r="T817"/>
  <c r="T816"/>
  <c r="T815"/>
  <c r="T814"/>
  <c r="T813"/>
  <c r="T812"/>
  <c r="T811"/>
  <c r="T810"/>
  <c r="T809"/>
  <c r="T808"/>
  <c r="T807"/>
  <c r="T806"/>
  <c r="T805"/>
  <c r="T804"/>
  <c r="T803"/>
  <c r="T802"/>
  <c r="T801"/>
  <c r="T800"/>
  <c r="T799"/>
  <c r="T798"/>
  <c r="T797"/>
  <c r="T796"/>
  <c r="T795"/>
  <c r="T794"/>
  <c r="T793"/>
  <c r="T792"/>
  <c r="T791"/>
  <c r="T790"/>
  <c r="T789"/>
  <c r="T788"/>
  <c r="T787"/>
  <c r="T786"/>
  <c r="T785"/>
  <c r="T784"/>
  <c r="T783"/>
  <c r="T782"/>
  <c r="T781"/>
  <c r="T780"/>
  <c r="T779"/>
  <c r="T778"/>
  <c r="T777"/>
  <c r="T776"/>
  <c r="T775"/>
  <c r="T774"/>
  <c r="T773"/>
  <c r="T772"/>
  <c r="T771"/>
  <c r="T770"/>
  <c r="T769"/>
  <c r="T768"/>
  <c r="T767"/>
  <c r="T766"/>
  <c r="T765"/>
  <c r="T764"/>
  <c r="T763"/>
  <c r="T762"/>
  <c r="T761"/>
  <c r="T760"/>
  <c r="T759"/>
  <c r="T758"/>
  <c r="T757"/>
  <c r="T756"/>
  <c r="T755"/>
  <c r="T754"/>
  <c r="T753"/>
  <c r="T752"/>
  <c r="T751"/>
  <c r="T750"/>
  <c r="T749"/>
  <c r="T748"/>
  <c r="T747"/>
  <c r="T746"/>
  <c r="T745"/>
  <c r="T744"/>
  <c r="T743"/>
  <c r="T742"/>
  <c r="T741"/>
  <c r="T740"/>
  <c r="T739"/>
  <c r="T738"/>
  <c r="T737"/>
  <c r="T736"/>
  <c r="T735"/>
  <c r="T734"/>
  <c r="T733"/>
  <c r="T732"/>
  <c r="T731"/>
  <c r="T730"/>
  <c r="T729"/>
  <c r="T728"/>
  <c r="T727"/>
  <c r="T726"/>
  <c r="T725"/>
  <c r="T724"/>
  <c r="T723"/>
  <c r="T722"/>
  <c r="T721"/>
  <c r="T720"/>
  <c r="T719"/>
  <c r="T718"/>
  <c r="T717"/>
  <c r="T716"/>
  <c r="T715"/>
  <c r="T714"/>
  <c r="T713"/>
  <c r="T712"/>
  <c r="T711"/>
  <c r="T710"/>
  <c r="T709"/>
  <c r="T708"/>
  <c r="T707"/>
  <c r="T706"/>
  <c r="T705"/>
  <c r="T704"/>
  <c r="T703"/>
  <c r="T702"/>
  <c r="T701"/>
  <c r="T700"/>
  <c r="T699"/>
  <c r="T698"/>
  <c r="T697"/>
  <c r="T696"/>
  <c r="T695"/>
  <c r="T694"/>
  <c r="T693"/>
  <c r="T692"/>
  <c r="T691"/>
  <c r="T690"/>
  <c r="T689"/>
  <c r="T688"/>
  <c r="T687"/>
  <c r="T686"/>
  <c r="T685"/>
  <c r="T684"/>
  <c r="T683"/>
  <c r="T682"/>
  <c r="T681"/>
  <c r="T680"/>
  <c r="T679"/>
  <c r="T678"/>
  <c r="T677"/>
  <c r="T676"/>
  <c r="T675"/>
  <c r="T674"/>
  <c r="T673"/>
  <c r="T672"/>
  <c r="T671"/>
  <c r="T670"/>
  <c r="T669"/>
  <c r="T668"/>
  <c r="T667"/>
  <c r="T666"/>
  <c r="T665"/>
  <c r="T664"/>
  <c r="T663"/>
  <c r="T662"/>
  <c r="T661"/>
  <c r="T660"/>
  <c r="T659"/>
  <c r="T658"/>
  <c r="T657"/>
  <c r="T656"/>
  <c r="T655"/>
  <c r="T654"/>
  <c r="T653"/>
  <c r="T652"/>
  <c r="T651"/>
  <c r="T650"/>
  <c r="T649"/>
  <c r="T648"/>
  <c r="T647"/>
  <c r="T646"/>
  <c r="T645"/>
  <c r="T644"/>
  <c r="T643"/>
  <c r="T642"/>
  <c r="T641"/>
  <c r="T640"/>
  <c r="T639"/>
  <c r="T638"/>
  <c r="T637"/>
  <c r="T636"/>
  <c r="T635"/>
  <c r="T634"/>
  <c r="T633"/>
  <c r="T632"/>
  <c r="T631"/>
  <c r="T630"/>
  <c r="T629"/>
  <c r="T628"/>
  <c r="T627"/>
  <c r="T626"/>
  <c r="T625"/>
  <c r="T624"/>
  <c r="T623"/>
  <c r="T622"/>
  <c r="T621"/>
  <c r="T620"/>
  <c r="T619"/>
  <c r="T618"/>
  <c r="T617"/>
  <c r="T616"/>
  <c r="T615"/>
  <c r="T614"/>
  <c r="T613"/>
  <c r="T612"/>
  <c r="T611"/>
  <c r="T610"/>
  <c r="T609"/>
  <c r="T608"/>
  <c r="T607"/>
  <c r="T606"/>
  <c r="T605"/>
  <c r="T604"/>
  <c r="T603"/>
  <c r="T602"/>
  <c r="T601"/>
  <c r="T600"/>
  <c r="T599"/>
  <c r="T598"/>
  <c r="T597"/>
  <c r="T596"/>
  <c r="T595"/>
  <c r="T594"/>
  <c r="T593"/>
  <c r="T592"/>
  <c r="T591"/>
  <c r="T590"/>
  <c r="T589"/>
  <c r="T588"/>
  <c r="T587"/>
  <c r="T586"/>
  <c r="T585"/>
  <c r="T584"/>
  <c r="T583"/>
  <c r="T582"/>
  <c r="T581"/>
  <c r="T580"/>
  <c r="T579"/>
  <c r="T578"/>
  <c r="T577"/>
  <c r="T576"/>
  <c r="T575"/>
  <c r="T574"/>
  <c r="T573"/>
  <c r="T572"/>
  <c r="T571"/>
  <c r="T570"/>
  <c r="T569"/>
  <c r="T568"/>
  <c r="T567"/>
  <c r="T566"/>
  <c r="T565"/>
  <c r="T564"/>
  <c r="T563"/>
  <c r="T562"/>
  <c r="T561"/>
  <c r="T560"/>
  <c r="T559"/>
  <c r="T558"/>
  <c r="T557"/>
  <c r="T556"/>
  <c r="T555"/>
  <c r="T554"/>
  <c r="T553"/>
  <c r="T552"/>
  <c r="T551"/>
  <c r="T550"/>
  <c r="T549"/>
  <c r="T548"/>
  <c r="T547"/>
  <c r="T546"/>
  <c r="T545"/>
  <c r="T544"/>
  <c r="T543"/>
  <c r="T542"/>
  <c r="T541"/>
  <c r="T540"/>
  <c r="T539"/>
  <c r="T538"/>
  <c r="T537"/>
  <c r="T536"/>
  <c r="T535"/>
  <c r="T534"/>
  <c r="T533"/>
  <c r="T532"/>
  <c r="T531"/>
  <c r="T530"/>
  <c r="T529"/>
  <c r="T528"/>
  <c r="T527"/>
  <c r="T526"/>
  <c r="T525"/>
  <c r="T524"/>
  <c r="T523"/>
  <c r="T522"/>
  <c r="T521"/>
  <c r="T520"/>
  <c r="T519"/>
  <c r="T518"/>
  <c r="T517"/>
  <c r="T516"/>
  <c r="T515"/>
  <c r="T514"/>
  <c r="T513"/>
  <c r="T512"/>
  <c r="T511"/>
  <c r="T510"/>
  <c r="T509"/>
  <c r="T508"/>
  <c r="T507"/>
  <c r="T506"/>
  <c r="T505"/>
  <c r="T504"/>
  <c r="T503"/>
  <c r="T502"/>
  <c r="T501"/>
  <c r="T500"/>
  <c r="T499"/>
  <c r="T498"/>
  <c r="T497"/>
  <c r="T496"/>
  <c r="T495"/>
  <c r="T494"/>
  <c r="T493"/>
  <c r="T492"/>
  <c r="T491"/>
  <c r="T490"/>
  <c r="T489"/>
  <c r="T488"/>
  <c r="T487"/>
  <c r="T486"/>
  <c r="T485"/>
  <c r="T484"/>
  <c r="T483"/>
  <c r="T482"/>
  <c r="T481"/>
  <c r="T480"/>
  <c r="T479"/>
  <c r="T478"/>
  <c r="T477"/>
  <c r="T476"/>
  <c r="T475"/>
  <c r="T474"/>
  <c r="T473"/>
  <c r="T472"/>
  <c r="T471"/>
  <c r="T470"/>
  <c r="T469"/>
  <c r="T468"/>
  <c r="T467"/>
  <c r="T466"/>
  <c r="T465"/>
  <c r="T464"/>
  <c r="T463"/>
  <c r="T462"/>
  <c r="T461"/>
  <c r="T460"/>
  <c r="T459"/>
  <c r="T458"/>
  <c r="T457"/>
  <c r="T456"/>
  <c r="T455"/>
  <c r="T454"/>
  <c r="T453"/>
  <c r="T452"/>
  <c r="T451"/>
  <c r="T450"/>
  <c r="T449"/>
  <c r="T448"/>
  <c r="T447"/>
  <c r="T446"/>
  <c r="T445"/>
  <c r="T444"/>
  <c r="T443"/>
  <c r="T442"/>
  <c r="T441"/>
  <c r="T440"/>
  <c r="T439"/>
  <c r="T438"/>
  <c r="T437"/>
  <c r="T436"/>
  <c r="T435"/>
  <c r="T434"/>
  <c r="T433"/>
  <c r="T432"/>
  <c r="T431"/>
  <c r="T430"/>
  <c r="T429"/>
  <c r="T428"/>
  <c r="T427"/>
  <c r="T426"/>
  <c r="T425"/>
  <c r="T424"/>
  <c r="T423"/>
  <c r="T422"/>
  <c r="T421"/>
  <c r="T420"/>
  <c r="T419"/>
  <c r="T418"/>
  <c r="T417"/>
  <c r="T416"/>
  <c r="T415"/>
  <c r="T414"/>
  <c r="T413"/>
  <c r="T412"/>
  <c r="T411"/>
  <c r="T410"/>
  <c r="T409"/>
  <c r="T408"/>
  <c r="T407"/>
  <c r="T406"/>
  <c r="T405"/>
  <c r="T404"/>
  <c r="T403"/>
  <c r="T402"/>
  <c r="T401"/>
  <c r="T400"/>
  <c r="T399"/>
  <c r="T398"/>
  <c r="T397"/>
  <c r="T396"/>
  <c r="T395"/>
  <c r="T394"/>
  <c r="T393"/>
  <c r="T392"/>
  <c r="T391"/>
  <c r="T390"/>
  <c r="T389"/>
  <c r="T388"/>
  <c r="T387"/>
  <c r="T386"/>
  <c r="T385"/>
  <c r="T384"/>
  <c r="T383"/>
  <c r="T382"/>
  <c r="T381"/>
  <c r="T380"/>
  <c r="T379"/>
  <c r="T378"/>
  <c r="T377"/>
  <c r="T376"/>
  <c r="T375"/>
  <c r="T374"/>
  <c r="T373"/>
  <c r="T372"/>
  <c r="T371"/>
  <c r="T370"/>
  <c r="T369"/>
  <c r="T368"/>
  <c r="T367"/>
  <c r="T366"/>
  <c r="T365"/>
  <c r="T364"/>
  <c r="T363"/>
  <c r="T362"/>
  <c r="T361"/>
  <c r="T360"/>
  <c r="T359"/>
  <c r="T358"/>
  <c r="T357"/>
  <c r="T356"/>
  <c r="T355"/>
  <c r="T354"/>
  <c r="T353"/>
  <c r="T352"/>
  <c r="T351"/>
  <c r="T350"/>
  <c r="T349"/>
  <c r="T348"/>
  <c r="T347"/>
  <c r="T346"/>
  <c r="T345"/>
  <c r="T344"/>
  <c r="T343"/>
  <c r="T342"/>
  <c r="T341"/>
  <c r="T340"/>
  <c r="T339"/>
  <c r="T338"/>
  <c r="T337"/>
  <c r="T336"/>
  <c r="T335"/>
  <c r="T334"/>
  <c r="T333"/>
  <c r="T332"/>
  <c r="T331"/>
  <c r="T330"/>
  <c r="T329"/>
  <c r="T328"/>
  <c r="T327"/>
  <c r="T326"/>
  <c r="T325"/>
  <c r="T324"/>
  <c r="T323"/>
  <c r="T322"/>
  <c r="T321"/>
  <c r="T320"/>
  <c r="T319"/>
  <c r="T318"/>
  <c r="T317"/>
  <c r="T316"/>
  <c r="T315"/>
  <c r="T314"/>
  <c r="T313"/>
  <c r="T312"/>
  <c r="T311"/>
  <c r="T310"/>
  <c r="T309"/>
  <c r="T308"/>
  <c r="T307"/>
  <c r="T306"/>
  <c r="T305"/>
  <c r="T304"/>
  <c r="T303"/>
  <c r="T302"/>
  <c r="T301"/>
  <c r="T300"/>
  <c r="T299"/>
  <c r="T298"/>
  <c r="T297"/>
  <c r="T296"/>
  <c r="T295"/>
  <c r="T294"/>
  <c r="T293"/>
  <c r="T292"/>
  <c r="T291"/>
  <c r="T290"/>
  <c r="T289"/>
  <c r="T288"/>
  <c r="T287"/>
  <c r="T286"/>
  <c r="T285"/>
  <c r="T284"/>
  <c r="T283"/>
  <c r="T282"/>
  <c r="T281"/>
  <c r="T280"/>
  <c r="T279"/>
  <c r="T278"/>
  <c r="T277"/>
  <c r="T276"/>
  <c r="T275"/>
  <c r="T274"/>
  <c r="T273"/>
  <c r="T272"/>
  <c r="T271"/>
  <c r="T270"/>
  <c r="T269"/>
  <c r="T268"/>
  <c r="T267"/>
  <c r="T266"/>
  <c r="T265"/>
  <c r="T264"/>
  <c r="T263"/>
  <c r="T262"/>
  <c r="T261"/>
  <c r="T260"/>
  <c r="T259"/>
  <c r="T258"/>
  <c r="T257"/>
  <c r="T256"/>
  <c r="T255"/>
  <c r="T254"/>
  <c r="T253"/>
  <c r="T252"/>
  <c r="T251"/>
  <c r="T250"/>
  <c r="T249"/>
  <c r="T248"/>
  <c r="T247"/>
  <c r="T246"/>
  <c r="T245"/>
  <c r="T244"/>
  <c r="T243"/>
  <c r="T242"/>
  <c r="T241"/>
  <c r="T240"/>
  <c r="T239"/>
  <c r="T238"/>
  <c r="T237"/>
  <c r="T236"/>
  <c r="T235"/>
  <c r="T234"/>
  <c r="T233"/>
  <c r="T232"/>
  <c r="T231"/>
  <c r="T230"/>
  <c r="T229"/>
  <c r="T228"/>
  <c r="T227"/>
  <c r="T226"/>
  <c r="T225"/>
  <c r="T224"/>
  <c r="T223"/>
  <c r="T222"/>
  <c r="T221"/>
  <c r="T220"/>
  <c r="T219"/>
  <c r="T218"/>
  <c r="T217"/>
  <c r="T216"/>
  <c r="T215"/>
  <c r="T214"/>
  <c r="T213"/>
  <c r="T212"/>
  <c r="T211"/>
  <c r="T210"/>
  <c r="T209"/>
  <c r="T208"/>
  <c r="T207"/>
  <c r="T206"/>
  <c r="T205"/>
  <c r="T204"/>
  <c r="T203"/>
  <c r="T202"/>
  <c r="T201"/>
  <c r="T200"/>
  <c r="T199"/>
  <c r="T198"/>
  <c r="T197"/>
  <c r="T196"/>
  <c r="T195"/>
  <c r="T194"/>
  <c r="T193"/>
  <c r="T192"/>
  <c r="T191"/>
  <c r="T190"/>
  <c r="T189"/>
  <c r="T188"/>
  <c r="T187"/>
  <c r="T186"/>
  <c r="T185"/>
  <c r="T184"/>
  <c r="T183"/>
  <c r="T182"/>
  <c r="T181"/>
  <c r="T180"/>
  <c r="T179"/>
  <c r="T178"/>
  <c r="T177"/>
  <c r="T176"/>
  <c r="T175"/>
  <c r="T174"/>
  <c r="T173"/>
  <c r="T172"/>
  <c r="T171"/>
  <c r="T170"/>
  <c r="T169"/>
  <c r="T168"/>
  <c r="T167"/>
  <c r="T166"/>
  <c r="T165"/>
  <c r="T164"/>
  <c r="T163"/>
  <c r="T162"/>
  <c r="T161"/>
  <c r="T160"/>
  <c r="T159"/>
  <c r="T158"/>
  <c r="T157"/>
  <c r="T156"/>
  <c r="T155"/>
  <c r="T154"/>
  <c r="T153"/>
  <c r="T152"/>
  <c r="T151"/>
  <c r="T150"/>
  <c r="T149"/>
  <c r="T148"/>
  <c r="T147"/>
  <c r="T146"/>
  <c r="T145"/>
  <c r="T144"/>
  <c r="T143"/>
  <c r="T142"/>
  <c r="T141"/>
  <c r="T140"/>
  <c r="T139"/>
  <c r="T138"/>
  <c r="T137"/>
  <c r="T136"/>
  <c r="T135"/>
  <c r="T134"/>
  <c r="T133"/>
  <c r="T132"/>
  <c r="T131"/>
  <c r="T130"/>
  <c r="T129"/>
  <c r="T128"/>
  <c r="T127"/>
  <c r="T126"/>
  <c r="T125"/>
  <c r="T124"/>
  <c r="T123"/>
  <c r="T122"/>
  <c r="T121"/>
  <c r="T120"/>
  <c r="T119"/>
  <c r="T118"/>
  <c r="T117"/>
  <c r="T116"/>
  <c r="T115"/>
  <c r="T114"/>
  <c r="T113"/>
  <c r="T112"/>
  <c r="T111"/>
  <c r="T110"/>
  <c r="T109"/>
  <c r="T108"/>
  <c r="T107"/>
  <c r="T106"/>
  <c r="T105"/>
  <c r="T104"/>
  <c r="T103"/>
  <c r="T102"/>
  <c r="T101"/>
  <c r="T100"/>
  <c r="T99"/>
  <c r="T98"/>
  <c r="T97"/>
  <c r="T96"/>
  <c r="T95"/>
  <c r="T94"/>
  <c r="T93"/>
  <c r="T92"/>
  <c r="T91"/>
  <c r="T90"/>
  <c r="T89"/>
  <c r="T88"/>
  <c r="T87"/>
  <c r="T86"/>
  <c r="T8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J17" i="8"/>
  <c r="I17"/>
  <c r="I16"/>
  <c r="M20"/>
  <c r="M19"/>
  <c r="M18"/>
  <c r="M17"/>
  <c r="M16"/>
  <c r="M15"/>
  <c r="M14"/>
  <c r="M13"/>
  <c r="M12"/>
  <c r="M11"/>
  <c r="M10"/>
  <c r="M9"/>
  <c r="M8"/>
  <c r="M7"/>
  <c r="M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<sst xmlns="http://schemas.openxmlformats.org/spreadsheetml/2006/main" count="20186" uniqueCount="2195">
  <si>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</si>
  <si>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</si>
  <si>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</si>
  <si>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</si>
  <si>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</si>
  <si>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</si>
  <si>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</si>
  <si>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</si>
  <si>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</si>
  <si>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</si>
  <si>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</si>
  <si>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</si>
  <si>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</si>
  <si>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</si>
  <si>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</si>
  <si>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</si>
  <si>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</si>
  <si>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</si>
  <si>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</si>
  <si>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</si>
  <si>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</si>
  <si>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</si>
  <si>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</si>
  <si>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</si>
  <si>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</si>
  <si>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</si>
  <si>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</si>
  <si>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</si>
  <si>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</si>
  <si>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</si>
  <si>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</si>
  <si>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</si>
  <si>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</si>
  <si>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</si>
  <si>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</si>
  <si>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</si>
  <si>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</si>
  <si>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</si>
  <si>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</si>
  <si>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</si>
  <si>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</si>
  <si>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</si>
  <si>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</si>
  <si>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</si>
  <si>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</si>
  <si>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</si>
  <si>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</si>
  <si>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</si>
  <si>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</si>
  <si>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</si>
  <si>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</si>
  <si>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</si>
  <si>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</si>
  <si>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</si>
  <si>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</si>
  <si>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</si>
  <si>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</si>
  <si>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</si>
  <si>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</si>
  <si>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</si>
  <si>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</si>
  <si>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</si>
  <si>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</si>
  <si>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</si>
  <si>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</si>
  <si>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</si>
  <si>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</si>
  <si>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</si>
  <si>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</si>
  <si>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</si>
  <si>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</si>
  <si>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</si>
  <si>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</si>
  <si>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</si>
  <si>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</si>
  <si>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</si>
  <si>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</si>
  <si>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</si>
  <si>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</si>
  <si>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</si>
  <si>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</si>
  <si>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</si>
  <si>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</si>
  <si>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</si>
  <si>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</si>
  <si>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</si>
  <si>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</si>
  <si>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</si>
  <si>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</si>
  <si>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</si>
  <si>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</si>
  <si>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</si>
  <si>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</si>
  <si>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</si>
  <si>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</si>
  <si>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</si>
  <si>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</si>
  <si>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</si>
  <si>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</si>
  <si>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</si>
  <si>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</si>
  <si>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</si>
  <si>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</si>
  <si>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</si>
  <si>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</si>
  <si>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</si>
  <si>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</si>
  <si>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</si>
  <si>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</si>
  <si>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</si>
  <si>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</si>
  <si>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</si>
  <si>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</si>
  <si>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</si>
  <si>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</si>
  <si>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</si>
  <si>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</si>
  <si>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</si>
  <si>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</si>
  <si>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</si>
  <si>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</si>
  <si>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</si>
  <si>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</si>
  <si>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</si>
  <si>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</si>
  <si>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</si>
  <si>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</si>
  <si>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</si>
  <si>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</si>
  <si>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</si>
  <si>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</si>
  <si>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</si>
  <si>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</si>
  <si>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</si>
  <si>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</si>
  <si>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</si>
  <si>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</si>
  <si>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</si>
  <si>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</si>
  <si>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</si>
  <si>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</si>
  <si>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</si>
  <si>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</si>
  <si>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</si>
  <si>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</si>
  <si>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</si>
  <si>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</si>
  <si>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</si>
  <si>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</si>
  <si>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</si>
  <si>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</si>
  <si>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</si>
  <si>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</si>
  <si>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</si>
  <si>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</si>
  <si>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</si>
  <si>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</si>
  <si>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</si>
  <si>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</si>
  <si>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</si>
  <si>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</si>
  <si>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</si>
  <si>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</si>
  <si>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</si>
  <si>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</si>
  <si>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</si>
  <si>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</si>
  <si>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</si>
  <si>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</si>
  <si>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</si>
  <si>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</si>
  <si>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</si>
  <si>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</si>
  <si>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</si>
  <si>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</si>
  <si>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</si>
  <si>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</si>
  <si>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</si>
  <si>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</si>
  <si>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</si>
  <si>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</si>
  <si>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</si>
  <si>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</si>
  <si>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</si>
  <si>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</si>
  <si>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</si>
  <si>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</si>
  <si>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</si>
  <si>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</si>
  <si>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</si>
  <si>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</si>
  <si>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</si>
  <si>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</si>
  <si>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</si>
  <si>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</si>
  <si>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</si>
  <si>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</si>
  <si>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</si>
  <si>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</si>
  <si>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</si>
  <si>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</si>
  <si>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</si>
  <si>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</si>
  <si>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</si>
  <si>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</si>
  <si>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</si>
  <si>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</si>
  <si>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</si>
  <si>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</si>
  <si>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</si>
  <si>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</si>
  <si>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</si>
  <si>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</si>
  <si>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</si>
  <si>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</si>
  <si>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</si>
  <si>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</si>
  <si>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</si>
  <si>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</si>
  <si>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</si>
  <si>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</si>
  <si>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</si>
  <si>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</si>
  <si>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</si>
  <si>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</si>
  <si>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</si>
  <si>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</si>
  <si>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</si>
  <si>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</si>
  <si>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</si>
  <si>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</si>
  <si>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</si>
  <si>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</si>
  <si>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</si>
  <si>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</si>
  <si>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</si>
  <si>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</si>
  <si>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</si>
  <si>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</si>
  <si>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</si>
  <si>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</si>
  <si>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</si>
  <si>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</si>
  <si>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</si>
  <si>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</si>
  <si>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</si>
  <si>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</si>
  <si>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</si>
  <si>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</si>
  <si>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</si>
  <si>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</si>
  <si>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</si>
  <si>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</si>
  <si>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</si>
  <si>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</si>
  <si>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</si>
  <si>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</si>
  <si>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</si>
  <si>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</si>
  <si>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</si>
  <si>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</si>
  <si>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</si>
  <si>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</si>
  <si>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</si>
  <si>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</si>
  <si>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</si>
  <si>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</si>
  <si>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</si>
  <si>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</si>
  <si>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</si>
  <si>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</si>
  <si>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</si>
  <si>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</si>
  <si>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</si>
  <si>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</si>
  <si>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</si>
  <si>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</si>
  <si>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</si>
  <si>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</si>
  <si>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</si>
  <si>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</si>
  <si>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</si>
  <si>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</si>
  <si>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</si>
  <si>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</si>
  <si>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</si>
  <si>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</si>
  <si>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</si>
  <si>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</si>
  <si>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</si>
  <si>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</si>
  <si>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</si>
  <si>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</si>
  <si>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</si>
  <si>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</si>
  <si>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</si>
  <si>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</si>
  <si>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</si>
  <si>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</si>
  <si>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</si>
  <si>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</si>
  <si>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</si>
  <si>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</si>
  <si>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</si>
  <si>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</si>
  <si>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</si>
  <si>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</si>
  <si>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</si>
  <si>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</si>
  <si>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</si>
  <si>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</si>
  <si>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</si>
  <si>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</si>
  <si>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</si>
  <si>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</si>
  <si>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</si>
  <si>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</si>
  <si>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</si>
  <si>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</si>
  <si>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</si>
  <si>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</si>
  <si>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</si>
  <si>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</si>
  <si>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</si>
  <si>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</si>
  <si>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</si>
  <si>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</si>
  <si>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</si>
  <si>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</si>
  <si>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</si>
  <si>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</si>
  <si>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</si>
  <si>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</si>
  <si>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</si>
  <si>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</si>
  <si>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</si>
  <si>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</si>
  <si>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</si>
  <si>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</si>
  <si>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</si>
  <si>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</si>
  <si>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</si>
  <si>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</si>
  <si>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</si>
  <si>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</si>
  <si>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</si>
  <si>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</si>
  <si>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</si>
  <si>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</si>
  <si>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</si>
  <si>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</si>
  <si>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</si>
  <si>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</si>
  <si>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</si>
  <si>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</si>
  <si>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</si>
  <si>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</si>
  <si>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</si>
  <si>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</si>
  <si>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</si>
  <si>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</si>
  <si>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</si>
  <si>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</si>
  <si>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</si>
  <si>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</si>
  <si>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</si>
  <si>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</si>
  <si>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</si>
  <si>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</si>
  <si>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</si>
  <si>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</si>
  <si>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</si>
  <si>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</si>
  <si>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</si>
  <si>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</si>
  <si>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</si>
  <si>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</si>
  <si>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</si>
  <si>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</si>
  <si>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</si>
  <si>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</si>
  <si>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</si>
  <si>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</si>
  <si>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</si>
  <si>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</si>
  <si>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</si>
  <si>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</si>
  <si>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</si>
  <si>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</si>
  <si>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</si>
  <si>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</si>
  <si>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</si>
  <si>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</si>
  <si>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</si>
  <si>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</si>
  <si>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</si>
  <si>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</si>
  <si>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</si>
  <si>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</si>
  <si>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</si>
  <si>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</si>
  <si>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</si>
  <si>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</si>
  <si>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</si>
  <si>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</si>
  <si>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</si>
  <si>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</si>
  <si>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</si>
  <si>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</si>
  <si>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</si>
  <si>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</si>
  <si>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</si>
  <si>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</si>
  <si>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</si>
  <si>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</si>
  <si>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</si>
  <si>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</si>
  <si>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</si>
  <si>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</si>
  <si>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</si>
  <si>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</si>
  <si>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</si>
  <si>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</si>
  <si>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</si>
  <si>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</si>
  <si>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</si>
  <si>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</si>
  <si>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</si>
  <si>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</si>
  <si>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</si>
  <si>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</si>
  <si>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</si>
  <si>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</si>
  <si>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</si>
  <si>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</si>
  <si>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</si>
  <si>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</si>
  <si>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</si>
  <si>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</si>
  <si>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</si>
  <si>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</si>
  <si>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</si>
  <si>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</si>
  <si>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</si>
  <si>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</si>
  <si>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</si>
  <si>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</si>
  <si>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</si>
  <si>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</si>
  <si>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</si>
  <si>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</si>
  <si>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</si>
  <si>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</si>
  <si>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</si>
  <si>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</si>
  <si>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</si>
  <si>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</si>
  <si>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</si>
  <si>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</si>
  <si>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</si>
  <si>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</si>
  <si>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</si>
  <si>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</si>
  <si>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</si>
  <si>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</si>
  <si>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</si>
  <si>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</si>
  <si>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</si>
  <si>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</si>
  <si>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</si>
  <si>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</si>
  <si>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</si>
  <si>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</si>
  <si>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</si>
  <si>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</si>
  <si>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</si>
  <si>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</si>
  <si>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</si>
  <si>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</si>
  <si>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</si>
  <si>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</si>
  <si>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</si>
  <si>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</si>
  <si>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</si>
  <si>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</si>
  <si>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</si>
  <si>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</si>
  <si>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</si>
  <si>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</si>
  <si>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</si>
  <si>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</si>
  <si>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</si>
  <si>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</si>
  <si>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</si>
  <si>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</si>
  <si>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</si>
  <si>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</si>
  <si>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</si>
  <si>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</si>
  <si>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</si>
  <si>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</si>
  <si>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</si>
  <si>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</si>
  <si>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</si>
  <si>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</si>
  <si>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</si>
  <si>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</si>
  <si>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</si>
  <si>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</si>
  <si>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</si>
  <si>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</si>
  <si>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</si>
  <si>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</si>
  <si>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</si>
  <si>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</si>
  <si>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</si>
  <si>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</si>
  <si>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</si>
  <si>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</si>
  <si>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</si>
  <si>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</si>
  <si>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</si>
  <si>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</si>
  <si>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</si>
  <si>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</si>
  <si>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</si>
  <si>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</si>
  <si>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</si>
  <si>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</si>
  <si>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</si>
  <si>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</si>
  <si>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</si>
  <si>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</si>
  <si>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</si>
  <si>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</si>
  <si>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</si>
  <si>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</si>
  <si>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</si>
  <si>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</si>
  <si>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</si>
  <si>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</si>
  <si>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</si>
  <si>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</si>
  <si>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</si>
  <si>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</si>
  <si>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</si>
  <si>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</si>
  <si>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</si>
  <si>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</si>
  <si>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</si>
  <si>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</si>
  <si>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</si>
  <si>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</si>
  <si>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</si>
  <si>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</si>
  <si>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</si>
  <si>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</si>
  <si>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</si>
  <si>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</si>
  <si>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</si>
  <si>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</si>
  <si>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</si>
  <si>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</si>
  <si>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</si>
  <si>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</si>
  <si>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</si>
  <si>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</si>
  <si>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</si>
  <si>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</si>
  <si>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</si>
  <si>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</si>
  <si>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</si>
  <si>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</si>
  <si>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</si>
  <si>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</si>
  <si>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</si>
  <si>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</si>
  <si>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</si>
  <si>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</si>
  <si>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</si>
  <si>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</si>
  <si>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</si>
  <si>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</si>
  <si>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</si>
  <si>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</si>
  <si>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</si>
  <si>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</si>
  <si>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</si>
  <si>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</si>
  <si>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</si>
  <si>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</si>
  <si>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</si>
  <si>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</si>
  <si>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</si>
  <si>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</si>
  <si>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</si>
  <si>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</si>
  <si>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</si>
  <si>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</si>
  <si>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</si>
  <si>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</si>
  <si>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</si>
  <si>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</si>
  <si>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</si>
  <si>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</si>
  <si>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</si>
  <si>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</si>
  <si>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</si>
  <si>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</si>
  <si>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</si>
  <si>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</si>
  <si>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</si>
  <si>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</si>
  <si>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</si>
  <si>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</si>
  <si>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</si>
  <si>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</si>
  <si>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</si>
  <si>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</si>
  <si>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</si>
  <si>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</si>
  <si>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</si>
  <si>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</si>
  <si>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</si>
  <si>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</si>
  <si>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</si>
  <si>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</si>
  <si>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</si>
  <si>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</si>
  <si>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</si>
  <si>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</si>
  <si>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</si>
  <si>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</si>
  <si>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</si>
  <si>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</si>
  <si>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</si>
  <si>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</si>
  <si>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</si>
  <si>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</si>
  <si>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</si>
  <si>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</si>
  <si>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</si>
  <si>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</si>
  <si>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</si>
  <si>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</si>
  <si>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</si>
  <si>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</si>
  <si>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</si>
  <si>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</si>
  <si>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</si>
  <si>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</si>
  <si>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</si>
  <si>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</si>
  <si>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</si>
  <si>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</si>
  <si>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</si>
  <si>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</si>
  <si>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</si>
  <si>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</si>
  <si>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</si>
  <si>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</si>
  <si>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</si>
  <si>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</si>
  <si>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</si>
  <si>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</si>
  <si>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</si>
  <si>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</si>
  <si>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</si>
  <si>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</si>
  <si>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</si>
  <si>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</si>
  <si>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</si>
  <si>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</si>
  <si>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</si>
  <si>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</si>
  <si>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</si>
  <si>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</si>
  <si>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</si>
  <si>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</si>
  <si>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</si>
  <si>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</si>
  <si>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</si>
  <si>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</si>
  <si>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</si>
  <si>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</si>
  <si>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</si>
  <si>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</si>
  <si>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</si>
  <si>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</si>
  <si>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</si>
  <si>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</si>
  <si>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</si>
  <si>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</si>
  <si>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</si>
  <si>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</si>
  <si>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</si>
  <si>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</si>
  <si>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</si>
  <si>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</si>
  <si>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</si>
  <si>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</si>
  <si>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</si>
  <si>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</si>
  <si>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</si>
  <si>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</si>
  <si>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</si>
  <si>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</si>
  <si>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</si>
  <si>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</si>
  <si>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</si>
  <si>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</si>
  <si>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</si>
  <si>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</si>
  <si>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</si>
  <si>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</si>
  <si>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</si>
  <si>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</si>
  <si>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</si>
  <si>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</si>
  <si>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</si>
  <si>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</si>
  <si>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</si>
  <si>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</si>
  <si>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</si>
  <si>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</si>
  <si>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</si>
  <si>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</si>
  <si>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</si>
  <si>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</si>
  <si>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</si>
  <si>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</si>
  <si>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</si>
  <si>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</si>
  <si>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</si>
  <si>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</si>
  <si>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</si>
  <si>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</si>
  <si>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</si>
  <si>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</si>
  <si>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</si>
  <si>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</si>
  <si>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</si>
  <si>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</si>
  <si>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</si>
  <si>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</si>
  <si>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</si>
  <si>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</si>
  <si>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</si>
  <si>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</si>
  <si>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</si>
  <si>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</si>
  <si>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</si>
  <si>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</si>
  <si>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</si>
  <si>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</si>
  <si>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</si>
  <si>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</si>
  <si>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</si>
  <si>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</si>
  <si>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</si>
  <si>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</si>
  <si>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</si>
  <si>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</si>
  <si>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</si>
  <si>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</si>
  <si>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</si>
  <si>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</si>
  <si>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</si>
  <si>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</si>
  <si>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</si>
  <si>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</si>
  <si>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</si>
  <si>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</si>
  <si>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</si>
  <si>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</si>
  <si>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</si>
  <si>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</si>
  <si>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</si>
  <si>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</si>
  <si>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</si>
  <si>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</si>
  <si>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</si>
  <si>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</si>
  <si>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</si>
  <si>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</si>
  <si>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</si>
  <si>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</si>
  <si>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</si>
  <si>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</si>
  <si>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</si>
  <si>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</si>
  <si>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</si>
  <si>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</si>
  <si>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</si>
  <si>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</si>
  <si>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</si>
  <si>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</si>
  <si>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</si>
  <si>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</si>
  <si>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</si>
  <si>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</si>
  <si>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</si>
  <si>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</si>
  <si>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</si>
  <si>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</si>
  <si>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</si>
  <si>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</si>
  <si>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</si>
  <si>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</si>
  <si>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</si>
  <si>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</si>
  <si>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</si>
  <si>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</si>
  <si>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</si>
  <si>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</si>
  <si>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</si>
  <si>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</si>
  <si>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</si>
  <si>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</si>
  <si>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</si>
  <si>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</si>
  <si>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</si>
  <si>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</si>
  <si>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</si>
  <si>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</si>
  <si>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</si>
  <si>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</si>
  <si>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</si>
  <si>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</si>
  <si>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</si>
  <si>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</si>
  <si>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</si>
  <si>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</si>
  <si>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</si>
  <si>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</si>
  <si>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</si>
  <si>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</si>
  <si>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</si>
  <si>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</si>
  <si>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</si>
  <si>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</si>
  <si>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</si>
  <si>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</si>
  <si>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</si>
  <si>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</si>
  <si>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</si>
  <si>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</si>
  <si>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</si>
  <si>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</si>
  <si>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</si>
  <si>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</si>
  <si>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</si>
  <si>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</si>
  <si>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</si>
  <si>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</si>
  <si>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</si>
  <si>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</si>
  <si>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</si>
  <si>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</si>
  <si>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</si>
  <si>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</si>
  <si>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</si>
  <si>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</si>
  <si>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</si>
  <si>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</si>
  <si>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</si>
  <si>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</si>
  <si>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</si>
  <si>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</si>
  <si>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</si>
  <si>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</si>
  <si>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</si>
  <si>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</si>
  <si>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</si>
  <si>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</si>
  <si>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</si>
  <si>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</si>
  <si>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</si>
  <si>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</si>
  <si>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</si>
  <si>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</si>
  <si>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</si>
  <si>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</si>
  <si>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</si>
  <si>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</si>
  <si>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</si>
  <si>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</si>
  <si>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</si>
  <si>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</si>
  <si>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</si>
  <si>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</si>
  <si>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</si>
  <si>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</si>
  <si>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</si>
  <si>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</si>
  <si>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</si>
  <si>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</si>
  <si>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</si>
  <si>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</si>
  <si>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</si>
  <si>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</si>
  <si>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</si>
  <si>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</si>
  <si>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</si>
  <si>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</si>
  <si>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</si>
  <si>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</si>
  <si>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</si>
  <si>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</si>
  <si>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</si>
  <si>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</si>
  <si>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</si>
  <si>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</si>
  <si>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</si>
  <si>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</si>
  <si>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</si>
  <si>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</si>
  <si>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</si>
  <si>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</si>
  <si>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</si>
  <si>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</si>
  <si>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</si>
  <si>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</si>
  <si>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</si>
  <si>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</si>
  <si>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</si>
  <si>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</si>
  <si>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</si>
  <si>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</si>
  <si>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</si>
  <si>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</si>
  <si>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</si>
  <si>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</si>
  <si>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</si>
  <si>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</si>
  <si>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</si>
  <si>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</si>
  <si>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</si>
  <si>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</si>
  <si>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</si>
  <si>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</si>
  <si>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</si>
  <si>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</si>
  <si>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</si>
  <si>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</si>
  <si>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</si>
  <si>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</si>
  <si>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</si>
  <si>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</si>
  <si>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</si>
  <si>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</si>
  <si>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</si>
  <si>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</si>
  <si>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</si>
  <si>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</si>
  <si>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</si>
  <si>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</si>
  <si>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</si>
  <si>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</si>
  <si>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</si>
  <si>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</si>
  <si>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</si>
  <si>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</si>
  <si>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</si>
  <si>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</si>
  <si>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</si>
  <si>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</si>
  <si>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</si>
  <si>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</si>
  <si>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</si>
  <si>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</si>
  <si>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</si>
  <si>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</si>
  <si>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</si>
  <si>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</si>
  <si>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</si>
  <si>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</si>
  <si>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</si>
  <si>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</si>
  <si>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</si>
  <si>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</si>
  <si>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</si>
  <si>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</si>
  <si>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</si>
  <si>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</si>
  <si>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</si>
  <si>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</si>
  <si>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</si>
  <si>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</si>
  <si>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</si>
  <si>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</si>
  <si>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</si>
  <si>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</si>
  <si>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</si>
  <si>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</si>
  <si>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</si>
  <si>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</si>
  <si>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</si>
  <si>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</si>
  <si>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</si>
  <si>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</si>
  <si>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</si>
  <si>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</si>
  <si>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</si>
  <si>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</si>
  <si>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</si>
  <si>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</si>
  <si>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</si>
  <si>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</si>
  <si>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</si>
  <si>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</si>
  <si>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</si>
  <si>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</si>
  <si>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</si>
  <si>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</si>
  <si>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</si>
  <si>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</si>
  <si>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</si>
  <si>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</si>
  <si>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</si>
  <si>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</si>
  <si>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</si>
  <si>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</si>
  <si>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</si>
  <si>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</si>
  <si>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</si>
  <si>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</si>
  <si>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</si>
  <si>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</si>
  <si>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</si>
  <si>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</si>
  <si>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</si>
  <si>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</si>
  <si>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</si>
  <si>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</si>
  <si>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</si>
  <si>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</si>
  <si>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</si>
  <si>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</si>
  <si>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</si>
  <si>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</si>
  <si>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</si>
  <si>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</si>
  <si>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</si>
  <si>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</si>
  <si>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</si>
  <si>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</si>
  <si>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</si>
  <si>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</si>
  <si>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</si>
  <si>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</si>
  <si>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</si>
  <si>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</si>
  <si>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</si>
  <si>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</si>
  <si>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</si>
  <si>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</si>
  <si>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</si>
  <si>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</si>
  <si>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</si>
  <si>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</si>
  <si>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</si>
  <si>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</si>
  <si>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</si>
  <si>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</si>
  <si>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</si>
  <si>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</si>
  <si>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</si>
  <si>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</si>
  <si>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</si>
  <si>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</si>
  <si>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</si>
  <si>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</si>
  <si>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</si>
  <si>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</si>
  <si>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</si>
  <si>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</si>
  <si>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</si>
  <si>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</si>
  <si>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</si>
  <si>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</si>
  <si>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</si>
  <si>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</si>
  <si>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</si>
  <si>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</si>
  <si>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</si>
  <si>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</si>
  <si>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</si>
  <si>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</si>
  <si>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</si>
  <si>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</si>
  <si>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</si>
  <si>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</si>
  <si>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</si>
  <si>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</si>
  <si>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</si>
  <si>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</si>
  <si>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</si>
  <si>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</si>
  <si>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</si>
  <si>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</si>
  <si>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</si>
  <si>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</si>
  <si>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</si>
  <si>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</si>
  <si>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</si>
  <si>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</si>
  <si>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</si>
  <si>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</si>
  <si>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</si>
  <si>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</si>
  <si>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</si>
  <si>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</si>
  <si>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</si>
  <si>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</si>
  <si>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</si>
  <si>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</si>
  <si>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</si>
  <si>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</si>
  <si>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</si>
  <si>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</si>
  <si>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</si>
  <si>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</si>
  <si>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</si>
  <si>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</si>
  <si>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</si>
  <si>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</si>
  <si>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</si>
  <si>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</si>
  <si>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</si>
  <si>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</si>
  <si>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</si>
  <si>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</si>
  <si>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</si>
  <si>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</si>
  <si>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</si>
  <si>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</si>
  <si>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</si>
  <si>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</si>
  <si>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</si>
  <si>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</si>
  <si>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</si>
  <si>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</si>
  <si>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</si>
  <si>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</si>
  <si>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</si>
  <si>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</si>
  <si>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</si>
  <si>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</si>
  <si>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</si>
  <si>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</si>
  <si>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</si>
  <si>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</si>
  <si>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</si>
  <si>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</si>
  <si>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</si>
  <si>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</si>
  <si>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</si>
  <si>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</si>
  <si>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</si>
  <si>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</si>
  <si>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</si>
  <si>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</si>
  <si>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</si>
  <si>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</si>
  <si>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</si>
  <si>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</si>
  <si>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</si>
  <si>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</si>
  <si>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</si>
  <si>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</si>
  <si>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</si>
  <si>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</si>
  <si>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</si>
  <si>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</si>
  <si>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</si>
  <si>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</si>
  <si>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</si>
  <si>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</si>
  <si>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</si>
  <si>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</si>
  <si>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</si>
  <si>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</si>
  <si>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</si>
  <si>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</si>
  <si>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</si>
  <si>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</si>
  <si>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</si>
  <si>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</si>
  <si>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</si>
  <si>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</si>
  <si>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</si>
  <si>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</si>
  <si>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</si>
  <si>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</si>
  <si>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</si>
  <si>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</si>
  <si>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</si>
  <si>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</si>
  <si>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</si>
  <si>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</si>
  <si>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</si>
  <si>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</si>
  <si>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</si>
  <si>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</si>
  <si>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</si>
  <si>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</si>
  <si>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</si>
  <si>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</si>
  <si>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</si>
  <si>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</si>
  <si>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</si>
  <si>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</si>
  <si>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</si>
  <si>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</si>
  <si>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</si>
  <si>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</si>
  <si>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</si>
  <si>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</si>
  <si>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</si>
  <si>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</si>
  <si>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</si>
  <si>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</si>
  <si>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</si>
  <si>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</si>
  <si>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</si>
  <si>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</si>
  <si>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</si>
  <si>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</si>
  <si>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</si>
  <si>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</si>
  <si>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</si>
  <si>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</si>
  <si>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</si>
  <si>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</si>
  <si>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</si>
  <si>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</si>
  <si>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</si>
  <si>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</si>
  <si>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</si>
  <si>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</si>
  <si>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</si>
  <si>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</si>
  <si>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</si>
  <si>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</si>
  <si>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</si>
  <si>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</si>
  <si>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</si>
  <si>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</si>
  <si>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</si>
  <si>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</si>
  <si>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</si>
  <si>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</si>
  <si>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</si>
  <si>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</si>
  <si>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</si>
  <si>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</si>
  <si>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</si>
  <si>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</si>
  <si>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</si>
  <si>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</si>
  <si>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</si>
  <si>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</si>
  <si>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</si>
  <si>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</si>
  <si>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</si>
  <si>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</si>
  <si>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</si>
  <si>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</si>
  <si>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</si>
  <si>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</si>
  <si>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</si>
  <si>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</si>
  <si>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</si>
  <si>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</si>
  <si>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</si>
  <si>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</si>
  <si>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</si>
  <si>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</si>
  <si>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</si>
  <si>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</si>
  <si>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</si>
  <si>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</si>
  <si>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</si>
  <si>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</si>
  <si>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</si>
  <si>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</si>
  <si>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</si>
  <si>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</si>
  <si>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</si>
  <si>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</si>
  <si>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</si>
  <si>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</si>
  <si>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</si>
  <si>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</si>
  <si>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</si>
  <si>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</si>
  <si>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</si>
  <si>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</si>
  <si>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</si>
  <si>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</si>
  <si>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</si>
  <si>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</si>
  <si>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</si>
  <si>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</si>
  <si>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</si>
  <si>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</si>
  <si>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</si>
  <si>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</si>
  <si>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</si>
  <si>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</si>
  <si>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</si>
  <si>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</si>
  <si>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</si>
  <si>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</si>
  <si>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</si>
  <si>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</si>
  <si>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</si>
  <si>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</si>
  <si>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</si>
  <si>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</si>
  <si>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</si>
  <si>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</si>
  <si>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</si>
  <si>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</si>
  <si>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</si>
  <si>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</si>
  <si>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</si>
  <si>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</si>
  <si>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</si>
  <si>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</si>
  <si>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</si>
  <si>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</si>
  <si>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</si>
  <si>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</si>
  <si>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</si>
  <si>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</si>
  <si>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</si>
  <si>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</si>
  <si>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</si>
  <si>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</si>
  <si>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</si>
  <si>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</si>
  <si>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</si>
  <si>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</si>
  <si>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</si>
  <si>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</si>
  <si>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</si>
  <si>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</si>
  <si>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</si>
  <si>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</si>
  <si>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</si>
  <si>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</si>
  <si>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</si>
  <si>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</si>
  <si>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</si>
  <si>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</si>
  <si>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</si>
  <si>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</si>
  <si>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</si>
  <si>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</si>
  <si>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</si>
  <si>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</si>
  <si>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</si>
  <si>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</si>
  <si>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</si>
  <si>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</si>
  <si>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</si>
  <si>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</si>
  <si>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</si>
  <si>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</si>
  <si>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</si>
  <si>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</si>
  <si>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</si>
  <si>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</si>
  <si>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</si>
  <si>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</si>
  <si>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</si>
  <si>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</si>
  <si>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</si>
  <si>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</si>
  <si>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</si>
  <si>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</si>
  <si>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</si>
  <si>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</si>
  <si>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</si>
  <si>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</si>
  <si>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</si>
  <si>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</si>
  <si>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</si>
  <si>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</si>
  <si>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</si>
  <si>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</si>
  <si>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</si>
  <si>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</si>
  <si>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</si>
  <si>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</si>
  <si>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</si>
  <si>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</si>
  <si>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</si>
  <si>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</si>
  <si>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</si>
  <si>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</si>
  <si>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</si>
  <si>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</si>
  <si>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</si>
  <si>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</si>
  <si>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</si>
  <si>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</si>
  <si>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</si>
  <si>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</si>
  <si>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</si>
  <si>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</si>
  <si>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</si>
  <si>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</si>
  <si>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</si>
  <si>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</si>
  <si>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</si>
  <si>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</si>
  <si>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</si>
  <si>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</si>
  <si>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</si>
  <si>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</si>
  <si>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</si>
  <si>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</si>
  <si>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</si>
  <si>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</si>
  <si>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</si>
  <si>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</si>
  <si>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</si>
  <si>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</si>
  <si>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</si>
  <si>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</si>
  <si>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</si>
  <si>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</si>
  <si>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</si>
  <si>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</si>
  <si>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</si>
  <si>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</si>
  <si>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</si>
  <si>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</si>
  <si>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</si>
  <si>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</si>
  <si>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</si>
  <si>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</si>
  <si>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</si>
  <si>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</si>
  <si>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</si>
  <si>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</si>
  <si>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</si>
  <si>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</si>
  <si>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</si>
  <si>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</si>
  <si>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</si>
  <si>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</si>
  <si>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</si>
  <si>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</si>
  <si>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</si>
  <si>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</si>
  <si>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</si>
  <si>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</si>
  <si>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</si>
  <si>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</si>
  <si>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</si>
  <si>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</si>
  <si>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</si>
  <si>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</si>
  <si>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</si>
  <si>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</si>
  <si>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</si>
  <si>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</si>
  <si>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</si>
  <si>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</si>
  <si>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</si>
  <si>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</si>
  <si>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</si>
  <si>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</si>
  <si>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</si>
  <si>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</si>
  <si>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</si>
  <si>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</si>
  <si>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</si>
  <si>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</si>
  <si>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</si>
  <si>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</si>
  <si>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</si>
  <si>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</si>
  <si>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</si>
  <si>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</si>
  <si>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</si>
  <si>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</si>
  <si>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</si>
  <si>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</si>
  <si>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</si>
  <si>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</si>
  <si>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</si>
  <si>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</si>
  <si>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</si>
  <si>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</si>
  <si>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</si>
  <si>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</si>
  <si>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</si>
  <si>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</si>
  <si>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</si>
  <si>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</si>
  <si>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</si>
  <si>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</si>
  <si>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</si>
  <si>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</si>
  <si>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</si>
  <si>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</si>
  <si>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</si>
  <si>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</si>
  <si>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</si>
  <si>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</si>
  <si>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</si>
  <si>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</si>
  <si>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</si>
  <si>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</si>
  <si>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</si>
  <si>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</si>
  <si>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</si>
  <si>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</si>
  <si>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</si>
  <si>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</si>
  <si>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</si>
  <si>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</si>
  <si>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</si>
  <si>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</si>
  <si>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</si>
  <si>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</si>
  <si>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</si>
  <si>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</si>
  <si>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</si>
  <si>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</si>
  <si>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</si>
  <si>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</si>
  <si>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</si>
  <si>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</si>
  <si>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</si>
  <si>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</si>
  <si>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</si>
  <si>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</si>
  <si>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</si>
  <si>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</si>
  <si>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</si>
  <si>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</si>
  <si>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</si>
  <si>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</si>
  <si>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</si>
  <si>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</si>
  <si>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</si>
  <si>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</si>
  <si>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</si>
  <si>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</si>
  <si>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</si>
  <si>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</si>
  <si>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</si>
  <si>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</si>
  <si>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</si>
  <si>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</si>
  <si>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</si>
  <si>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</si>
  <si>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</si>
  <si>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</si>
  <si>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</si>
  <si>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</si>
  <si>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</si>
  <si>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</si>
  <si>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</si>
  <si>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</si>
  <si>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</si>
  <si>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</si>
  <si>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</si>
  <si>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</si>
  <si>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</si>
  <si>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</si>
  <si>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</si>
  <si>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</si>
  <si>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</si>
  <si>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</si>
  <si>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</si>
  <si>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</si>
  <si>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</si>
  <si>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</si>
  <si>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</si>
  <si>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</si>
  <si>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</si>
  <si>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</si>
  <si>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</si>
  <si>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</si>
  <si>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</si>
  <si>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</si>
  <si>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</si>
  <si>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</si>
  <si>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</si>
  <si>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</si>
  <si>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</si>
  <si>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</si>
  <si>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</si>
  <si>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</si>
  <si>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</si>
  <si>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</si>
  <si>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</si>
  <si>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</si>
  <si>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</si>
  <si>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</si>
  <si>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</si>
  <si>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</si>
  <si>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</si>
  <si>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</si>
  <si>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</si>
  <si>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</si>
  <si>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</si>
  <si>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</si>
  <si>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</si>
  <si>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</si>
  <si>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</si>
  <si>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</si>
  <si>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</si>
  <si>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</si>
  <si>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</si>
  <si>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</si>
  <si>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</si>
  <si>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</si>
  <si>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</si>
  <si>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</si>
  <si>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</si>
  <si>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</si>
  <si>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</si>
  <si>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</si>
  <si>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</si>
  <si>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</si>
  <si>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</si>
  <si>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</si>
  <si>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</si>
  <si>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</si>
  <si>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</si>
  <si>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</si>
  <si>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</si>
  <si>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</si>
  <si>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</si>
  <si>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</si>
  <si>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</si>
  <si>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</si>
  <si>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</si>
  <si>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</si>
  <si>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</si>
  <si>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</si>
  <si>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</si>
  <si>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</si>
  <si>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</si>
  <si>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</si>
  <si>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</si>
  <si>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</si>
  <si>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</si>
  <si>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</si>
  <si>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</si>
  <si>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</si>
  <si>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</si>
  <si>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</si>
  <si>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</si>
  <si>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</si>
  <si>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</si>
  <si>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</si>
  <si>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</si>
  <si>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</si>
  <si>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</si>
  <si>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</si>
  <si>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</si>
  <si>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</si>
  <si>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</si>
  <si>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</si>
  <si>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</si>
  <si>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</si>
  <si>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</si>
  <si>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</si>
  <si>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</si>
  <si>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</si>
  <si>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</si>
  <si>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</si>
  <si>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</si>
  <si>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</si>
  <si>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</si>
  <si>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</si>
  <si>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</si>
  <si>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</si>
  <si>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</si>
  <si>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</si>
  <si>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</si>
  <si>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</si>
  <si>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</si>
  <si>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</si>
  <si>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</si>
  <si>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</si>
  <si>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</si>
  <si>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</si>
  <si>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</si>
  <si>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</si>
  <si>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</si>
  <si>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</si>
  <si>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</si>
  <si>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</si>
  <si>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</si>
  <si>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</si>
  <si>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</si>
  <si>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</si>
  <si>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</si>
  <si>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</si>
  <si>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</si>
  <si>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</si>
  <si>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</si>
  <si>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</si>
  <si>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</si>
  <si>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</si>
  <si>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</si>
  <si>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</si>
  <si>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</si>
  <si>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</si>
  <si>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</si>
  <si>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</si>
  <si>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</si>
  <si>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</si>
  <si>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</si>
  <si>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</si>
  <si>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</si>
  <si>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</si>
  <si>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</si>
  <si>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</si>
  <si>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</si>
  <si>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</si>
  <si>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</si>
  <si>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</si>
  <si>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</si>
  <si>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</si>
  <si>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</si>
  <si>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</si>
  <si>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</si>
  <si>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</si>
  <si>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</si>
  <si>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</si>
  <si>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</si>
  <si>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</si>
  <si>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</si>
  <si>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</si>
  <si>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</si>
  <si>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</si>
  <si>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</si>
  <si>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</si>
  <si>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</si>
  <si>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</si>
  <si>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</si>
  <si>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</si>
  <si>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</si>
  <si>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</si>
  <si>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</si>
  <si>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</si>
  <si>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</si>
  <si>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</si>
  <si>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</si>
  <si>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</si>
  <si>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</si>
  <si>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</si>
  <si>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</si>
  <si>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</si>
  <si>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</si>
  <si>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</si>
  <si>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</si>
  <si>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</si>
  <si>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</si>
  <si>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</si>
  <si>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</si>
  <si>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</si>
  <si>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</si>
  <si>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</si>
  <si>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</si>
  <si>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</si>
  <si>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</si>
  <si>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</si>
  <si>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</si>
  <si>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</si>
  <si>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</si>
  <si>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</si>
  <si>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</si>
  <si>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</si>
  <si>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</si>
  <si>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</si>
  <si>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</si>
  <si>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</si>
  <si>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</si>
  <si>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</si>
  <si>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</si>
  <si>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</si>
  <si>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</si>
  <si>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</si>
  <si>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</si>
  <si>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</si>
  <si>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</si>
  <si>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</si>
  <si>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</si>
  <si>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</si>
  <si>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</si>
  <si>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</si>
  <si>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</si>
  <si>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</si>
  <si>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</si>
  <si>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</si>
  <si>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</si>
  <si>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</si>
  <si>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</si>
  <si>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</si>
  <si>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</si>
  <si>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</si>
  <si>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</si>
  <si>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</si>
  <si>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</si>
  <si>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</si>
  <si>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</si>
  <si>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</si>
  <si>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</si>
  <si>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</si>
  <si>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</si>
  <si>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</si>
  <si>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</si>
  <si>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</si>
  <si>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</si>
  <si>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</si>
  <si>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</si>
  <si>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</si>
  <si>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</si>
  <si>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</si>
  <si>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</si>
  <si>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</si>
  <si>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</si>
  <si>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</si>
  <si>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</si>
  <si>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</si>
  <si>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</si>
  <si>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</si>
  <si>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</si>
  <si>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</si>
  <si>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</si>
  <si>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</si>
  <si>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</si>
  <si>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</si>
  <si>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</si>
  <si>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</si>
  <si>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</si>
  <si>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</si>
  <si>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</si>
  <si>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</si>
  <si>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</si>
  <si>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</si>
  <si>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</si>
  <si>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</si>
  <si>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</si>
  <si>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</si>
  <si>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</si>
  <si>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</si>
  <si>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</si>
  <si>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</si>
  <si>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</si>
  <si>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</si>
  <si>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</si>
  <si>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</si>
  <si>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</si>
  <si>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</si>
  <si>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</si>
  <si>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</si>
  <si>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</si>
  <si>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</si>
  <si>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</si>
  <si>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</si>
  <si>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</si>
  <si>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</si>
  <si>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</si>
  <si>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</si>
  <si>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</si>
  <si>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</si>
  <si>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</si>
  <si>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</si>
  <si>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</si>
  <si>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</si>
  <si>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</si>
  <si>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</si>
  <si>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</si>
  <si>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</si>
  <si>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</si>
  <si>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</si>
  <si>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</si>
  <si>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</si>
  <si>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</si>
  <si>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</si>
  <si>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</si>
  <si>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</si>
  <si>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</si>
  <si>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</si>
  <si>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</si>
  <si>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</si>
  <si>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</si>
  <si>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</si>
  <si>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</si>
  <si>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</si>
  <si>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</si>
  <si>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</si>
  <si>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</si>
  <si>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</si>
  <si>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</si>
  <si>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</si>
  <si>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</si>
  <si>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</si>
  <si>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</si>
  <si>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</si>
  <si>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</si>
  <si>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</si>
  <si>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</si>
  <si>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</si>
  <si>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</si>
  <si>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</si>
  <si>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</si>
  <si>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</si>
  <si>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</si>
  <si>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</si>
  <si>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</si>
  <si>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</si>
  <si>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</si>
  <si>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</si>
  <si>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</si>
  <si>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</si>
  <si>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</si>
  <si>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</si>
  <si>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</si>
  <si>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</si>
  <si>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</si>
  <si>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</si>
  <si>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</si>
  <si>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</si>
  <si>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</si>
  <si>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</si>
  <si>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</si>
  <si>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</si>
  <si>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</si>
  <si>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</si>
  <si>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</si>
  <si>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</si>
  <si>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</si>
  <si>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</si>
  <si>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</si>
  <si>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</si>
  <si>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</si>
  <si>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</si>
  <si>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</si>
  <si>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</si>
  <si>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</si>
  <si>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</si>
  <si>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</si>
  <si>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</si>
  <si>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</si>
  <si>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</si>
  <si>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</si>
  <si>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</si>
  <si>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</si>
  <si>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</si>
  <si>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</si>
  <si>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</si>
  <si>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</si>
  <si>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</si>
  <si>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</si>
  <si>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</si>
  <si>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</si>
  <si>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</si>
  <si>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</si>
  <si>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</si>
  <si>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</si>
  <si>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</si>
  <si>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</si>
  <si>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</si>
  <si>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</si>
  <si>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</si>
  <si>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</si>
  <si>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</si>
  <si>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</si>
  <si>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</si>
  <si>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</si>
  <si>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</si>
  <si>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</si>
  <si>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</si>
  <si>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</si>
  <si>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</si>
  <si>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</si>
  <si>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</si>
  <si>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</si>
  <si>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</si>
  <si>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</si>
  <si>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</si>
  <si>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</si>
  <si>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</si>
  <si>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</si>
  <si>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</si>
  <si>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</si>
  <si>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</si>
  <si>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</si>
  <si>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</si>
  <si>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</si>
  <si>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</si>
  <si>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</si>
  <si>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</si>
  <si>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</si>
  <si>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</si>
  <si>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</si>
  <si>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</si>
  <si>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</si>
  <si>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</si>
  <si>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</si>
  <si>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</si>
  <si>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</si>
  <si>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</si>
  <si>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</si>
  <si>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</si>
  <si>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</si>
  <si>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</si>
  <si>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</si>
  <si>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</si>
  <si>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</si>
  <si>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</si>
  <si>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</si>
  <si>
    <t>Questions</t>
  </si>
  <si>
    <t>Solutions</t>
  </si>
  <si>
    <t>Check the new column (final_salary)</t>
  </si>
  <si>
    <t>Final_salary</t>
  </si>
  <si>
    <t>IT Female</t>
  </si>
  <si>
    <t>Check the new column (IT_Female) - total 119 (Yes)</t>
  </si>
  <si>
    <t>female_black</t>
  </si>
  <si>
    <t>Vendor</t>
  </si>
  <si>
    <t>Fruits</t>
  </si>
  <si>
    <t>Apple</t>
  </si>
  <si>
    <t>Banana</t>
  </si>
  <si>
    <t>Pineapple</t>
  </si>
  <si>
    <t>Blackberry</t>
  </si>
  <si>
    <t>Bluebberry</t>
  </si>
  <si>
    <t>Papaya</t>
  </si>
  <si>
    <t>Strawberry</t>
  </si>
  <si>
    <t>Weights</t>
  </si>
  <si>
    <t>Total Weigts of fruits</t>
  </si>
  <si>
    <t>Addition</t>
  </si>
  <si>
    <t>Subtraction</t>
  </si>
  <si>
    <t>Multiplication</t>
  </si>
  <si>
    <t>Division</t>
  </si>
  <si>
    <t>BODMAS</t>
  </si>
  <si>
    <t>Power</t>
  </si>
  <si>
    <t>Exponentials</t>
  </si>
  <si>
    <t>Difference between the weights of Blackberry from Blueberry</t>
  </si>
  <si>
    <t>How much is the vendor going to earn by selling all the Apples</t>
  </si>
  <si>
    <t>Unit price(fixed)</t>
  </si>
  <si>
    <t>if the vendor earns 16000 by selling all the apples, how many KGs of apple did hhe sell if unit price is 200</t>
  </si>
  <si>
    <t>Cube of 2</t>
  </si>
  <si>
    <t>How much did the vendor make after selling all the fruits at their unit price</t>
  </si>
  <si>
    <t>Fruits price</t>
  </si>
  <si>
    <t>Total</t>
  </si>
  <si>
    <t>3^(-2)</t>
  </si>
  <si>
    <t>method 1</t>
  </si>
  <si>
    <t>method 2</t>
  </si>
  <si>
    <t>method 3</t>
  </si>
  <si>
    <t>method 4</t>
  </si>
  <si>
    <t>Name</t>
  </si>
  <si>
    <t>marks</t>
  </si>
  <si>
    <t>marks(maths)</t>
  </si>
  <si>
    <t>marks(physics)</t>
  </si>
  <si>
    <t>marks(chemistry</t>
  </si>
  <si>
    <t>marks(English)</t>
  </si>
  <si>
    <t>Total marks</t>
  </si>
  <si>
    <t>Arjun</t>
  </si>
  <si>
    <t>Vinita</t>
  </si>
  <si>
    <t>aman</t>
  </si>
  <si>
    <t>percentage</t>
  </si>
  <si>
    <t>Aakash</t>
  </si>
  <si>
    <t>columns names</t>
  </si>
  <si>
    <t>marks scored</t>
  </si>
  <si>
    <t>Black background</t>
  </si>
  <si>
    <t>change color from solid to pattern</t>
  </si>
  <si>
    <t>Aman and Aakash</t>
  </si>
  <si>
    <t>homework</t>
  </si>
  <si>
    <t>Student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</si>
  <si>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</si>
  <si>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</si>
  <si>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</si>
  <si>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</si>
  <si>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</si>
  <si>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</si>
  <si>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</si>
  <si>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</si>
  <si>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</si>
  <si>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</si>
  <si>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</si>
  <si>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</si>
  <si>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PERCENTILES</t>
  </si>
  <si>
    <t>VALUE (exc)</t>
  </si>
  <si>
    <t>VALUE (INC)</t>
  </si>
  <si>
    <t>Minimum</t>
  </si>
  <si>
    <t>Maximum</t>
  </si>
  <si>
    <t>percentiles</t>
  </si>
  <si>
    <t>stock price</t>
  </si>
  <si>
    <t>difference</t>
  </si>
  <si>
    <t>Quartiles</t>
  </si>
  <si>
    <t>Value (exc)</t>
  </si>
  <si>
    <t>Vale(inc)</t>
  </si>
  <si>
    <t>IQR</t>
  </si>
  <si>
    <t>min</t>
  </si>
  <si>
    <t>small func</t>
  </si>
  <si>
    <t>large func</t>
  </si>
  <si>
    <t>percentile inc</t>
  </si>
  <si>
    <t>quartile inc</t>
  </si>
  <si>
    <t>max</t>
  </si>
  <si>
    <t>min/max func</t>
  </si>
  <si>
    <t>percentile</t>
  </si>
  <si>
    <t>Students</t>
  </si>
  <si>
    <t>M (Phy)</t>
  </si>
  <si>
    <t>M(Maths)</t>
  </si>
  <si>
    <t>M</t>
  </si>
  <si>
    <t>N</t>
  </si>
  <si>
    <t>or SCORING IS GREATER THAN 50 in either of the subject</t>
  </si>
  <si>
    <t>AND SCORING IS GREATER THAN 50 in either of the subject</t>
  </si>
  <si>
    <t>P</t>
  </si>
  <si>
    <t>Q</t>
  </si>
  <si>
    <t>Scholarship (state)</t>
  </si>
  <si>
    <t>Scholarship (National)</t>
  </si>
  <si>
    <t>Grades Phy</t>
  </si>
  <si>
    <t>Grades Maths</t>
  </si>
  <si>
    <t>IFS</t>
  </si>
  <si>
    <t>vendor</t>
  </si>
  <si>
    <t>fruits</t>
  </si>
  <si>
    <t>unit price</t>
  </si>
  <si>
    <t>ven1</t>
  </si>
  <si>
    <t>Apples</t>
  </si>
  <si>
    <t>ven2</t>
  </si>
  <si>
    <t>ven3</t>
  </si>
  <si>
    <t>ven4</t>
  </si>
  <si>
    <t>ven5</t>
  </si>
  <si>
    <t>ven6</t>
  </si>
  <si>
    <t>ven7</t>
  </si>
  <si>
    <t>ven8</t>
  </si>
  <si>
    <t>ven9</t>
  </si>
  <si>
    <t>ven10</t>
  </si>
  <si>
    <t>ven11</t>
  </si>
  <si>
    <t>ven12</t>
  </si>
  <si>
    <t>Blueberry</t>
  </si>
  <si>
    <t>count of fruits</t>
  </si>
  <si>
    <t>cpuntblank</t>
  </si>
  <si>
    <t>if</t>
  </si>
  <si>
    <t>Guava</t>
  </si>
  <si>
    <t>Peach</t>
  </si>
  <si>
    <t>ven13</t>
  </si>
  <si>
    <t>if banana</t>
  </si>
  <si>
    <t>unique</t>
  </si>
  <si>
    <t>Orange</t>
  </si>
  <si>
    <t>Avacado</t>
  </si>
  <si>
    <t>Grapes</t>
  </si>
  <si>
    <t>Cherry</t>
  </si>
  <si>
    <t>Watermelon</t>
  </si>
  <si>
    <t>Plum</t>
  </si>
  <si>
    <t>coconut</t>
  </si>
  <si>
    <t>Job titles</t>
  </si>
  <si>
    <t>Range</t>
  </si>
  <si>
    <t>Mean</t>
  </si>
  <si>
    <t>Median</t>
  </si>
  <si>
    <t>Salary</t>
  </si>
  <si>
    <t>hike</t>
  </si>
  <si>
    <t>mode</t>
  </si>
  <si>
    <t>variance</t>
  </si>
  <si>
    <t>standard deviation</t>
  </si>
  <si>
    <t>1st moment</t>
  </si>
  <si>
    <t>2nd moment</t>
  </si>
  <si>
    <t>3rd moment</t>
  </si>
  <si>
    <t>Skewness</t>
  </si>
  <si>
    <t>Count of Job Title</t>
  </si>
  <si>
    <t>Row Labels</t>
  </si>
  <si>
    <t>(blank)</t>
  </si>
  <si>
    <t>Grand Total</t>
  </si>
  <si>
    <t>Count of Department</t>
  </si>
  <si>
    <t>4th moment</t>
  </si>
  <si>
    <t>Kurtosis</t>
  </si>
  <si>
    <t>x</t>
  </si>
  <si>
    <t>y</t>
  </si>
  <si>
    <t>cov</t>
  </si>
  <si>
    <t>corr</t>
  </si>
  <si>
    <t>Programming Foundation</t>
  </si>
  <si>
    <t>3-4 sessions</t>
  </si>
  <si>
    <t>SQL</t>
  </si>
  <si>
    <t>Mentor 2</t>
  </si>
  <si>
    <t>Mentor3</t>
  </si>
  <si>
    <t>Mentor 4</t>
  </si>
  <si>
    <t>Python onwards</t>
  </si>
  <si>
    <t>4 months</t>
  </si>
  <si>
    <t>sumproduct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</si>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</sst>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&quot;$&quot;#,##0_);\(&quot;$&quot;#,##0\);&quot;$&quot;0_)"/>
    <numFmt numFmtId="165" formatCode="#,##0%_);\(#,##0%\);0%_)"/>
    <numFmt numFmtId="166" formatCode="[$-F800]dddd\,\ mmmm\ dd\,\ yyyy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6" fontId="0" fillId="0" borderId="0" xfId="0" applyNumberFormat="1"/>
    <xf numFmtId="166" fontId="1" fillId="2" borderId="3" xfId="0" applyNumberFormat="1" applyFont="1" applyFill="1" applyBorder="1" applyAlignment="1">
      <alignment horizontal="left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pivotButton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164" formatCode="&quot;$&quot;#,##0_);\(&quot;$&quot;#,##0\);&quot;$&quot;0_)"/>
    </dxf>
    <dxf>
      <numFmt numFmtId="166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4" formatCode="&quot;$&quot;#,##0_);\(&quot;$&quot;#,##0\);&quot;$&quot;0_)"/>
    </dxf>
    <dxf>
      <numFmt numFmtId="166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1" defaultTableStyle="TableStyleMedium2" defaultPivotStyle="PivotStyleLight16">
    <tableStyle name="Invisible" pivot="0" table="0" count="0"/>
  </tableStyles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Arjun</a:t>
            </a:r>
          </a:p>
        </c:rich>
      </c:tx>
      <c:layout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A4A-4A40-B69F-3389B7B51521}"/>
              </c:ext>
            </c:extLst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DA4A-4A40-B69F-3389B7B51521}"/>
              </c:ext>
            </c:extLst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DA4A-4A40-B69F-3389B7B51521}"/>
              </c:ext>
            </c:extLst>
          </c:dPt>
          <c:dPt>
            <c:idx val="3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A4A-4A40-B69F-3389B7B51521}"/>
              </c:ext>
            </c:extLst>
          </c:dPt>
          <c:dLbls>
            <c:dLbl>
              <c:idx val="0"/>
              <c:layout>
                <c:manualLayout>
                  <c:x val="5.0901574803149628E-2"/>
                  <c:y val="3.1368474773986587E-3"/>
                </c:manualLayout>
              </c:layout>
              <c:tx>
                <c:rich>
                  <a:bodyPr/>
                  <a:lstStyle/>
                  <a:p>
                    <a:fld id="{76C9FDF4-D779-481B-8CC9-99CBD0980394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FDD4F45-EA7B-4E60-85C6-8EFE31C95860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C6105F7B-7BD1-4A11-910F-7C6116C7D4C1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Val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A4A-4A40-B69F-3389B7B51521}"/>
                </c:ext>
              </c:extLst>
            </c:dLbl>
            <c:dLbl>
              <c:idx val="1"/>
              <c:layout>
                <c:manualLayout>
                  <c:x val="6.479199475065632E-2"/>
                  <c:y val="8.4163021289005532E-2"/>
                </c:manualLayout>
              </c:layout>
              <c:tx>
                <c:rich>
                  <a:bodyPr/>
                  <a:lstStyle/>
                  <a:p>
                    <a:fld id="{7FD8856E-1C8C-4D04-B547-F699809C9097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2BAFDC4-113F-4958-B959-715B69960867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23687BB3-D54F-48BB-8D0A-8C222F7CD74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Val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A4A-4A40-B69F-3389B7B51521}"/>
                </c:ext>
              </c:extLst>
            </c:dLbl>
            <c:dLbl>
              <c:idx val="2"/>
              <c:layout>
                <c:manualLayout>
                  <c:x val="0.20921566054243226"/>
                  <c:y val="-2.458697871099447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47AFC6B-2639-4B49-AED8-91D482D8D71F}" type="CELLRANGE">
                      <a:rPr lang="en-US" baseline="0"/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09FAEADA-9EBE-4C4D-A2E4-F88931ACE5D9}" type="VALUE">
                      <a:rPr lang="en-US" baseline="0"/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r>
                      <a:rPr lang="en-US" baseline="0"/>
                      <a:t>, </a:t>
                    </a:r>
                    <a:fld id="{6CC59EB5-98B3-4F8E-89C1-D9F12DD1557F}" type="PERCENTAGE">
                      <a:rPr lang="en-US" baseline="0"/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chemeClr val="tx1"/>
                </a:solidFill>
                <a:ln>
                  <a:noFill/>
                </a:ln>
                <a:effectLst>
                  <a:outerShdw blurRad="50800" dist="50800" dir="5400000" algn="ctr" rotWithShape="0">
                    <a:schemeClr val="accent2">
                      <a:lumMod val="75000"/>
                    </a:schemeClr>
                  </a:outerShdw>
                </a:effectLst>
              </c:spPr>
              <c:dLblPos val="bestFit"/>
              <c:showVal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A4A-4A40-B69F-3389B7B51521}"/>
                </c:ext>
              </c:extLst>
            </c:dLbl>
            <c:dLbl>
              <c:idx val="3"/>
              <c:layout>
                <c:manualLayout>
                  <c:x val="-4.2814523184601966E-2"/>
                  <c:y val="-1.9579687955672255E-2"/>
                </c:manualLayout>
              </c:layout>
              <c:tx>
                <c:rich>
                  <a:bodyPr/>
                  <a:lstStyle/>
                  <a:p>
                    <a:fld id="{379A383E-4896-4A5C-8306-A89EE9BF0330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FE4F1B7-FE7F-4D2E-B144-425EB0E6676F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0703217B-F388-4FFC-8161-ECA291D6846E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Val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A4A-4A40-B69F-3389B7B51521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  <c:showPercent val="1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percent!$B$2:$E$2</c:f>
              <c:numCache>
                <c:formatCode>General</c:formatCode>
                <c:ptCount val="4"/>
                <c:pt idx="0">
                  <c:v>35</c:v>
                </c:pt>
                <c:pt idx="1">
                  <c:v>40</c:v>
                </c:pt>
                <c:pt idx="2">
                  <c:v>55</c:v>
                </c:pt>
                <c:pt idx="3">
                  <c:v>85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percent!$B$1:$E$1</c15:f>
                <c15:dlblRangeCache>
                  <c:ptCount val="4"/>
                  <c:pt idx="0">
                    <c:v>marks(maths)</c:v>
                  </c:pt>
                  <c:pt idx="1">
                    <c:v>marks(physics)</c:v>
                  </c:pt>
                  <c:pt idx="2">
                    <c:v>marks(chemistry</c:v>
                  </c:pt>
                  <c:pt idx="3">
                    <c:v>marks(English)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A4A-4A40-B69F-3389B7B51521}"/>
            </c:ext>
          </c:extLst>
        </c:ser>
        <c:dLbls>
          <c:showPercent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Vinita</a:t>
            </a:r>
          </a:p>
        </c:rich>
      </c:tx>
      <c:layout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82D-4F9E-974F-8861E02471FD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82D-4F9E-974F-8861E02471FD}"/>
              </c:ext>
            </c:extLst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782D-4F9E-974F-8861E02471FD}"/>
              </c:ext>
            </c:extLst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82D-4F9E-974F-8861E02471FD}"/>
              </c:ext>
            </c:extLst>
          </c:dPt>
          <c:dLbls>
            <c:dLbl>
              <c:idx val="0"/>
              <c:layout>
                <c:manualLayout>
                  <c:x val="1.276619773370182E-2"/>
                  <c:y val="-1.1231312462682153E-2"/>
                </c:manualLayout>
              </c:layout>
              <c:tx>
                <c:rich>
                  <a:bodyPr/>
                  <a:lstStyle/>
                  <a:p>
                    <a:fld id="{5B4DFF5A-0ED0-4737-A795-776100B61E9B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E375D61-1515-4D22-9A55-989AFD8EB537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fld id="{AA432B38-8BFF-45CC-A360-78F278713CF1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Val val="1"/>
              <c:showPercent val="1"/>
              <c:separator>
</c:separator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82D-4F9E-974F-8861E02471FD}"/>
                </c:ext>
              </c:extLst>
            </c:dLbl>
            <c:dLbl>
              <c:idx val="1"/>
              <c:layout>
                <c:manualLayout>
                  <c:x val="7.4268153980752399E-2"/>
                  <c:y val="-0.13802566345873432"/>
                </c:manualLayout>
              </c:layout>
              <c:tx>
                <c:rich>
                  <a:bodyPr/>
                  <a:lstStyle/>
                  <a:p>
                    <a:fld id="{4C3F25FF-148E-41ED-9886-CFAA48F774E4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ADCF9C4-3A78-4375-8E93-4ED53A2A3C94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fld id="{ACA1310C-9D45-431F-AF8D-55E0D83E8138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Val val="1"/>
              <c:showPercent val="1"/>
              <c:separator>
</c:separator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82D-4F9E-974F-8861E02471FD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AAC1EA09-9849-4D08-9F22-E149FE332F7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9D831A3-61E3-42ED-BBA2-D54E53843E31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fld id="{FD74A6A7-E29B-4FEB-B09B-29C6006FCF8A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Val val="1"/>
              <c:showPercent val="1"/>
              <c:separator>
</c:separator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82D-4F9E-974F-8861E02471FD}"/>
                </c:ext>
              </c:extLst>
            </c:dLbl>
            <c:dLbl>
              <c:idx val="3"/>
              <c:layout>
                <c:manualLayout>
                  <c:x val="-8.0362642169728785E-2"/>
                  <c:y val="-5.1520122484689387E-2"/>
                </c:manualLayout>
              </c:layout>
              <c:tx>
                <c:rich>
                  <a:bodyPr/>
                  <a:lstStyle/>
                  <a:p>
                    <a:fld id="{F49B2C2B-C86B-4E8A-99DB-478627C9AB42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9A61141F-91D2-4AA6-9E4E-A5B65C7A53BE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fld id="{A8DBF229-8E10-4401-8C47-84E04CABE6C3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Val val="1"/>
              <c:showPercent val="1"/>
              <c:separator>
</c:separator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82D-4F9E-974F-8861E02471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Val val="1"/>
            <c:showPercent val="1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percent!$B$3:$E$3</c:f>
              <c:numCache>
                <c:formatCode>General</c:formatCode>
                <c:ptCount val="4"/>
                <c:pt idx="0">
                  <c:v>56</c:v>
                </c:pt>
                <c:pt idx="1">
                  <c:v>75</c:v>
                </c:pt>
                <c:pt idx="2">
                  <c:v>34</c:v>
                </c:pt>
                <c:pt idx="3">
                  <c:v>90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percent!$B$1:$E$1</c15:f>
                <c15:dlblRangeCache>
                  <c:ptCount val="4"/>
                  <c:pt idx="0">
                    <c:v>marks(maths)</c:v>
                  </c:pt>
                  <c:pt idx="1">
                    <c:v>marks(physics)</c:v>
                  </c:pt>
                  <c:pt idx="2">
                    <c:v>marks(chemistry</c:v>
                  </c:pt>
                  <c:pt idx="3">
                    <c:v>marks(English)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82D-4F9E-974F-8861E02471FD}"/>
            </c:ext>
          </c:extLst>
        </c:ser>
        <c:dLbls>
          <c:showVal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[DS0223_lec_1_to_8.xlsx]pivot table 1!PivotTable10</c:name>
    <c:fmtId val="3"/>
  </c:pivotSource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pivotFmts>
      <c:pivotFmt>
        <c:idx val="0"/>
        <c:spPr>
          <a:scene3d>
            <a:camera prst="orthographicFront"/>
            <a:lightRig rig="threePt" dir="t"/>
          </a:scene3d>
          <a:sp3d>
            <a:bevelB w="101600" prst="riblet"/>
          </a:sp3d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prst="relaxedInset"/>
            </a:sp3d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showCatName val="1"/>
          <c:showPercent val="1"/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1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  <c:pivotFmt>
        <c:idx val="16"/>
        <c:spPr>
          <a:gradFill rotWithShape="1">
            <a:gsLst>
              <a:gs pos="0">
                <a:schemeClr val="accent2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/>
            <a:lightRig rig="threePt" dir="t"/>
          </a:scene3d>
          <a:sp3d>
            <a:bevelB w="101600" prst="riblet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1'!$B$3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B w="101600" prst="riblet"/>
            </a:sp3d>
          </c:spPr>
          <c:dP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29F-4422-8D02-E3B915D3A041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29F-4422-8D02-E3B915D3A041}"/>
              </c:ext>
            </c:extLst>
          </c:dPt>
          <c:dP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29F-4422-8D02-E3B915D3A041}"/>
              </c:ext>
            </c:extLst>
          </c:dPt>
          <c:dP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29F-4422-8D02-E3B915D3A041}"/>
              </c:ext>
            </c:extLst>
          </c:dPt>
          <c:dP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29F-4422-8D02-E3B915D3A041}"/>
              </c:ext>
            </c:extLst>
          </c:dPt>
          <c:dP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29F-4422-8D02-E3B915D3A041}"/>
              </c:ext>
            </c:extLst>
          </c:dPt>
          <c:dP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629F-4422-8D02-E3B915D3A041}"/>
              </c:ext>
            </c:extLst>
          </c:dPt>
          <c:dP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B w="101600" prst="riblet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629F-4422-8D02-E3B915D3A041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prst="relaxedInset"/>
              </a:sp3d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  <c:showCatName val="1"/>
            <c:showPercent val="1"/>
          </c:dLbls>
          <c:cat>
            <c:strRef>
              <c:f>'pivot table 1'!$A$4:$A$12</c:f>
              <c:strCache>
                <c:ptCount val="8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  <c:pt idx="7">
                  <c:v>(blank)</c:v>
                </c:pt>
              </c:strCache>
            </c:strRef>
          </c:cat>
          <c:val>
            <c:numRef>
              <c:f>'pivot table 1'!$B$4:$B$12</c:f>
              <c:numCache>
                <c:formatCode>General</c:formatCode>
                <c:ptCount val="8"/>
                <c:pt idx="0">
                  <c:v>96</c:v>
                </c:pt>
                <c:pt idx="1">
                  <c:v>158</c:v>
                </c:pt>
                <c:pt idx="2">
                  <c:v>120</c:v>
                </c:pt>
                <c:pt idx="3">
                  <c:v>125</c:v>
                </c:pt>
                <c:pt idx="4">
                  <c:v>241</c:v>
                </c:pt>
                <c:pt idx="5">
                  <c:v>120</c:v>
                </c:pt>
                <c:pt idx="6">
                  <c:v>140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C7-4706-A6DC-DC4D7BDCEBF9}"/>
            </c:ext>
          </c:extLst>
        </c:ser>
        <c:firstSliceAng val="0"/>
      </c:pieChart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[DS0223_lec_1_to_8.xlsx]pivot table!PivotTable9</c:name>
    <c:fmtId val="0"/>
  </c:pivotSource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ivotFmts>
      <c:pivotFmt>
        <c:idx val="0"/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showCatName val="1"/>
          <c:showPercent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5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6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2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3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4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5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6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2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3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4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5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6">
              <a:lumMod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3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4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CD1-417D-839C-BA86B4214135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CD1-417D-839C-BA86B4214135}"/>
              </c:ext>
            </c:extLst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CD1-417D-839C-BA86B4214135}"/>
              </c:ext>
            </c:extLst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CD1-417D-839C-BA86B4214135}"/>
              </c:ext>
            </c:extLst>
          </c:dPt>
          <c:dPt>
            <c:idx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CD1-417D-839C-BA86B4214135}"/>
              </c:ext>
            </c:extLst>
          </c:dPt>
          <c:dPt>
            <c:idx val="5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DCD1-417D-839C-BA86B4214135}"/>
              </c:ext>
            </c:extLst>
          </c:dPt>
          <c:dPt>
            <c:idx val="6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DCD1-417D-839C-BA86B4214135}"/>
              </c:ext>
            </c:extLst>
          </c:dPt>
          <c:dPt>
            <c:idx val="7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DCD1-417D-839C-BA86B4214135}"/>
              </c:ext>
            </c:extLst>
          </c:dPt>
          <c:dPt>
            <c:idx val="8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DCD1-417D-839C-BA86B4214135}"/>
              </c:ext>
            </c:extLst>
          </c:dPt>
          <c:dPt>
            <c:idx val="9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DCD1-417D-839C-BA86B4214135}"/>
              </c:ext>
            </c:extLst>
          </c:dPt>
          <c:dPt>
            <c:idx val="1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DCD1-417D-839C-BA86B4214135}"/>
              </c:ext>
            </c:extLst>
          </c:dPt>
          <c:dPt>
            <c:idx val="11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DCD1-417D-839C-BA86B4214135}"/>
              </c:ext>
            </c:extLst>
          </c:dPt>
          <c:dP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DCD1-417D-839C-BA86B4214135}"/>
              </c:ext>
            </c:extLst>
          </c:dPt>
          <c:dP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DCD1-417D-839C-BA86B4214135}"/>
              </c:ext>
            </c:extLst>
          </c:dPt>
          <c:dP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DCD1-417D-839C-BA86B4214135}"/>
              </c:ext>
            </c:extLst>
          </c:dPt>
          <c:dPt>
            <c:idx val="15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DCD1-417D-839C-BA86B4214135}"/>
              </c:ext>
            </c:extLst>
          </c:dPt>
          <c:dPt>
            <c:idx val="16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DCD1-417D-839C-BA86B4214135}"/>
              </c:ext>
            </c:extLst>
          </c:dPt>
          <c:dPt>
            <c:idx val="17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DCD1-417D-839C-BA86B4214135}"/>
              </c:ext>
            </c:extLst>
          </c:dPt>
          <c:dPt>
            <c:idx val="18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DCD1-417D-839C-BA86B4214135}"/>
              </c:ext>
            </c:extLst>
          </c:dPt>
          <c:dPt>
            <c:idx val="19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DCD1-417D-839C-BA86B4214135}"/>
              </c:ext>
            </c:extLst>
          </c:dPt>
          <c:dPt>
            <c:idx val="2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9-DCD1-417D-839C-BA86B4214135}"/>
              </c:ext>
            </c:extLst>
          </c:dPt>
          <c:dPt>
            <c:idx val="21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B-DCD1-417D-839C-BA86B4214135}"/>
              </c:ext>
            </c:extLst>
          </c:dPt>
          <c:dPt>
            <c:idx val="22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D-DCD1-417D-839C-BA86B4214135}"/>
              </c:ext>
            </c:extLst>
          </c:dPt>
          <c:dPt>
            <c:idx val="23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F-DCD1-417D-839C-BA86B4214135}"/>
              </c:ext>
            </c:extLst>
          </c:dPt>
          <c:dPt>
            <c:idx val="24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1-DCD1-417D-839C-BA86B4214135}"/>
              </c:ext>
            </c:extLst>
          </c:dPt>
          <c:dPt>
            <c:idx val="25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3-DCD1-417D-839C-BA86B4214135}"/>
              </c:ext>
            </c:extLst>
          </c:dPt>
          <c:dPt>
            <c:idx val="26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5-DCD1-417D-839C-BA86B4214135}"/>
              </c:ext>
            </c:extLst>
          </c:dPt>
          <c:dPt>
            <c:idx val="27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7-DCD1-417D-839C-BA86B4214135}"/>
              </c:ext>
            </c:extLst>
          </c:dPt>
          <c:dPt>
            <c:idx val="28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9-DCD1-417D-839C-BA86B4214135}"/>
              </c:ext>
            </c:extLst>
          </c:dPt>
          <c:dPt>
            <c:idx val="29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B-DCD1-417D-839C-BA86B4214135}"/>
              </c:ext>
            </c:extLst>
          </c:dPt>
          <c:dPt>
            <c:idx val="3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D-DCD1-417D-839C-BA86B4214135}"/>
              </c:ext>
            </c:extLst>
          </c:dPt>
          <c:dPt>
            <c:idx val="31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F-DCD1-417D-839C-BA86B4214135}"/>
              </c:ext>
            </c:extLst>
          </c:dPt>
          <c:dPt>
            <c:idx val="32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1-DCD1-417D-839C-BA86B4214135}"/>
              </c:ext>
            </c:extLst>
          </c:dPt>
          <c:dPt>
            <c:idx val="33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3-DCD1-417D-839C-BA86B42141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  <c:showCatName val="1"/>
            <c:showPercent val="1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'pivot table'!$A$2:$A$36</c:f>
              <c:strCache>
                <c:ptCount val="34"/>
                <c:pt idx="0">
                  <c:v>Account Representative</c:v>
                </c:pt>
                <c:pt idx="1">
                  <c:v>Analyst</c:v>
                </c:pt>
                <c:pt idx="2">
                  <c:v>Analyst II</c:v>
                </c:pt>
                <c:pt idx="3">
                  <c:v>Automation Engineer</c:v>
                </c:pt>
                <c:pt idx="4">
                  <c:v>Business Partner</c:v>
                </c:pt>
                <c:pt idx="5">
                  <c:v>Cloud Infrastructure Architect</c:v>
                </c:pt>
                <c:pt idx="6">
                  <c:v>Computer Systems Manager</c:v>
                </c:pt>
                <c:pt idx="7">
                  <c:v>Controls Engineer</c:v>
                </c:pt>
                <c:pt idx="8">
                  <c:v>Development Engineer</c:v>
                </c:pt>
                <c:pt idx="9">
                  <c:v>Director</c:v>
                </c:pt>
                <c:pt idx="10">
                  <c:v>Engineering Manager</c:v>
                </c:pt>
                <c:pt idx="11">
                  <c:v>Enterprise Architect</c:v>
                </c:pt>
                <c:pt idx="12">
                  <c:v>Field Engineer</c:v>
                </c:pt>
                <c:pt idx="13">
                  <c:v>HRIS Analyst</c:v>
                </c:pt>
                <c:pt idx="14">
                  <c:v>IT Coordinator</c:v>
                </c:pt>
                <c:pt idx="15">
                  <c:v>IT Systems Architect</c:v>
                </c:pt>
                <c:pt idx="16">
                  <c:v>Manager</c:v>
                </c:pt>
                <c:pt idx="17">
                  <c:v>Network Administrator</c:v>
                </c:pt>
                <c:pt idx="18">
                  <c:v>Network Architect</c:v>
                </c:pt>
                <c:pt idx="19">
                  <c:v>Network Engineer</c:v>
                </c:pt>
                <c:pt idx="20">
                  <c:v>Operations Engineer</c:v>
                </c:pt>
                <c:pt idx="21">
                  <c:v>Quality Engineer</c:v>
                </c:pt>
                <c:pt idx="22">
                  <c:v>Service Desk Analyst</c:v>
                </c:pt>
                <c:pt idx="23">
                  <c:v>Solutions Architect</c:v>
                </c:pt>
                <c:pt idx="24">
                  <c:v>Sr. Account Representative</c:v>
                </c:pt>
                <c:pt idx="25">
                  <c:v>Sr. Analyst</c:v>
                </c:pt>
                <c:pt idx="26">
                  <c:v>Sr. Business Partner</c:v>
                </c:pt>
                <c:pt idx="27">
                  <c:v>Sr. Manger</c:v>
                </c:pt>
                <c:pt idx="28">
                  <c:v>System Administrator </c:v>
                </c:pt>
                <c:pt idx="29">
                  <c:v>Systems Analyst</c:v>
                </c:pt>
                <c:pt idx="30">
                  <c:v>Technical Architect</c:v>
                </c:pt>
                <c:pt idx="31">
                  <c:v>Test Engineer</c:v>
                </c:pt>
                <c:pt idx="32">
                  <c:v>Vice President</c:v>
                </c:pt>
                <c:pt idx="33">
                  <c:v>(blank)</c:v>
                </c:pt>
              </c:strCache>
            </c:strRef>
          </c:cat>
          <c:val>
            <c:numRef>
              <c:f>'pivot table'!$B$2:$B$36</c:f>
              <c:numCache>
                <c:formatCode>General</c:formatCode>
                <c:ptCount val="34"/>
                <c:pt idx="0">
                  <c:v>21</c:v>
                </c:pt>
                <c:pt idx="1">
                  <c:v>51</c:v>
                </c:pt>
                <c:pt idx="2">
                  <c:v>53</c:v>
                </c:pt>
                <c:pt idx="3">
                  <c:v>7</c:v>
                </c:pt>
                <c:pt idx="4">
                  <c:v>19</c:v>
                </c:pt>
                <c:pt idx="5">
                  <c:v>15</c:v>
                </c:pt>
                <c:pt idx="6">
                  <c:v>21</c:v>
                </c:pt>
                <c:pt idx="7">
                  <c:v>15</c:v>
                </c:pt>
                <c:pt idx="8">
                  <c:v>19</c:v>
                </c:pt>
                <c:pt idx="9">
                  <c:v>121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16</c:v>
                </c:pt>
                <c:pt idx="14">
                  <c:v>11</c:v>
                </c:pt>
                <c:pt idx="15">
                  <c:v>12</c:v>
                </c:pt>
                <c:pt idx="16">
                  <c:v>98</c:v>
                </c:pt>
                <c:pt idx="17">
                  <c:v>10</c:v>
                </c:pt>
                <c:pt idx="18">
                  <c:v>18</c:v>
                </c:pt>
                <c:pt idx="19">
                  <c:v>7</c:v>
                </c:pt>
                <c:pt idx="20">
                  <c:v>12</c:v>
                </c:pt>
                <c:pt idx="21">
                  <c:v>20</c:v>
                </c:pt>
                <c:pt idx="22">
                  <c:v>10</c:v>
                </c:pt>
                <c:pt idx="23">
                  <c:v>15</c:v>
                </c:pt>
                <c:pt idx="24">
                  <c:v>9</c:v>
                </c:pt>
                <c:pt idx="25">
                  <c:v>70</c:v>
                </c:pt>
                <c:pt idx="26">
                  <c:v>17</c:v>
                </c:pt>
                <c:pt idx="27">
                  <c:v>110</c:v>
                </c:pt>
                <c:pt idx="28">
                  <c:v>15</c:v>
                </c:pt>
                <c:pt idx="29">
                  <c:v>15</c:v>
                </c:pt>
                <c:pt idx="30">
                  <c:v>17</c:v>
                </c:pt>
                <c:pt idx="31">
                  <c:v>12</c:v>
                </c:pt>
                <c:pt idx="32">
                  <c:v>105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3F-4DAD-B9E8-9038D09680B6}"/>
            </c:ext>
          </c:extLst>
        </c:ser>
        <c:dLbls>
          <c:showVal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[DS0223_lec_1_to_8.xlsx]pivot table!PivotTable9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Freqncy</a:t>
            </a:r>
            <a:r>
              <a:rPr lang="en-US" baseline="0"/>
              <a:t> table for job titles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'pivot table'!$A$2:$A$36</c:f>
              <c:strCache>
                <c:ptCount val="34"/>
                <c:pt idx="0">
                  <c:v>Account Representative</c:v>
                </c:pt>
                <c:pt idx="1">
                  <c:v>Analyst</c:v>
                </c:pt>
                <c:pt idx="2">
                  <c:v>Analyst II</c:v>
                </c:pt>
                <c:pt idx="3">
                  <c:v>Automation Engineer</c:v>
                </c:pt>
                <c:pt idx="4">
                  <c:v>Business Partner</c:v>
                </c:pt>
                <c:pt idx="5">
                  <c:v>Cloud Infrastructure Architect</c:v>
                </c:pt>
                <c:pt idx="6">
                  <c:v>Computer Systems Manager</c:v>
                </c:pt>
                <c:pt idx="7">
                  <c:v>Controls Engineer</c:v>
                </c:pt>
                <c:pt idx="8">
                  <c:v>Development Engineer</c:v>
                </c:pt>
                <c:pt idx="9">
                  <c:v>Director</c:v>
                </c:pt>
                <c:pt idx="10">
                  <c:v>Engineering Manager</c:v>
                </c:pt>
                <c:pt idx="11">
                  <c:v>Enterprise Architect</c:v>
                </c:pt>
                <c:pt idx="12">
                  <c:v>Field Engineer</c:v>
                </c:pt>
                <c:pt idx="13">
                  <c:v>HRIS Analyst</c:v>
                </c:pt>
                <c:pt idx="14">
                  <c:v>IT Coordinator</c:v>
                </c:pt>
                <c:pt idx="15">
                  <c:v>IT Systems Architect</c:v>
                </c:pt>
                <c:pt idx="16">
                  <c:v>Manager</c:v>
                </c:pt>
                <c:pt idx="17">
                  <c:v>Network Administrator</c:v>
                </c:pt>
                <c:pt idx="18">
                  <c:v>Network Architect</c:v>
                </c:pt>
                <c:pt idx="19">
                  <c:v>Network Engineer</c:v>
                </c:pt>
                <c:pt idx="20">
                  <c:v>Operations Engineer</c:v>
                </c:pt>
                <c:pt idx="21">
                  <c:v>Quality Engineer</c:v>
                </c:pt>
                <c:pt idx="22">
                  <c:v>Service Desk Analyst</c:v>
                </c:pt>
                <c:pt idx="23">
                  <c:v>Solutions Architect</c:v>
                </c:pt>
                <c:pt idx="24">
                  <c:v>Sr. Account Representative</c:v>
                </c:pt>
                <c:pt idx="25">
                  <c:v>Sr. Analyst</c:v>
                </c:pt>
                <c:pt idx="26">
                  <c:v>Sr. Business Partner</c:v>
                </c:pt>
                <c:pt idx="27">
                  <c:v>Sr. Manger</c:v>
                </c:pt>
                <c:pt idx="28">
                  <c:v>System Administrator </c:v>
                </c:pt>
                <c:pt idx="29">
                  <c:v>Systems Analyst</c:v>
                </c:pt>
                <c:pt idx="30">
                  <c:v>Technical Architect</c:v>
                </c:pt>
                <c:pt idx="31">
                  <c:v>Test Engineer</c:v>
                </c:pt>
                <c:pt idx="32">
                  <c:v>Vice President</c:v>
                </c:pt>
                <c:pt idx="33">
                  <c:v>(blank)</c:v>
                </c:pt>
              </c:strCache>
            </c:strRef>
          </c:cat>
          <c:val>
            <c:numRef>
              <c:f>'pivot table'!$B$2:$B$36</c:f>
              <c:numCache>
                <c:formatCode>General</c:formatCode>
                <c:ptCount val="34"/>
                <c:pt idx="0">
                  <c:v>21</c:v>
                </c:pt>
                <c:pt idx="1">
                  <c:v>51</c:v>
                </c:pt>
                <c:pt idx="2">
                  <c:v>53</c:v>
                </c:pt>
                <c:pt idx="3">
                  <c:v>7</c:v>
                </c:pt>
                <c:pt idx="4">
                  <c:v>19</c:v>
                </c:pt>
                <c:pt idx="5">
                  <c:v>15</c:v>
                </c:pt>
                <c:pt idx="6">
                  <c:v>21</c:v>
                </c:pt>
                <c:pt idx="7">
                  <c:v>15</c:v>
                </c:pt>
                <c:pt idx="8">
                  <c:v>19</c:v>
                </c:pt>
                <c:pt idx="9">
                  <c:v>121</c:v>
                </c:pt>
                <c:pt idx="10">
                  <c:v>20</c:v>
                </c:pt>
                <c:pt idx="11">
                  <c:v>18</c:v>
                </c:pt>
                <c:pt idx="12">
                  <c:v>21</c:v>
                </c:pt>
                <c:pt idx="13">
                  <c:v>16</c:v>
                </c:pt>
                <c:pt idx="14">
                  <c:v>11</c:v>
                </c:pt>
                <c:pt idx="15">
                  <c:v>12</c:v>
                </c:pt>
                <c:pt idx="16">
                  <c:v>98</c:v>
                </c:pt>
                <c:pt idx="17">
                  <c:v>10</c:v>
                </c:pt>
                <c:pt idx="18">
                  <c:v>18</c:v>
                </c:pt>
                <c:pt idx="19">
                  <c:v>7</c:v>
                </c:pt>
                <c:pt idx="20">
                  <c:v>12</c:v>
                </c:pt>
                <c:pt idx="21">
                  <c:v>20</c:v>
                </c:pt>
                <c:pt idx="22">
                  <c:v>10</c:v>
                </c:pt>
                <c:pt idx="23">
                  <c:v>15</c:v>
                </c:pt>
                <c:pt idx="24">
                  <c:v>9</c:v>
                </c:pt>
                <c:pt idx="25">
                  <c:v>70</c:v>
                </c:pt>
                <c:pt idx="26">
                  <c:v>17</c:v>
                </c:pt>
                <c:pt idx="27">
                  <c:v>110</c:v>
                </c:pt>
                <c:pt idx="28">
                  <c:v>15</c:v>
                </c:pt>
                <c:pt idx="29">
                  <c:v>15</c:v>
                </c:pt>
                <c:pt idx="30">
                  <c:v>17</c:v>
                </c:pt>
                <c:pt idx="31">
                  <c:v>12</c:v>
                </c:pt>
                <c:pt idx="32">
                  <c:v>105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EC0-4BEF-ADDB-2C982122FEB7}"/>
            </c:ext>
          </c:extLst>
        </c:ser>
        <c:dLbls>
          <c:showVal val="1"/>
        </c:dLbls>
        <c:gapWidth val="182"/>
        <c:axId val="159026560"/>
        <c:axId val="159065600"/>
      </c:barChart>
      <c:catAx>
        <c:axId val="159026560"/>
        <c:scaling>
          <c:orientation val="minMax"/>
        </c:scaling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 title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5600"/>
        <c:crosses val="autoZero"/>
        <c:auto val="1"/>
        <c:lblAlgn val="ctr"/>
        <c:lblOffset val="100"/>
      </c:catAx>
      <c:valAx>
        <c:axId val="15906560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spPr>
            <a:solidFill>
              <a:srgbClr val="003366"/>
            </a:solidFill>
            <a:ln>
              <a:noFill/>
            </a:ln>
            <a:effectLst>
              <a:outerShdw blurRad="50800" dist="50800" dir="5400000" algn="ctr" rotWithShape="0">
                <a:srgbClr val="003366"/>
              </a:outerShdw>
            </a:effectLst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26560"/>
        <c:crosses val="autoZero"/>
        <c:crossBetween val="between"/>
      </c:valAx>
      <c:spPr>
        <a:noFill/>
        <a:ln cmpd="dbl">
          <a:solidFill>
            <a:schemeClr val="accent1"/>
          </a:solidFill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452880</xdr:colOff>
      <xdr:row>20</xdr:row>
      <xdr:rowOff>82440</xdr:rowOff>
    </xdr:from>
    <xdr:to>
      <xdr:col>6</xdr:col>
      <xdr:colOff>461880</xdr:colOff>
      <xdr:row>20</xdr:row>
      <xdr:rowOff>97200</xdr:rowOff>
    </xdr:to>
    <xdr:pic>
      <xdr:nvPicPr>
        <xdr:cNvPr id="2" name="Ink 1">
          <a:extLst>
            <a:ext uri="{FF2B5EF4-FFF2-40B4-BE49-F238E27FC236}">
              <a16:creationId xmlns:mc="http://schemas.openxmlformats.org/markup-compatibility/2006" xmlns:xdr14="http://schemas.microsoft.com/office/excel/2010/spreadsheetDrawing" xmlns="" xmlns:a16="http://schemas.microsoft.com/office/drawing/2014/main" id="{28A8DC55-0CD2-8659-98CD-A9C50609A6F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6280" y="3731400"/>
          <a:ext cx="26640" cy="3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231720</xdr:colOff>
      <xdr:row>12</xdr:row>
      <xdr:rowOff>66960</xdr:rowOff>
    </xdr:from>
    <xdr:to>
      <xdr:col>8</xdr:col>
      <xdr:colOff>236760</xdr:colOff>
      <xdr:row>12</xdr:row>
      <xdr:rowOff>79560</xdr:rowOff>
    </xdr:to>
    <xdr:pic>
      <xdr:nvPicPr>
        <xdr:cNvPr id="11" name="Ink 10">
          <a:extLst>
            <a:ext uri="{FF2B5EF4-FFF2-40B4-BE49-F238E27FC236}">
              <a16:creationId xmlns:mc="http://schemas.openxmlformats.org/markup-compatibility/2006" xmlns:xdr14="http://schemas.microsoft.com/office/excel/2010/spreadsheetDrawing" xmlns="" xmlns:a16="http://schemas.microsoft.com/office/drawing/2014/main" id="{D50E947E-986D-73B5-7B89-FF33017593C2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7680" y="2252880"/>
          <a:ext cx="22680" cy="30240"/>
        </a:xfrm>
        <a:prstGeom prst="rect">
          <a:avLst/>
        </a:prstGeom>
      </xdr:spPr>
    </xdr:pic>
    <xdr:clientData/>
  </xdr:twoCellAnchor>
  <xdr:twoCellAnchor editAs="oneCell">
    <xdr:from>
      <xdr:col>3</xdr:col>
      <xdr:colOff>643320</xdr:colOff>
      <xdr:row>11</xdr:row>
      <xdr:rowOff>84600</xdr:rowOff>
    </xdr:from>
    <xdr:to>
      <xdr:col>3</xdr:col>
      <xdr:colOff>650520</xdr:colOff>
      <xdr:row>11</xdr:row>
      <xdr:rowOff>109800</xdr:rowOff>
    </xdr:to>
    <xdr:pic>
      <xdr:nvPicPr>
        <xdr:cNvPr id="14" name="Ink 13">
          <a:extLst>
            <a:ext uri="{FF2B5EF4-FFF2-40B4-BE49-F238E27FC236}">
              <a16:creationId xmlns:mc="http://schemas.openxmlformats.org/markup-compatibility/2006" xmlns:xdr14="http://schemas.microsoft.com/office/excel/2010/spreadsheetDrawing" xmlns="" xmlns:a16="http://schemas.microsoft.com/office/drawing/2014/main" id="{814E6DDF-1187-6D2B-FD75-DD68BFB9D97B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8960" y="2087640"/>
          <a:ext cx="24840" cy="42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124298</xdr:colOff>
      <xdr:row>1</xdr:row>
      <xdr:rowOff>27020</xdr:rowOff>
    </xdr:from>
    <xdr:to>
      <xdr:col>10</xdr:col>
      <xdr:colOff>70255</xdr:colOff>
      <xdr:row>3</xdr:row>
      <xdr:rowOff>166450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D34B178-143E-14EF-9ABA-FA68C5475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545832</xdr:colOff>
      <xdr:row>8</xdr:row>
      <xdr:rowOff>21617</xdr:rowOff>
    </xdr:from>
    <xdr:to>
      <xdr:col>10</xdr:col>
      <xdr:colOff>329660</xdr:colOff>
      <xdr:row>21</xdr:row>
      <xdr:rowOff>108085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B5220AA4-5E84-4482-A01B-1B0920429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701524</xdr:colOff>
      <xdr:row>0</xdr:row>
      <xdr:rowOff>90716</xdr:rowOff>
    </xdr:from>
    <xdr:to>
      <xdr:col>20</xdr:col>
      <xdr:colOff>260048</xdr:colOff>
      <xdr:row>3</xdr:row>
      <xdr:rowOff>145143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20315404" y="90716"/>
          <a:ext cx="1074904" cy="603067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Excel.Editing this shape or saving this workbook into a different file format will permanently break the chart.</a:t>
          </a:r>
        </a:p>
      </xdr:txBody>
    </xdr:sp>
    <xdr:clientData/>
  </xdr:twoCellAnchor>
  <xdr:twoCellAnchor editAs="oneCell">
    <xdr:from>
      <xdr:col>25</xdr:col>
      <xdr:colOff>596339</xdr:colOff>
      <xdr:row>21</xdr:row>
      <xdr:rowOff>60326</xdr:rowOff>
    </xdr:from>
    <xdr:to>
      <xdr:col>27</xdr:col>
      <xdr:colOff>199421</xdr:colOff>
      <xdr:row>21</xdr:row>
      <xdr:rowOff>108206</xdr:rowOff>
    </xdr:to>
    <xdr:pic>
      <xdr:nvPicPr>
        <xdr:cNvPr id="3" name="Ink 2">
          <a:extLst>
            <a:ext uri="{FF2B5EF4-FFF2-40B4-BE49-F238E27FC236}">
              <a16:creationId xmlns:mc="http://schemas.openxmlformats.org/markup-compatibility/2006" xmlns:xdr14="http://schemas.microsoft.com/office/excel/2010/spreadsheetDrawing" xmlns="" xmlns:a16="http://schemas.microsoft.com/office/drawing/2014/main" id="{2E8E6890-A125-2C66-2ADB-EF8C9A0A515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15434" y="3861326"/>
          <a:ext cx="1047960" cy="655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</xdr:row>
      <xdr:rowOff>160020</xdr:rowOff>
    </xdr:from>
    <xdr:to>
      <xdr:col>18</xdr:col>
      <xdr:colOff>365760</xdr:colOff>
      <xdr:row>24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D3ABAED0-2089-4D8C-FECF-93B1E420A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4</xdr:row>
      <xdr:rowOff>99060</xdr:rowOff>
    </xdr:from>
    <xdr:to>
      <xdr:col>11</xdr:col>
      <xdr:colOff>434340</xdr:colOff>
      <xdr:row>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2FDD7CD5-36E5-A92B-D99D-E116954CA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175260</xdr:colOff>
      <xdr:row>1</xdr:row>
      <xdr:rowOff>129540</xdr:rowOff>
    </xdr:from>
    <xdr:to>
      <xdr:col>12</xdr:col>
      <xdr:colOff>144780</xdr:colOff>
      <xdr:row>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E5702303-A2E5-1F86-BB9D-3E222F552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010.889625462965" createdVersion="8" refreshedVersion="8" minRefreshableVersion="3" recordCount="1001">
  <cacheSource type="worksheet">
    <worksheetSource ref="C1:C1048576" sheet="moments"/>
  </cacheSource>
  <cacheFields count="1"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ENOVO" refreshedDate="45010.897640277777" createdVersion="8" refreshedVersion="8" minRefreshableVersion="3" recordCount="1001">
  <cacheSource type="worksheet">
    <worksheetSource ref="D1:D1048576" sheet="moments"/>
  </cacheSource>
  <cacheFields count="1"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</r>
  <r>
    <x v="1"/>
  </r>
  <r>
    <x v="2"/>
  </r>
  <r>
    <x v="3"/>
  </r>
  <r>
    <x v="4"/>
  </r>
  <r>
    <x v="5"/>
  </r>
  <r>
    <x v="6"/>
  </r>
  <r>
    <x v="7"/>
  </r>
  <r>
    <x v="6"/>
  </r>
  <r>
    <x v="4"/>
  </r>
  <r>
    <x v="0"/>
  </r>
  <r>
    <x v="8"/>
  </r>
  <r>
    <x v="6"/>
  </r>
  <r>
    <x v="0"/>
  </r>
  <r>
    <x v="4"/>
  </r>
  <r>
    <x v="9"/>
  </r>
  <r>
    <x v="2"/>
  </r>
  <r>
    <x v="0"/>
  </r>
  <r>
    <x v="2"/>
  </r>
  <r>
    <x v="2"/>
  </r>
  <r>
    <x v="0"/>
  </r>
  <r>
    <x v="2"/>
  </r>
  <r>
    <x v="2"/>
  </r>
  <r>
    <x v="7"/>
  </r>
  <r>
    <x v="9"/>
  </r>
  <r>
    <x v="2"/>
  </r>
  <r>
    <x v="10"/>
  </r>
  <r>
    <x v="9"/>
  </r>
  <r>
    <x v="11"/>
  </r>
  <r>
    <x v="9"/>
  </r>
  <r>
    <x v="12"/>
  </r>
  <r>
    <x v="7"/>
  </r>
  <r>
    <x v="13"/>
  </r>
  <r>
    <x v="5"/>
  </r>
  <r>
    <x v="7"/>
  </r>
  <r>
    <x v="14"/>
  </r>
  <r>
    <x v="8"/>
  </r>
  <r>
    <x v="9"/>
  </r>
  <r>
    <x v="1"/>
  </r>
  <r>
    <x v="14"/>
  </r>
  <r>
    <x v="15"/>
  </r>
  <r>
    <x v="6"/>
  </r>
  <r>
    <x v="9"/>
  </r>
  <r>
    <x v="5"/>
  </r>
  <r>
    <x v="0"/>
  </r>
  <r>
    <x v="14"/>
  </r>
  <r>
    <x v="3"/>
  </r>
  <r>
    <x v="2"/>
  </r>
  <r>
    <x v="10"/>
  </r>
  <r>
    <x v="2"/>
  </r>
  <r>
    <x v="16"/>
  </r>
  <r>
    <x v="13"/>
  </r>
  <r>
    <x v="0"/>
  </r>
  <r>
    <x v="13"/>
  </r>
  <r>
    <x v="2"/>
  </r>
  <r>
    <x v="17"/>
  </r>
  <r>
    <x v="18"/>
  </r>
  <r>
    <x v="19"/>
  </r>
  <r>
    <x v="20"/>
  </r>
  <r>
    <x v="0"/>
  </r>
  <r>
    <x v="0"/>
  </r>
  <r>
    <x v="4"/>
  </r>
  <r>
    <x v="11"/>
  </r>
  <r>
    <x v="9"/>
  </r>
  <r>
    <x v="7"/>
  </r>
  <r>
    <x v="4"/>
  </r>
  <r>
    <x v="16"/>
  </r>
  <r>
    <x v="6"/>
  </r>
  <r>
    <x v="9"/>
  </r>
  <r>
    <x v="21"/>
  </r>
  <r>
    <x v="17"/>
  </r>
  <r>
    <x v="2"/>
  </r>
  <r>
    <x v="6"/>
  </r>
  <r>
    <x v="8"/>
  </r>
  <r>
    <x v="9"/>
  </r>
  <r>
    <x v="12"/>
  </r>
  <r>
    <x v="22"/>
  </r>
  <r>
    <x v="3"/>
  </r>
  <r>
    <x v="13"/>
  </r>
  <r>
    <x v="0"/>
  </r>
  <r>
    <x v="13"/>
  </r>
  <r>
    <x v="11"/>
  </r>
  <r>
    <x v="10"/>
  </r>
  <r>
    <x v="2"/>
  </r>
  <r>
    <x v="2"/>
  </r>
  <r>
    <x v="20"/>
  </r>
  <r>
    <x v="2"/>
  </r>
  <r>
    <x v="21"/>
  </r>
  <r>
    <x v="23"/>
  </r>
  <r>
    <x v="24"/>
  </r>
  <r>
    <x v="6"/>
  </r>
  <r>
    <x v="0"/>
  </r>
  <r>
    <x v="13"/>
  </r>
  <r>
    <x v="5"/>
  </r>
  <r>
    <x v="15"/>
  </r>
  <r>
    <x v="0"/>
  </r>
  <r>
    <x v="9"/>
  </r>
  <r>
    <x v="23"/>
  </r>
  <r>
    <x v="3"/>
  </r>
  <r>
    <x v="9"/>
  </r>
  <r>
    <x v="22"/>
  </r>
  <r>
    <x v="3"/>
  </r>
  <r>
    <x v="25"/>
  </r>
  <r>
    <x v="2"/>
  </r>
  <r>
    <x v="13"/>
  </r>
  <r>
    <x v="0"/>
  </r>
  <r>
    <x v="17"/>
  </r>
  <r>
    <x v="25"/>
  </r>
  <r>
    <x v="8"/>
  </r>
  <r>
    <x v="2"/>
  </r>
  <r>
    <x v="26"/>
  </r>
  <r>
    <x v="2"/>
  </r>
  <r>
    <x v="27"/>
  </r>
  <r>
    <x v="2"/>
  </r>
  <r>
    <x v="9"/>
  </r>
  <r>
    <x v="2"/>
  </r>
  <r>
    <x v="0"/>
  </r>
  <r>
    <x v="4"/>
  </r>
  <r>
    <x v="4"/>
  </r>
  <r>
    <x v="6"/>
  </r>
  <r>
    <x v="14"/>
  </r>
  <r>
    <x v="13"/>
  </r>
  <r>
    <x v="21"/>
  </r>
  <r>
    <x v="6"/>
  </r>
  <r>
    <x v="7"/>
  </r>
  <r>
    <x v="19"/>
  </r>
  <r>
    <x v="4"/>
  </r>
  <r>
    <x v="28"/>
  </r>
  <r>
    <x v="17"/>
  </r>
  <r>
    <x v="9"/>
  </r>
  <r>
    <x v="0"/>
  </r>
  <r>
    <x v="17"/>
  </r>
  <r>
    <x v="2"/>
  </r>
  <r>
    <x v="7"/>
  </r>
  <r>
    <x v="9"/>
  </r>
  <r>
    <x v="14"/>
  </r>
  <r>
    <x v="9"/>
  </r>
  <r>
    <x v="9"/>
  </r>
  <r>
    <x v="10"/>
  </r>
  <r>
    <x v="18"/>
  </r>
  <r>
    <x v="4"/>
  </r>
  <r>
    <x v="9"/>
  </r>
  <r>
    <x v="9"/>
  </r>
  <r>
    <x v="24"/>
  </r>
  <r>
    <x v="1"/>
  </r>
  <r>
    <x v="6"/>
  </r>
  <r>
    <x v="0"/>
  </r>
  <r>
    <x v="17"/>
  </r>
  <r>
    <x v="29"/>
  </r>
  <r>
    <x v="23"/>
  </r>
  <r>
    <x v="17"/>
  </r>
  <r>
    <x v="4"/>
  </r>
  <r>
    <x v="13"/>
  </r>
  <r>
    <x v="14"/>
  </r>
  <r>
    <x v="23"/>
  </r>
  <r>
    <x v="23"/>
  </r>
  <r>
    <x v="6"/>
  </r>
  <r>
    <x v="9"/>
  </r>
  <r>
    <x v="6"/>
  </r>
  <r>
    <x v="15"/>
  </r>
  <r>
    <x v="11"/>
  </r>
  <r>
    <x v="10"/>
  </r>
  <r>
    <x v="4"/>
  </r>
  <r>
    <x v="14"/>
  </r>
  <r>
    <x v="9"/>
  </r>
  <r>
    <x v="2"/>
  </r>
  <r>
    <x v="0"/>
  </r>
  <r>
    <x v="26"/>
  </r>
  <r>
    <x v="9"/>
  </r>
  <r>
    <x v="0"/>
  </r>
  <r>
    <x v="15"/>
  </r>
  <r>
    <x v="1"/>
  </r>
  <r>
    <x v="9"/>
  </r>
  <r>
    <x v="2"/>
  </r>
  <r>
    <x v="6"/>
  </r>
  <r>
    <x v="6"/>
  </r>
  <r>
    <x v="6"/>
  </r>
  <r>
    <x v="9"/>
  </r>
  <r>
    <x v="7"/>
  </r>
  <r>
    <x v="6"/>
  </r>
  <r>
    <x v="12"/>
  </r>
  <r>
    <x v="4"/>
  </r>
  <r>
    <x v="7"/>
  </r>
  <r>
    <x v="24"/>
  </r>
  <r>
    <x v="30"/>
  </r>
  <r>
    <x v="28"/>
  </r>
  <r>
    <x v="30"/>
  </r>
  <r>
    <x v="7"/>
  </r>
  <r>
    <x v="0"/>
  </r>
  <r>
    <x v="15"/>
  </r>
  <r>
    <x v="0"/>
  </r>
  <r>
    <x v="5"/>
  </r>
  <r>
    <x v="11"/>
  </r>
  <r>
    <x v="2"/>
  </r>
  <r>
    <x v="31"/>
  </r>
  <r>
    <x v="6"/>
  </r>
  <r>
    <x v="7"/>
  </r>
  <r>
    <x v="9"/>
  </r>
  <r>
    <x v="31"/>
  </r>
  <r>
    <x v="9"/>
  </r>
  <r>
    <x v="27"/>
  </r>
  <r>
    <x v="7"/>
  </r>
  <r>
    <x v="9"/>
  </r>
  <r>
    <x v="25"/>
  </r>
  <r>
    <x v="2"/>
  </r>
  <r>
    <x v="32"/>
  </r>
  <r>
    <x v="19"/>
  </r>
  <r>
    <x v="6"/>
  </r>
  <r>
    <x v="4"/>
  </r>
  <r>
    <x v="9"/>
  </r>
  <r>
    <x v="5"/>
  </r>
  <r>
    <x v="0"/>
  </r>
  <r>
    <x v="4"/>
  </r>
  <r>
    <x v="6"/>
  </r>
  <r>
    <x v="25"/>
  </r>
  <r>
    <x v="8"/>
  </r>
  <r>
    <x v="4"/>
  </r>
  <r>
    <x v="9"/>
  </r>
  <r>
    <x v="4"/>
  </r>
  <r>
    <x v="26"/>
  </r>
  <r>
    <x v="9"/>
  </r>
  <r>
    <x v="31"/>
  </r>
  <r>
    <x v="7"/>
  </r>
  <r>
    <x v="4"/>
  </r>
  <r>
    <x v="21"/>
  </r>
  <r>
    <x v="26"/>
  </r>
  <r>
    <x v="2"/>
  </r>
  <r>
    <x v="11"/>
  </r>
  <r>
    <x v="25"/>
  </r>
  <r>
    <x v="6"/>
  </r>
  <r>
    <x v="15"/>
  </r>
  <r>
    <x v="7"/>
  </r>
  <r>
    <x v="9"/>
  </r>
  <r>
    <x v="6"/>
  </r>
  <r>
    <x v="9"/>
  </r>
  <r>
    <x v="22"/>
  </r>
  <r>
    <x v="4"/>
  </r>
  <r>
    <x v="13"/>
  </r>
  <r>
    <x v="0"/>
  </r>
  <r>
    <x v="16"/>
  </r>
  <r>
    <x v="0"/>
  </r>
  <r>
    <x v="22"/>
  </r>
  <r>
    <x v="2"/>
  </r>
  <r>
    <x v="9"/>
  </r>
  <r>
    <x v="6"/>
  </r>
  <r>
    <x v="0"/>
  </r>
  <r>
    <x v="6"/>
  </r>
  <r>
    <x v="0"/>
  </r>
  <r>
    <x v="2"/>
  </r>
  <r>
    <x v="9"/>
  </r>
  <r>
    <x v="2"/>
  </r>
  <r>
    <x v="0"/>
  </r>
  <r>
    <x v="11"/>
  </r>
  <r>
    <x v="14"/>
  </r>
  <r>
    <x v="31"/>
  </r>
  <r>
    <x v="15"/>
  </r>
  <r>
    <x v="22"/>
  </r>
  <r>
    <x v="2"/>
  </r>
  <r>
    <x v="28"/>
  </r>
  <r>
    <x v="22"/>
  </r>
  <r>
    <x v="9"/>
  </r>
  <r>
    <x v="0"/>
  </r>
  <r>
    <x v="20"/>
  </r>
  <r>
    <x v="9"/>
  </r>
  <r>
    <x v="2"/>
  </r>
  <r>
    <x v="9"/>
  </r>
  <r>
    <x v="0"/>
  </r>
  <r>
    <x v="4"/>
  </r>
  <r>
    <x v="25"/>
  </r>
  <r>
    <x v="3"/>
  </r>
  <r>
    <x v="2"/>
  </r>
  <r>
    <x v="17"/>
  </r>
  <r>
    <x v="9"/>
  </r>
  <r>
    <x v="16"/>
  </r>
  <r>
    <x v="4"/>
  </r>
  <r>
    <x v="2"/>
  </r>
  <r>
    <x v="18"/>
  </r>
  <r>
    <x v="7"/>
  </r>
  <r>
    <x v="0"/>
  </r>
  <r>
    <x v="4"/>
  </r>
  <r>
    <x v="28"/>
  </r>
  <r>
    <x v="9"/>
  </r>
  <r>
    <x v="18"/>
  </r>
  <r>
    <x v="13"/>
  </r>
  <r>
    <x v="9"/>
  </r>
  <r>
    <x v="7"/>
  </r>
  <r>
    <x v="16"/>
  </r>
  <r>
    <x v="4"/>
  </r>
  <r>
    <x v="0"/>
  </r>
  <r>
    <x v="1"/>
  </r>
  <r>
    <x v="11"/>
  </r>
  <r>
    <x v="7"/>
  </r>
  <r>
    <x v="2"/>
  </r>
  <r>
    <x v="4"/>
  </r>
  <r>
    <x v="11"/>
  </r>
  <r>
    <x v="2"/>
  </r>
  <r>
    <x v="4"/>
  </r>
  <r>
    <x v="6"/>
  </r>
  <r>
    <x v="30"/>
  </r>
  <r>
    <x v="5"/>
  </r>
  <r>
    <x v="22"/>
  </r>
  <r>
    <x v="4"/>
  </r>
  <r>
    <x v="2"/>
  </r>
  <r>
    <x v="25"/>
  </r>
  <r>
    <x v="16"/>
  </r>
  <r>
    <x v="0"/>
  </r>
  <r>
    <x v="0"/>
  </r>
  <r>
    <x v="7"/>
  </r>
  <r>
    <x v="0"/>
  </r>
  <r>
    <x v="29"/>
  </r>
  <r>
    <x v="16"/>
  </r>
  <r>
    <x v="0"/>
  </r>
  <r>
    <x v="0"/>
  </r>
  <r>
    <x v="23"/>
  </r>
  <r>
    <x v="6"/>
  </r>
  <r>
    <x v="0"/>
  </r>
  <r>
    <x v="6"/>
  </r>
  <r>
    <x v="9"/>
  </r>
  <r>
    <x v="9"/>
  </r>
  <r>
    <x v="0"/>
  </r>
  <r>
    <x v="19"/>
  </r>
  <r>
    <x v="6"/>
  </r>
  <r>
    <x v="10"/>
  </r>
  <r>
    <x v="3"/>
  </r>
  <r>
    <x v="9"/>
  </r>
  <r>
    <x v="13"/>
  </r>
  <r>
    <x v="5"/>
  </r>
  <r>
    <x v="2"/>
  </r>
  <r>
    <x v="20"/>
  </r>
  <r>
    <x v="28"/>
  </r>
  <r>
    <x v="32"/>
  </r>
  <r>
    <x v="2"/>
  </r>
  <r>
    <x v="2"/>
  </r>
  <r>
    <x v="25"/>
  </r>
  <r>
    <x v="23"/>
  </r>
  <r>
    <x v="28"/>
  </r>
  <r>
    <x v="2"/>
  </r>
  <r>
    <x v="3"/>
  </r>
  <r>
    <x v="25"/>
  </r>
  <r>
    <x v="10"/>
  </r>
  <r>
    <x v="7"/>
  </r>
  <r>
    <x v="31"/>
  </r>
  <r>
    <x v="6"/>
  </r>
  <r>
    <x v="9"/>
  </r>
  <r>
    <x v="9"/>
  </r>
  <r>
    <x v="4"/>
  </r>
  <r>
    <x v="5"/>
  </r>
  <r>
    <x v="1"/>
  </r>
  <r>
    <x v="2"/>
  </r>
  <r>
    <x v="2"/>
  </r>
  <r>
    <x v="20"/>
  </r>
  <r>
    <x v="2"/>
  </r>
  <r>
    <x v="13"/>
  </r>
  <r>
    <x v="31"/>
  </r>
  <r>
    <x v="16"/>
  </r>
  <r>
    <x v="0"/>
  </r>
  <r>
    <x v="27"/>
  </r>
  <r>
    <x v="15"/>
  </r>
  <r>
    <x v="6"/>
  </r>
  <r>
    <x v="9"/>
  </r>
  <r>
    <x v="13"/>
  </r>
  <r>
    <x v="9"/>
  </r>
  <r>
    <x v="13"/>
  </r>
  <r>
    <x v="2"/>
  </r>
  <r>
    <x v="6"/>
  </r>
  <r>
    <x v="2"/>
  </r>
  <r>
    <x v="17"/>
  </r>
  <r>
    <x v="13"/>
  </r>
  <r>
    <x v="14"/>
  </r>
  <r>
    <x v="0"/>
  </r>
  <r>
    <x v="4"/>
  </r>
  <r>
    <x v="23"/>
  </r>
  <r>
    <x v="0"/>
  </r>
  <r>
    <x v="9"/>
  </r>
  <r>
    <x v="2"/>
  </r>
  <r>
    <x v="17"/>
  </r>
  <r>
    <x v="4"/>
  </r>
  <r>
    <x v="6"/>
  </r>
  <r>
    <x v="14"/>
  </r>
  <r>
    <x v="11"/>
  </r>
  <r>
    <x v="23"/>
  </r>
  <r>
    <x v="1"/>
  </r>
  <r>
    <x v="2"/>
  </r>
  <r>
    <x v="6"/>
  </r>
  <r>
    <x v="6"/>
  </r>
  <r>
    <x v="0"/>
  </r>
  <r>
    <x v="0"/>
  </r>
  <r>
    <x v="27"/>
  </r>
  <r>
    <x v="13"/>
  </r>
  <r>
    <x v="2"/>
  </r>
  <r>
    <x v="0"/>
  </r>
  <r>
    <x v="4"/>
  </r>
  <r>
    <x v="0"/>
  </r>
  <r>
    <x v="28"/>
  </r>
  <r>
    <x v="12"/>
  </r>
  <r>
    <x v="9"/>
  </r>
  <r>
    <x v="2"/>
  </r>
  <r>
    <x v="1"/>
  </r>
  <r>
    <x v="0"/>
  </r>
  <r>
    <x v="23"/>
  </r>
  <r>
    <x v="0"/>
  </r>
  <r>
    <x v="2"/>
  </r>
  <r>
    <x v="29"/>
  </r>
  <r>
    <x v="13"/>
  </r>
  <r>
    <x v="13"/>
  </r>
  <r>
    <x v="27"/>
  </r>
  <r>
    <x v="4"/>
  </r>
  <r>
    <x v="18"/>
  </r>
  <r>
    <x v="4"/>
  </r>
  <r>
    <x v="20"/>
  </r>
  <r>
    <x v="30"/>
  </r>
  <r>
    <x v="9"/>
  </r>
  <r>
    <x v="5"/>
  </r>
  <r>
    <x v="9"/>
  </r>
  <r>
    <x v="10"/>
  </r>
  <r>
    <x v="29"/>
  </r>
  <r>
    <x v="0"/>
  </r>
  <r>
    <x v="0"/>
  </r>
  <r>
    <x v="2"/>
  </r>
  <r>
    <x v="4"/>
  </r>
  <r>
    <x v="6"/>
  </r>
  <r>
    <x v="7"/>
  </r>
  <r>
    <x v="19"/>
  </r>
  <r>
    <x v="2"/>
  </r>
  <r>
    <x v="7"/>
  </r>
  <r>
    <x v="0"/>
  </r>
  <r>
    <x v="2"/>
  </r>
  <r>
    <x v="6"/>
  </r>
  <r>
    <x v="12"/>
  </r>
  <r>
    <x v="25"/>
  </r>
  <r>
    <x v="0"/>
  </r>
  <r>
    <x v="0"/>
  </r>
  <r>
    <x v="7"/>
  </r>
  <r>
    <x v="21"/>
  </r>
  <r>
    <x v="27"/>
  </r>
  <r>
    <x v="20"/>
  </r>
  <r>
    <x v="2"/>
  </r>
  <r>
    <x v="9"/>
  </r>
  <r>
    <x v="7"/>
  </r>
  <r>
    <x v="10"/>
  </r>
  <r>
    <x v="6"/>
  </r>
  <r>
    <x v="3"/>
  </r>
  <r>
    <x v="32"/>
  </r>
  <r>
    <x v="22"/>
  </r>
  <r>
    <x v="9"/>
  </r>
  <r>
    <x v="7"/>
  </r>
  <r>
    <x v="4"/>
  </r>
  <r>
    <x v="4"/>
  </r>
  <r>
    <x v="21"/>
  </r>
  <r>
    <x v="9"/>
  </r>
  <r>
    <x v="0"/>
  </r>
  <r>
    <x v="11"/>
  </r>
  <r>
    <x v="2"/>
  </r>
  <r>
    <x v="3"/>
  </r>
  <r>
    <x v="5"/>
  </r>
  <r>
    <x v="2"/>
  </r>
  <r>
    <x v="8"/>
  </r>
  <r>
    <x v="4"/>
  </r>
  <r>
    <x v="2"/>
  </r>
  <r>
    <x v="20"/>
  </r>
  <r>
    <x v="0"/>
  </r>
  <r>
    <x v="32"/>
  </r>
  <r>
    <x v="9"/>
  </r>
  <r>
    <x v="9"/>
  </r>
  <r>
    <x v="2"/>
  </r>
  <r>
    <x v="22"/>
  </r>
  <r>
    <x v="1"/>
  </r>
  <r>
    <x v="2"/>
  </r>
  <r>
    <x v="13"/>
  </r>
  <r>
    <x v="3"/>
  </r>
  <r>
    <x v="10"/>
  </r>
  <r>
    <x v="0"/>
  </r>
  <r>
    <x v="4"/>
  </r>
  <r>
    <x v="32"/>
  </r>
  <r>
    <x v="7"/>
  </r>
  <r>
    <x v="17"/>
  </r>
  <r>
    <x v="2"/>
  </r>
  <r>
    <x v="17"/>
  </r>
  <r>
    <x v="6"/>
  </r>
  <r>
    <x v="1"/>
  </r>
  <r>
    <x v="4"/>
  </r>
  <r>
    <x v="9"/>
  </r>
  <r>
    <x v="15"/>
  </r>
  <r>
    <x v="9"/>
  </r>
  <r>
    <x v="0"/>
  </r>
  <r>
    <x v="31"/>
  </r>
  <r>
    <x v="27"/>
  </r>
  <r>
    <x v="4"/>
  </r>
  <r>
    <x v="4"/>
  </r>
  <r>
    <x v="9"/>
  </r>
  <r>
    <x v="20"/>
  </r>
  <r>
    <x v="3"/>
  </r>
  <r>
    <x v="20"/>
  </r>
  <r>
    <x v="0"/>
  </r>
  <r>
    <x v="14"/>
  </r>
  <r>
    <x v="2"/>
  </r>
  <r>
    <x v="0"/>
  </r>
  <r>
    <x v="6"/>
  </r>
  <r>
    <x v="17"/>
  </r>
  <r>
    <x v="23"/>
  </r>
  <r>
    <x v="4"/>
  </r>
  <r>
    <x v="25"/>
  </r>
  <r>
    <x v="9"/>
  </r>
  <r>
    <x v="7"/>
  </r>
  <r>
    <x v="27"/>
  </r>
  <r>
    <x v="0"/>
  </r>
  <r>
    <x v="4"/>
  </r>
  <r>
    <x v="6"/>
  </r>
  <r>
    <x v="26"/>
  </r>
  <r>
    <x v="12"/>
  </r>
  <r>
    <x v="6"/>
  </r>
  <r>
    <x v="13"/>
  </r>
  <r>
    <x v="2"/>
  </r>
  <r>
    <x v="4"/>
  </r>
  <r>
    <x v="29"/>
  </r>
  <r>
    <x v="6"/>
  </r>
  <r>
    <x v="0"/>
  </r>
  <r>
    <x v="13"/>
  </r>
  <r>
    <x v="9"/>
  </r>
  <r>
    <x v="7"/>
  </r>
  <r>
    <x v="10"/>
  </r>
  <r>
    <x v="9"/>
  </r>
  <r>
    <x v="3"/>
  </r>
  <r>
    <x v="6"/>
  </r>
  <r>
    <x v="29"/>
  </r>
  <r>
    <x v="30"/>
  </r>
  <r>
    <x v="6"/>
  </r>
  <r>
    <x v="32"/>
  </r>
  <r>
    <x v="3"/>
  </r>
  <r>
    <x v="18"/>
  </r>
  <r>
    <x v="30"/>
  </r>
  <r>
    <x v="9"/>
  </r>
  <r>
    <x v="0"/>
  </r>
  <r>
    <x v="9"/>
  </r>
  <r>
    <x v="4"/>
  </r>
  <r>
    <x v="16"/>
  </r>
  <r>
    <x v="6"/>
  </r>
  <r>
    <x v="21"/>
  </r>
  <r>
    <x v="2"/>
  </r>
  <r>
    <x v="9"/>
  </r>
  <r>
    <x v="25"/>
  </r>
  <r>
    <x v="6"/>
  </r>
  <r>
    <x v="11"/>
  </r>
  <r>
    <x v="6"/>
  </r>
  <r>
    <x v="2"/>
  </r>
  <r>
    <x v="4"/>
  </r>
  <r>
    <x v="13"/>
  </r>
  <r>
    <x v="8"/>
  </r>
  <r>
    <x v="22"/>
  </r>
  <r>
    <x v="9"/>
  </r>
  <r>
    <x v="10"/>
  </r>
  <r>
    <x v="10"/>
  </r>
  <r>
    <x v="16"/>
  </r>
  <r>
    <x v="2"/>
  </r>
  <r>
    <x v="30"/>
  </r>
  <r>
    <x v="0"/>
  </r>
  <r>
    <x v="5"/>
  </r>
  <r>
    <x v="16"/>
  </r>
  <r>
    <x v="13"/>
  </r>
  <r>
    <x v="29"/>
  </r>
  <r>
    <x v="6"/>
  </r>
  <r>
    <x v="2"/>
  </r>
  <r>
    <x v="2"/>
  </r>
  <r>
    <x v="0"/>
  </r>
  <r>
    <x v="7"/>
  </r>
  <r>
    <x v="15"/>
  </r>
  <r>
    <x v="17"/>
  </r>
  <r>
    <x v="13"/>
  </r>
  <r>
    <x v="4"/>
  </r>
  <r>
    <x v="25"/>
  </r>
  <r>
    <x v="22"/>
  </r>
  <r>
    <x v="13"/>
  </r>
  <r>
    <x v="9"/>
  </r>
  <r>
    <x v="0"/>
  </r>
  <r>
    <x v="0"/>
  </r>
  <r>
    <x v="2"/>
  </r>
  <r>
    <x v="0"/>
  </r>
  <r>
    <x v="6"/>
  </r>
  <r>
    <x v="2"/>
  </r>
  <r>
    <x v="5"/>
  </r>
  <r>
    <x v="13"/>
  </r>
  <r>
    <x v="13"/>
  </r>
  <r>
    <x v="10"/>
  </r>
  <r>
    <x v="11"/>
  </r>
  <r>
    <x v="3"/>
  </r>
  <r>
    <x v="6"/>
  </r>
  <r>
    <x v="19"/>
  </r>
  <r>
    <x v="13"/>
  </r>
  <r>
    <x v="31"/>
  </r>
  <r>
    <x v="10"/>
  </r>
  <r>
    <x v="2"/>
  </r>
  <r>
    <x v="9"/>
  </r>
  <r>
    <x v="0"/>
  </r>
  <r>
    <x v="2"/>
  </r>
  <r>
    <x v="9"/>
  </r>
  <r>
    <x v="16"/>
  </r>
  <r>
    <x v="21"/>
  </r>
  <r>
    <x v="0"/>
  </r>
  <r>
    <x v="7"/>
  </r>
  <r>
    <x v="6"/>
  </r>
  <r>
    <x v="2"/>
  </r>
  <r>
    <x v="15"/>
  </r>
  <r>
    <x v="6"/>
  </r>
  <r>
    <x v="20"/>
  </r>
  <r>
    <x v="10"/>
  </r>
  <r>
    <x v="2"/>
  </r>
  <r>
    <x v="7"/>
  </r>
  <r>
    <x v="0"/>
  </r>
  <r>
    <x v="0"/>
  </r>
  <r>
    <x v="6"/>
  </r>
  <r>
    <x v="9"/>
  </r>
  <r>
    <x v="29"/>
  </r>
  <r>
    <x v="0"/>
  </r>
  <r>
    <x v="1"/>
  </r>
  <r>
    <x v="4"/>
  </r>
  <r>
    <x v="6"/>
  </r>
  <r>
    <x v="7"/>
  </r>
  <r>
    <x v="7"/>
  </r>
  <r>
    <x v="4"/>
  </r>
  <r>
    <x v="2"/>
  </r>
  <r>
    <x v="7"/>
  </r>
  <r>
    <x v="9"/>
  </r>
  <r>
    <x v="27"/>
  </r>
  <r>
    <x v="9"/>
  </r>
  <r>
    <x v="28"/>
  </r>
  <r>
    <x v="13"/>
  </r>
  <r>
    <x v="13"/>
  </r>
  <r>
    <x v="19"/>
  </r>
  <r>
    <x v="2"/>
  </r>
  <r>
    <x v="7"/>
  </r>
  <r>
    <x v="0"/>
  </r>
  <r>
    <x v="2"/>
  </r>
  <r>
    <x v="11"/>
  </r>
  <r>
    <x v="13"/>
  </r>
  <r>
    <x v="29"/>
  </r>
  <r>
    <x v="27"/>
  </r>
  <r>
    <x v="4"/>
  </r>
  <r>
    <x v="13"/>
  </r>
  <r>
    <x v="6"/>
  </r>
  <r>
    <x v="2"/>
  </r>
  <r>
    <x v="4"/>
  </r>
  <r>
    <x v="9"/>
  </r>
  <r>
    <x v="9"/>
  </r>
  <r>
    <x v="2"/>
  </r>
  <r>
    <x v="3"/>
  </r>
  <r>
    <x v="4"/>
  </r>
  <r>
    <x v="6"/>
  </r>
  <r>
    <x v="13"/>
  </r>
  <r>
    <x v="1"/>
  </r>
  <r>
    <x v="9"/>
  </r>
  <r>
    <x v="13"/>
  </r>
  <r>
    <x v="21"/>
  </r>
  <r>
    <x v="1"/>
  </r>
  <r>
    <x v="13"/>
  </r>
  <r>
    <x v="0"/>
  </r>
  <r>
    <x v="8"/>
  </r>
  <r>
    <x v="4"/>
  </r>
  <r>
    <x v="9"/>
  </r>
  <r>
    <x v="3"/>
  </r>
  <r>
    <x v="9"/>
  </r>
  <r>
    <x v="7"/>
  </r>
  <r>
    <x v="9"/>
  </r>
  <r>
    <x v="27"/>
  </r>
  <r>
    <x v="6"/>
  </r>
  <r>
    <x v="2"/>
  </r>
  <r>
    <x v="15"/>
  </r>
  <r>
    <x v="8"/>
  </r>
  <r>
    <x v="5"/>
  </r>
  <r>
    <x v="13"/>
  </r>
  <r>
    <x v="4"/>
  </r>
  <r>
    <x v="8"/>
  </r>
  <r>
    <x v="13"/>
  </r>
  <r>
    <x v="9"/>
  </r>
  <r>
    <x v="13"/>
  </r>
  <r>
    <x v="5"/>
  </r>
  <r>
    <x v="5"/>
  </r>
  <r>
    <x v="6"/>
  </r>
  <r>
    <x v="2"/>
  </r>
  <r>
    <x v="1"/>
  </r>
  <r>
    <x v="6"/>
  </r>
  <r>
    <x v="6"/>
  </r>
  <r>
    <x v="7"/>
  </r>
  <r>
    <x v="30"/>
  </r>
  <r>
    <x v="14"/>
  </r>
  <r>
    <x v="0"/>
  </r>
  <r>
    <x v="9"/>
  </r>
  <r>
    <x v="6"/>
  </r>
  <r>
    <x v="9"/>
  </r>
  <r>
    <x v="0"/>
  </r>
  <r>
    <x v="2"/>
  </r>
  <r>
    <x v="4"/>
  </r>
  <r>
    <x v="9"/>
  </r>
  <r>
    <x v="7"/>
  </r>
  <r>
    <x v="7"/>
  </r>
  <r>
    <x v="2"/>
  </r>
  <r>
    <x v="0"/>
  </r>
  <r>
    <x v="0"/>
  </r>
  <r>
    <x v="9"/>
  </r>
  <r>
    <x v="7"/>
  </r>
  <r>
    <x v="7"/>
  </r>
  <r>
    <x v="6"/>
  </r>
  <r>
    <x v="6"/>
  </r>
  <r>
    <x v="9"/>
  </r>
  <r>
    <x v="2"/>
  </r>
  <r>
    <x v="5"/>
  </r>
  <r>
    <x v="29"/>
  </r>
  <r>
    <x v="22"/>
  </r>
  <r>
    <x v="13"/>
  </r>
  <r>
    <x v="0"/>
  </r>
  <r>
    <x v="6"/>
  </r>
  <r>
    <x v="9"/>
  </r>
  <r>
    <x v="6"/>
  </r>
  <r>
    <x v="20"/>
  </r>
  <r>
    <x v="17"/>
  </r>
  <r>
    <x v="2"/>
  </r>
  <r>
    <x v="28"/>
  </r>
  <r>
    <x v="9"/>
  </r>
  <r>
    <x v="0"/>
  </r>
  <r>
    <x v="6"/>
  </r>
  <r>
    <x v="9"/>
  </r>
  <r>
    <x v="6"/>
  </r>
  <r>
    <x v="12"/>
  </r>
  <r>
    <x v="25"/>
  </r>
  <r>
    <x v="2"/>
  </r>
  <r>
    <x v="14"/>
  </r>
  <r>
    <x v="15"/>
  </r>
  <r>
    <x v="11"/>
  </r>
  <r>
    <x v="4"/>
  </r>
  <r>
    <x v="29"/>
  </r>
  <r>
    <x v="25"/>
  </r>
  <r>
    <x v="9"/>
  </r>
  <r>
    <x v="3"/>
  </r>
  <r>
    <x v="19"/>
  </r>
  <r>
    <x v="2"/>
  </r>
  <r>
    <x v="25"/>
  </r>
  <r>
    <x v="9"/>
  </r>
  <r>
    <x v="28"/>
  </r>
  <r>
    <x v="6"/>
  </r>
  <r>
    <x v="2"/>
  </r>
  <r>
    <x v="0"/>
  </r>
  <r>
    <x v="2"/>
  </r>
  <r>
    <x v="9"/>
  </r>
  <r>
    <x v="32"/>
  </r>
  <r>
    <x v="31"/>
  </r>
  <r>
    <x v="4"/>
  </r>
  <r>
    <x v="9"/>
  </r>
  <r>
    <x v="2"/>
  </r>
  <r>
    <x v="24"/>
  </r>
  <r>
    <x v="2"/>
  </r>
  <r>
    <x v="4"/>
  </r>
  <r>
    <x v="16"/>
  </r>
  <r>
    <x v="27"/>
  </r>
  <r>
    <x v="4"/>
  </r>
  <r>
    <x v="0"/>
  </r>
  <r>
    <x v="14"/>
  </r>
  <r>
    <x v="2"/>
  </r>
  <r>
    <x v="10"/>
  </r>
  <r>
    <x v="0"/>
  </r>
  <r>
    <x v="17"/>
  </r>
  <r>
    <x v="15"/>
  </r>
  <r>
    <x v="26"/>
  </r>
  <r>
    <x v="6"/>
  </r>
  <r>
    <x v="4"/>
  </r>
  <r>
    <x v="6"/>
  </r>
  <r>
    <x v="6"/>
  </r>
  <r>
    <x v="20"/>
  </r>
  <r>
    <x v="0"/>
  </r>
  <r>
    <x v="12"/>
  </r>
  <r>
    <x v="2"/>
  </r>
  <r>
    <x v="0"/>
  </r>
  <r>
    <x v="17"/>
  </r>
  <r>
    <x v="10"/>
  </r>
  <r>
    <x v="6"/>
  </r>
  <r>
    <x v="19"/>
  </r>
  <r>
    <x v="6"/>
  </r>
  <r>
    <x v="14"/>
  </r>
  <r>
    <x v="12"/>
  </r>
  <r>
    <x v="13"/>
  </r>
  <r>
    <x v="5"/>
  </r>
  <r>
    <x v="13"/>
  </r>
  <r>
    <x v="26"/>
  </r>
  <r>
    <x v="12"/>
  </r>
  <r>
    <x v="12"/>
  </r>
  <r>
    <x v="18"/>
  </r>
  <r>
    <x v="27"/>
  </r>
  <r>
    <x v="25"/>
  </r>
  <r>
    <x v="23"/>
  </r>
  <r>
    <x v="7"/>
  </r>
  <r>
    <x v="6"/>
  </r>
  <r>
    <x v="6"/>
  </r>
  <r>
    <x v="15"/>
  </r>
  <r>
    <x v="0"/>
  </r>
  <r>
    <x v="2"/>
  </r>
  <r>
    <x v="13"/>
  </r>
  <r>
    <x v="7"/>
  </r>
  <r>
    <x v="17"/>
  </r>
  <r>
    <x v="7"/>
  </r>
  <r>
    <x v="6"/>
  </r>
  <r>
    <x v="15"/>
  </r>
  <r>
    <x v="4"/>
  </r>
  <r>
    <x v="21"/>
  </r>
  <r>
    <x v="0"/>
  </r>
  <r>
    <x v="3"/>
  </r>
  <r>
    <x v="9"/>
  </r>
  <r>
    <x v="13"/>
  </r>
  <r>
    <x v="19"/>
  </r>
  <r>
    <x v="9"/>
  </r>
  <r>
    <x v="2"/>
  </r>
  <r>
    <x v="1"/>
  </r>
  <r>
    <x v="2"/>
  </r>
  <r>
    <x v="0"/>
  </r>
  <r>
    <x v="0"/>
  </r>
  <r>
    <x v="2"/>
  </r>
  <r>
    <x v="4"/>
  </r>
  <r>
    <x v="23"/>
  </r>
  <r>
    <x v="11"/>
  </r>
  <r>
    <x v="4"/>
  </r>
  <r>
    <x v="24"/>
  </r>
  <r>
    <x v="29"/>
  </r>
  <r>
    <x v="2"/>
  </r>
  <r>
    <x v="30"/>
  </r>
  <r>
    <x v="6"/>
  </r>
  <r>
    <x v="6"/>
  </r>
  <r>
    <x v="28"/>
  </r>
  <r>
    <x v="6"/>
  </r>
  <r>
    <x v="21"/>
  </r>
  <r>
    <x v="7"/>
  </r>
  <r>
    <x v="0"/>
  </r>
  <r>
    <x v="1"/>
  </r>
  <r>
    <x v="0"/>
  </r>
  <r>
    <x v="14"/>
  </r>
  <r>
    <x v="10"/>
  </r>
  <r>
    <x v="0"/>
  </r>
  <r>
    <x v="10"/>
  </r>
  <r>
    <x v="27"/>
  </r>
  <r>
    <x v="11"/>
  </r>
  <r>
    <x v="19"/>
  </r>
  <r>
    <x v="2"/>
  </r>
  <r>
    <x v="6"/>
  </r>
  <r>
    <x v="8"/>
  </r>
  <r>
    <x v="8"/>
  </r>
  <r>
    <x v="6"/>
  </r>
  <r>
    <x v="21"/>
  </r>
  <r>
    <x v="29"/>
  </r>
  <r>
    <x v="6"/>
  </r>
  <r>
    <x v="9"/>
  </r>
  <r>
    <x v="0"/>
  </r>
  <r>
    <x v="20"/>
  </r>
  <r>
    <x v="4"/>
  </r>
  <r>
    <x v="2"/>
  </r>
  <r>
    <x v="9"/>
  </r>
  <r>
    <x v="20"/>
  </r>
  <r>
    <x v="19"/>
  </r>
  <r>
    <x v="5"/>
  </r>
  <r>
    <x v="7"/>
  </r>
  <r>
    <x v="2"/>
  </r>
  <r>
    <x v="23"/>
  </r>
  <r>
    <x v="0"/>
  </r>
  <r>
    <x v="30"/>
  </r>
  <r>
    <x v="17"/>
  </r>
  <r>
    <x v="6"/>
  </r>
  <r>
    <x v="0"/>
  </r>
  <r>
    <x v="2"/>
  </r>
  <r>
    <x v="9"/>
  </r>
  <r>
    <x v="0"/>
  </r>
  <r>
    <x v="31"/>
  </r>
  <r>
    <x v="14"/>
  </r>
  <r>
    <x v="13"/>
  </r>
  <r>
    <x v="11"/>
  </r>
  <r>
    <x v="21"/>
  </r>
  <r>
    <x v="17"/>
  </r>
  <r>
    <x v="13"/>
  </r>
  <r>
    <x v="16"/>
  </r>
  <r>
    <x v="6"/>
  </r>
  <r>
    <x v="23"/>
  </r>
  <r>
    <x v="3"/>
  </r>
  <r>
    <x v="2"/>
  </r>
  <r>
    <x v="24"/>
  </r>
  <r>
    <x v="0"/>
  </r>
  <r>
    <x v="4"/>
  </r>
  <r>
    <x v="4"/>
  </r>
  <r>
    <x v="0"/>
  </r>
  <r>
    <x v="8"/>
  </r>
  <r>
    <x v="2"/>
  </r>
  <r>
    <x v="9"/>
  </r>
  <r>
    <x v="2"/>
  </r>
  <r>
    <x v="23"/>
  </r>
  <r>
    <x v="16"/>
  </r>
  <r>
    <x v="28"/>
  </r>
  <r>
    <x v="2"/>
  </r>
  <r>
    <x v="6"/>
  </r>
  <r>
    <x v="20"/>
  </r>
  <r>
    <x v="32"/>
  </r>
  <r>
    <x v="27"/>
  </r>
  <r>
    <x v="20"/>
  </r>
  <r>
    <x v="20"/>
  </r>
  <r>
    <x v="0"/>
  </r>
  <r>
    <x v="29"/>
  </r>
  <r>
    <x v="4"/>
  </r>
  <r>
    <x v="16"/>
  </r>
  <r>
    <x v="9"/>
  </r>
  <r>
    <x v="20"/>
  </r>
  <r>
    <x v="7"/>
  </r>
  <r>
    <x v="0"/>
  </r>
  <r>
    <x v="2"/>
  </r>
  <r>
    <x v="5"/>
  </r>
  <r>
    <x v="11"/>
  </r>
  <r>
    <x v="7"/>
  </r>
  <r>
    <x v="24"/>
  </r>
  <r>
    <x v="6"/>
  </r>
  <r>
    <x v="6"/>
  </r>
  <r>
    <x v="7"/>
  </r>
  <r>
    <x v="13"/>
  </r>
  <r>
    <x v="2"/>
  </r>
  <r>
    <x v="21"/>
  </r>
  <r>
    <x v="8"/>
  </r>
  <r>
    <x v="2"/>
  </r>
  <r>
    <x v="13"/>
  </r>
  <r>
    <x v="26"/>
  </r>
  <r>
    <x v="26"/>
  </r>
  <r>
    <x v="6"/>
  </r>
  <r>
    <x v="2"/>
  </r>
  <r>
    <x v="2"/>
  </r>
  <r>
    <x v="14"/>
  </r>
  <r>
    <x v="11"/>
  </r>
  <r>
    <x v="0"/>
  </r>
  <r>
    <x v="0"/>
  </r>
  <r>
    <x v="4"/>
  </r>
  <r>
    <x v="0"/>
  </r>
  <r>
    <x v="6"/>
  </r>
  <r>
    <x v="0"/>
  </r>
  <r>
    <x v="0"/>
  </r>
  <r>
    <x v="6"/>
  </r>
  <r>
    <x v="9"/>
  </r>
  <r>
    <x v="2"/>
  </r>
  <r>
    <x v="6"/>
  </r>
  <r>
    <x v="9"/>
  </r>
  <r>
    <x v="25"/>
  </r>
  <r>
    <x v="6"/>
  </r>
  <r>
    <x v="2"/>
  </r>
  <r>
    <x v="21"/>
  </r>
  <r>
    <x v="9"/>
  </r>
  <r>
    <x v="0"/>
  </r>
  <r>
    <x v="7"/>
  </r>
  <r>
    <x v="30"/>
  </r>
  <r>
    <x v="13"/>
  </r>
  <r>
    <x v="9"/>
  </r>
  <r>
    <x v="0"/>
  </r>
  <r>
    <x v="6"/>
  </r>
  <r>
    <x v="7"/>
  </r>
  <r>
    <x v="0"/>
  </r>
  <r>
    <x v="6"/>
  </r>
  <r>
    <x v="5"/>
  </r>
  <r>
    <x v="3"/>
  </r>
  <r>
    <x v="13"/>
  </r>
  <r>
    <x v="2"/>
  </r>
  <r>
    <x v="0"/>
  </r>
  <r>
    <x v="2"/>
  </r>
  <r>
    <x v="29"/>
  </r>
  <r>
    <x v="4"/>
  </r>
  <r>
    <x v="6"/>
  </r>
  <r>
    <x v="2"/>
  </r>
  <r>
    <x v="13"/>
  </r>
  <r>
    <x v="13"/>
  </r>
  <r>
    <x v="23"/>
  </r>
  <r>
    <x v="2"/>
  </r>
  <r>
    <x v="25"/>
  </r>
  <r>
    <x v="2"/>
  </r>
  <r>
    <x v="28"/>
  </r>
  <r>
    <x v="32"/>
  </r>
  <r>
    <x v="13"/>
  </r>
  <r>
    <x v="0"/>
  </r>
  <r>
    <x v="23"/>
  </r>
  <r>
    <x v="28"/>
  </r>
  <r>
    <x v="32"/>
  </r>
  <r>
    <x v="9"/>
  </r>
  <r>
    <x v="8"/>
  </r>
  <r>
    <x v="6"/>
  </r>
  <r>
    <x v="6"/>
  </r>
  <r>
    <x v="30"/>
  </r>
  <r>
    <x v="6"/>
  </r>
  <r>
    <x v="4"/>
  </r>
  <r>
    <x v="9"/>
  </r>
  <r>
    <x v="6"/>
  </r>
  <r>
    <x v="2"/>
  </r>
  <r>
    <x v="0"/>
  </r>
  <r>
    <x v="2"/>
  </r>
  <r>
    <x v="17"/>
  </r>
  <r>
    <x v="2"/>
  </r>
  <r>
    <x v="9"/>
  </r>
  <r>
    <x v="0"/>
  </r>
  <r>
    <x v="15"/>
  </r>
  <r>
    <x v="1"/>
  </r>
  <r>
    <x v="2"/>
  </r>
  <r>
    <x v="28"/>
  </r>
  <r>
    <x v="4"/>
  </r>
  <r>
    <x v="7"/>
  </r>
  <r>
    <x v="2"/>
  </r>
  <r>
    <x v="4"/>
  </r>
  <r>
    <x v="9"/>
  </r>
  <r>
    <x v="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</r>
  <r>
    <x v="0"/>
  </r>
  <r>
    <x v="1"/>
  </r>
  <r>
    <x v="0"/>
  </r>
  <r>
    <x v="1"/>
  </r>
  <r>
    <x v="2"/>
  </r>
  <r>
    <x v="0"/>
  </r>
  <r>
    <x v="1"/>
  </r>
  <r>
    <x v="3"/>
  </r>
  <r>
    <x v="1"/>
  </r>
  <r>
    <x v="4"/>
  </r>
  <r>
    <x v="5"/>
  </r>
  <r>
    <x v="4"/>
  </r>
  <r>
    <x v="1"/>
  </r>
  <r>
    <x v="3"/>
  </r>
  <r>
    <x v="6"/>
  </r>
  <r>
    <x v="1"/>
  </r>
  <r>
    <x v="6"/>
  </r>
  <r>
    <x v="0"/>
  </r>
  <r>
    <x v="2"/>
  </r>
  <r>
    <x v="0"/>
  </r>
  <r>
    <x v="2"/>
  </r>
  <r>
    <x v="0"/>
  </r>
  <r>
    <x v="2"/>
  </r>
  <r>
    <x v="2"/>
  </r>
  <r>
    <x v="4"/>
  </r>
  <r>
    <x v="5"/>
  </r>
  <r>
    <x v="5"/>
  </r>
  <r>
    <x v="5"/>
  </r>
  <r>
    <x v="0"/>
  </r>
  <r>
    <x v="0"/>
  </r>
  <r>
    <x v="1"/>
  </r>
  <r>
    <x v="2"/>
  </r>
  <r>
    <x v="2"/>
  </r>
  <r>
    <x v="1"/>
  </r>
  <r>
    <x v="0"/>
  </r>
  <r>
    <x v="5"/>
  </r>
  <r>
    <x v="6"/>
  </r>
  <r>
    <x v="0"/>
  </r>
  <r>
    <x v="0"/>
  </r>
  <r>
    <x v="4"/>
  </r>
  <r>
    <x v="6"/>
  </r>
  <r>
    <x v="0"/>
  </r>
  <r>
    <x v="2"/>
  </r>
  <r>
    <x v="6"/>
  </r>
  <r>
    <x v="0"/>
  </r>
  <r>
    <x v="0"/>
  </r>
  <r>
    <x v="0"/>
  </r>
  <r>
    <x v="5"/>
  </r>
  <r>
    <x v="5"/>
  </r>
  <r>
    <x v="4"/>
  </r>
  <r>
    <x v="6"/>
  </r>
  <r>
    <x v="0"/>
  </r>
  <r>
    <x v="6"/>
  </r>
  <r>
    <x v="3"/>
  </r>
  <r>
    <x v="5"/>
  </r>
  <r>
    <x v="5"/>
  </r>
  <r>
    <x v="5"/>
  </r>
  <r>
    <x v="4"/>
  </r>
  <r>
    <x v="6"/>
  </r>
  <r>
    <x v="0"/>
  </r>
  <r>
    <x v="3"/>
  </r>
  <r>
    <x v="5"/>
  </r>
  <r>
    <x v="4"/>
  </r>
  <r>
    <x v="1"/>
  </r>
  <r>
    <x v="2"/>
  </r>
  <r>
    <x v="4"/>
  </r>
  <r>
    <x v="6"/>
  </r>
  <r>
    <x v="0"/>
  </r>
  <r>
    <x v="0"/>
  </r>
  <r>
    <x v="5"/>
  </r>
  <r>
    <x v="1"/>
  </r>
  <r>
    <x v="3"/>
  </r>
  <r>
    <x v="5"/>
  </r>
  <r>
    <x v="6"/>
  </r>
  <r>
    <x v="0"/>
  </r>
  <r>
    <x v="5"/>
  </r>
  <r>
    <x v="0"/>
  </r>
  <r>
    <x v="1"/>
  </r>
  <r>
    <x v="1"/>
  </r>
  <r>
    <x v="6"/>
  </r>
  <r>
    <x v="5"/>
  </r>
  <r>
    <x v="5"/>
  </r>
  <r>
    <x v="5"/>
  </r>
  <r>
    <x v="3"/>
  </r>
  <r>
    <x v="4"/>
  </r>
  <r>
    <x v="4"/>
  </r>
  <r>
    <x v="0"/>
  </r>
  <r>
    <x v="0"/>
  </r>
  <r>
    <x v="0"/>
  </r>
  <r>
    <x v="6"/>
  </r>
  <r>
    <x v="1"/>
  </r>
  <r>
    <x v="1"/>
  </r>
  <r>
    <x v="2"/>
  </r>
  <r>
    <x v="4"/>
  </r>
  <r>
    <x v="2"/>
  </r>
  <r>
    <x v="1"/>
  </r>
  <r>
    <x v="0"/>
  </r>
  <r>
    <x v="0"/>
  </r>
  <r>
    <x v="2"/>
  </r>
  <r>
    <x v="5"/>
  </r>
  <r>
    <x v="0"/>
  </r>
  <r>
    <x v="5"/>
  </r>
  <r>
    <x v="4"/>
  </r>
  <r>
    <x v="3"/>
  </r>
  <r>
    <x v="1"/>
  </r>
  <r>
    <x v="5"/>
  </r>
  <r>
    <x v="5"/>
  </r>
  <r>
    <x v="5"/>
  </r>
  <r>
    <x v="1"/>
  </r>
  <r>
    <x v="2"/>
  </r>
  <r>
    <x v="0"/>
  </r>
  <r>
    <x v="0"/>
  </r>
  <r>
    <x v="2"/>
  </r>
  <r>
    <x v="2"/>
  </r>
  <r>
    <x v="4"/>
  </r>
  <r>
    <x v="0"/>
  </r>
  <r>
    <x v="1"/>
  </r>
  <r>
    <x v="6"/>
  </r>
  <r>
    <x v="1"/>
  </r>
  <r>
    <x v="0"/>
  </r>
  <r>
    <x v="1"/>
  </r>
  <r>
    <x v="0"/>
  </r>
  <r>
    <x v="6"/>
  </r>
  <r>
    <x v="1"/>
  </r>
  <r>
    <x v="5"/>
  </r>
  <r>
    <x v="6"/>
  </r>
  <r>
    <x v="0"/>
  </r>
  <r>
    <x v="5"/>
  </r>
  <r>
    <x v="1"/>
  </r>
  <r>
    <x v="0"/>
  </r>
  <r>
    <x v="5"/>
  </r>
  <r>
    <x v="4"/>
  </r>
  <r>
    <x v="2"/>
  </r>
  <r>
    <x v="5"/>
  </r>
  <r>
    <x v="0"/>
  </r>
  <r>
    <x v="4"/>
  </r>
  <r>
    <x v="2"/>
  </r>
  <r>
    <x v="5"/>
  </r>
  <r>
    <x v="5"/>
  </r>
  <r>
    <x v="6"/>
  </r>
  <r>
    <x v="5"/>
  </r>
  <r>
    <x v="4"/>
  </r>
  <r>
    <x v="0"/>
  </r>
  <r>
    <x v="0"/>
  </r>
  <r>
    <x v="4"/>
  </r>
  <r>
    <x v="2"/>
  </r>
  <r>
    <x v="5"/>
  </r>
  <r>
    <x v="0"/>
  </r>
  <r>
    <x v="0"/>
  </r>
  <r>
    <x v="5"/>
  </r>
  <r>
    <x v="2"/>
  </r>
  <r>
    <x v="1"/>
  </r>
  <r>
    <x v="0"/>
  </r>
  <r>
    <x v="0"/>
  </r>
  <r>
    <x v="0"/>
  </r>
  <r>
    <x v="0"/>
  </r>
  <r>
    <x v="1"/>
  </r>
  <r>
    <x v="3"/>
  </r>
  <r>
    <x v="4"/>
  </r>
  <r>
    <x v="5"/>
  </r>
  <r>
    <x v="5"/>
  </r>
  <r>
    <x v="2"/>
  </r>
  <r>
    <x v="0"/>
  </r>
  <r>
    <x v="6"/>
  </r>
  <r>
    <x v="5"/>
  </r>
  <r>
    <x v="1"/>
  </r>
  <r>
    <x v="2"/>
  </r>
  <r>
    <x v="3"/>
  </r>
  <r>
    <x v="2"/>
  </r>
  <r>
    <x v="4"/>
  </r>
  <r>
    <x v="0"/>
  </r>
  <r>
    <x v="4"/>
  </r>
  <r>
    <x v="3"/>
  </r>
  <r>
    <x v="0"/>
  </r>
  <r>
    <x v="6"/>
  </r>
  <r>
    <x v="6"/>
  </r>
  <r>
    <x v="1"/>
  </r>
  <r>
    <x v="1"/>
  </r>
  <r>
    <x v="6"/>
  </r>
  <r>
    <x v="0"/>
  </r>
  <r>
    <x v="6"/>
  </r>
  <r>
    <x v="6"/>
  </r>
  <r>
    <x v="0"/>
  </r>
  <r>
    <x v="0"/>
  </r>
  <r>
    <x v="0"/>
  </r>
  <r>
    <x v="0"/>
  </r>
  <r>
    <x v="6"/>
  </r>
  <r>
    <x v="4"/>
  </r>
  <r>
    <x v="4"/>
  </r>
  <r>
    <x v="2"/>
  </r>
  <r>
    <x v="2"/>
  </r>
  <r>
    <x v="5"/>
  </r>
  <r>
    <x v="2"/>
  </r>
  <r>
    <x v="0"/>
  </r>
  <r>
    <x v="2"/>
  </r>
  <r>
    <x v="6"/>
  </r>
  <r>
    <x v="2"/>
  </r>
  <r>
    <x v="0"/>
  </r>
  <r>
    <x v="6"/>
  </r>
  <r>
    <x v="0"/>
  </r>
  <r>
    <x v="2"/>
  </r>
  <r>
    <x v="5"/>
  </r>
  <r>
    <x v="5"/>
  </r>
  <r>
    <x v="5"/>
  </r>
  <r>
    <x v="0"/>
  </r>
  <r>
    <x v="5"/>
  </r>
  <r>
    <x v="4"/>
  </r>
  <r>
    <x v="2"/>
  </r>
  <r>
    <x v="3"/>
  </r>
  <r>
    <x v="2"/>
  </r>
  <r>
    <x v="2"/>
  </r>
  <r>
    <x v="3"/>
  </r>
  <r>
    <x v="0"/>
  </r>
  <r>
    <x v="5"/>
  </r>
  <r>
    <x v="5"/>
  </r>
  <r>
    <x v="1"/>
  </r>
  <r>
    <x v="6"/>
  </r>
  <r>
    <x v="1"/>
  </r>
  <r>
    <x v="2"/>
  </r>
  <r>
    <x v="5"/>
  </r>
  <r>
    <x v="0"/>
  </r>
  <r>
    <x v="1"/>
  </r>
  <r>
    <x v="2"/>
  </r>
  <r>
    <x v="0"/>
  </r>
  <r>
    <x v="2"/>
  </r>
  <r>
    <x v="4"/>
  </r>
  <r>
    <x v="5"/>
  </r>
  <r>
    <x v="5"/>
  </r>
  <r>
    <x v="1"/>
  </r>
  <r>
    <x v="4"/>
  </r>
  <r>
    <x v="3"/>
  </r>
  <r>
    <x v="3"/>
  </r>
  <r>
    <x v="1"/>
  </r>
  <r>
    <x v="3"/>
  </r>
  <r>
    <x v="5"/>
  </r>
  <r>
    <x v="6"/>
  </r>
  <r>
    <x v="2"/>
  </r>
  <r>
    <x v="3"/>
  </r>
  <r>
    <x v="4"/>
  </r>
  <r>
    <x v="2"/>
  </r>
  <r>
    <x v="5"/>
  </r>
  <r>
    <x v="5"/>
  </r>
  <r>
    <x v="0"/>
  </r>
  <r>
    <x v="2"/>
  </r>
  <r>
    <x v="1"/>
  </r>
  <r>
    <x v="6"/>
  </r>
  <r>
    <x v="3"/>
  </r>
  <r>
    <x v="2"/>
  </r>
  <r>
    <x v="1"/>
  </r>
  <r>
    <x v="5"/>
  </r>
  <r>
    <x v="3"/>
  </r>
  <r>
    <x v="5"/>
  </r>
  <r>
    <x v="0"/>
  </r>
  <r>
    <x v="0"/>
  </r>
  <r>
    <x v="4"/>
  </r>
  <r>
    <x v="5"/>
  </r>
  <r>
    <x v="4"/>
  </r>
  <r>
    <x v="0"/>
  </r>
  <r>
    <x v="5"/>
  </r>
  <r>
    <x v="1"/>
  </r>
  <r>
    <x v="4"/>
  </r>
  <r>
    <x v="4"/>
  </r>
  <r>
    <x v="4"/>
  </r>
  <r>
    <x v="0"/>
  </r>
  <r>
    <x v="0"/>
  </r>
  <r>
    <x v="0"/>
  </r>
  <r>
    <x v="2"/>
  </r>
  <r>
    <x v="5"/>
  </r>
  <r>
    <x v="0"/>
  </r>
  <r>
    <x v="3"/>
  </r>
  <r>
    <x v="5"/>
  </r>
  <r>
    <x v="2"/>
  </r>
  <r>
    <x v="4"/>
  </r>
  <r>
    <x v="3"/>
  </r>
  <r>
    <x v="1"/>
  </r>
  <r>
    <x v="5"/>
  </r>
  <r>
    <x v="3"/>
  </r>
  <r>
    <x v="6"/>
  </r>
  <r>
    <x v="2"/>
  </r>
  <r>
    <x v="0"/>
  </r>
  <r>
    <x v="0"/>
  </r>
  <r>
    <x v="5"/>
  </r>
  <r>
    <x v="1"/>
  </r>
  <r>
    <x v="5"/>
  </r>
  <r>
    <x v="6"/>
  </r>
  <r>
    <x v="4"/>
  </r>
  <r>
    <x v="3"/>
  </r>
  <r>
    <x v="6"/>
  </r>
  <r>
    <x v="0"/>
  </r>
  <r>
    <x v="5"/>
  </r>
  <r>
    <x v="6"/>
  </r>
  <r>
    <x v="1"/>
  </r>
  <r>
    <x v="3"/>
  </r>
  <r>
    <x v="5"/>
  </r>
  <r>
    <x v="4"/>
  </r>
  <r>
    <x v="3"/>
  </r>
  <r>
    <x v="4"/>
  </r>
  <r>
    <x v="0"/>
  </r>
  <r>
    <x v="2"/>
  </r>
  <r>
    <x v="5"/>
  </r>
  <r>
    <x v="3"/>
  </r>
  <r>
    <x v="1"/>
  </r>
  <r>
    <x v="5"/>
  </r>
  <r>
    <x v="4"/>
  </r>
  <r>
    <x v="1"/>
  </r>
  <r>
    <x v="4"/>
  </r>
  <r>
    <x v="2"/>
  </r>
  <r>
    <x v="6"/>
  </r>
  <r>
    <x v="0"/>
  </r>
  <r>
    <x v="4"/>
  </r>
  <r>
    <x v="3"/>
  </r>
  <r>
    <x v="2"/>
  </r>
  <r>
    <x v="0"/>
  </r>
  <r>
    <x v="4"/>
  </r>
  <r>
    <x v="2"/>
  </r>
  <r>
    <x v="3"/>
  </r>
  <r>
    <x v="1"/>
  </r>
  <r>
    <x v="0"/>
  </r>
  <r>
    <x v="2"/>
  </r>
  <r>
    <x v="5"/>
  </r>
  <r>
    <x v="6"/>
  </r>
  <r>
    <x v="5"/>
  </r>
  <r>
    <x v="0"/>
  </r>
  <r>
    <x v="5"/>
  </r>
  <r>
    <x v="1"/>
  </r>
  <r>
    <x v="2"/>
  </r>
  <r>
    <x v="3"/>
  </r>
  <r>
    <x v="4"/>
  </r>
  <r>
    <x v="0"/>
  </r>
  <r>
    <x v="0"/>
  </r>
  <r>
    <x v="2"/>
  </r>
  <r>
    <x v="4"/>
  </r>
  <r>
    <x v="5"/>
  </r>
  <r>
    <x v="0"/>
  </r>
  <r>
    <x v="0"/>
  </r>
  <r>
    <x v="0"/>
  </r>
  <r>
    <x v="0"/>
  </r>
  <r>
    <x v="5"/>
  </r>
  <r>
    <x v="5"/>
  </r>
  <r>
    <x v="1"/>
  </r>
  <r>
    <x v="0"/>
  </r>
  <r>
    <x v="1"/>
  </r>
  <r>
    <x v="5"/>
  </r>
  <r>
    <x v="0"/>
  </r>
  <r>
    <x v="3"/>
  </r>
  <r>
    <x v="2"/>
  </r>
  <r>
    <x v="0"/>
  </r>
  <r>
    <x v="3"/>
  </r>
  <r>
    <x v="4"/>
  </r>
  <r>
    <x v="4"/>
  </r>
  <r>
    <x v="5"/>
  </r>
  <r>
    <x v="6"/>
  </r>
  <r>
    <x v="0"/>
  </r>
  <r>
    <x v="4"/>
  </r>
  <r>
    <x v="1"/>
  </r>
  <r>
    <x v="0"/>
  </r>
  <r>
    <x v="4"/>
  </r>
  <r>
    <x v="2"/>
  </r>
  <r>
    <x v="6"/>
  </r>
  <r>
    <x v="2"/>
  </r>
  <r>
    <x v="4"/>
  </r>
  <r>
    <x v="1"/>
  </r>
  <r>
    <x v="5"/>
  </r>
  <r>
    <x v="3"/>
  </r>
  <r>
    <x v="5"/>
  </r>
  <r>
    <x v="5"/>
  </r>
  <r>
    <x v="1"/>
  </r>
  <r>
    <x v="0"/>
  </r>
  <r>
    <x v="3"/>
  </r>
  <r>
    <x v="6"/>
  </r>
  <r>
    <x v="0"/>
  </r>
  <r>
    <x v="0"/>
  </r>
  <r>
    <x v="2"/>
  </r>
  <r>
    <x v="5"/>
  </r>
  <r>
    <x v="5"/>
  </r>
  <r>
    <x v="6"/>
  </r>
  <r>
    <x v="2"/>
  </r>
  <r>
    <x v="0"/>
  </r>
  <r>
    <x v="5"/>
  </r>
  <r>
    <x v="0"/>
  </r>
  <r>
    <x v="0"/>
  </r>
  <r>
    <x v="6"/>
  </r>
  <r>
    <x v="0"/>
  </r>
  <r>
    <x v="2"/>
  </r>
  <r>
    <x v="3"/>
  </r>
  <r>
    <x v="0"/>
  </r>
  <r>
    <x v="0"/>
  </r>
  <r>
    <x v="1"/>
  </r>
  <r>
    <x v="3"/>
  </r>
  <r>
    <x v="4"/>
  </r>
  <r>
    <x v="3"/>
  </r>
  <r>
    <x v="1"/>
  </r>
  <r>
    <x v="0"/>
  </r>
  <r>
    <x v="0"/>
  </r>
  <r>
    <x v="4"/>
  </r>
  <r>
    <x v="6"/>
  </r>
  <r>
    <x v="0"/>
  </r>
  <r>
    <x v="0"/>
  </r>
  <r>
    <x v="0"/>
  </r>
  <r>
    <x v="1"/>
  </r>
  <r>
    <x v="5"/>
  </r>
  <r>
    <x v="0"/>
  </r>
  <r>
    <x v="3"/>
  </r>
  <r>
    <x v="6"/>
  </r>
  <r>
    <x v="0"/>
  </r>
  <r>
    <x v="6"/>
  </r>
  <r>
    <x v="5"/>
  </r>
  <r>
    <x v="6"/>
  </r>
  <r>
    <x v="4"/>
  </r>
  <r>
    <x v="0"/>
  </r>
  <r>
    <x v="5"/>
  </r>
  <r>
    <x v="2"/>
  </r>
  <r>
    <x v="5"/>
  </r>
  <r>
    <x v="5"/>
  </r>
  <r>
    <x v="0"/>
  </r>
  <r>
    <x v="1"/>
  </r>
  <r>
    <x v="6"/>
  </r>
  <r>
    <x v="3"/>
  </r>
  <r>
    <x v="2"/>
  </r>
  <r>
    <x v="2"/>
  </r>
  <r>
    <x v="3"/>
  </r>
  <r>
    <x v="5"/>
  </r>
  <r>
    <x v="2"/>
  </r>
  <r>
    <x v="1"/>
  </r>
  <r>
    <x v="3"/>
  </r>
  <r>
    <x v="2"/>
  </r>
  <r>
    <x v="4"/>
  </r>
  <r>
    <x v="0"/>
  </r>
  <r>
    <x v="5"/>
  </r>
  <r>
    <x v="6"/>
  </r>
  <r>
    <x v="6"/>
  </r>
  <r>
    <x v="2"/>
  </r>
  <r>
    <x v="0"/>
  </r>
  <r>
    <x v="0"/>
  </r>
  <r>
    <x v="4"/>
  </r>
  <r>
    <x v="0"/>
  </r>
  <r>
    <x v="6"/>
  </r>
  <r>
    <x v="3"/>
  </r>
  <r>
    <x v="5"/>
  </r>
  <r>
    <x v="6"/>
  </r>
  <r>
    <x v="0"/>
  </r>
  <r>
    <x v="0"/>
  </r>
  <r>
    <x v="5"/>
  </r>
  <r>
    <x v="0"/>
  </r>
  <r>
    <x v="3"/>
  </r>
  <r>
    <x v="1"/>
  </r>
  <r>
    <x v="1"/>
  </r>
  <r>
    <x v="0"/>
  </r>
  <r>
    <x v="2"/>
  </r>
  <r>
    <x v="1"/>
  </r>
  <r>
    <x v="5"/>
  </r>
  <r>
    <x v="1"/>
  </r>
  <r>
    <x v="0"/>
  </r>
  <r>
    <x v="2"/>
  </r>
  <r>
    <x v="5"/>
  </r>
  <r>
    <x v="5"/>
  </r>
  <r>
    <x v="6"/>
  </r>
  <r>
    <x v="6"/>
  </r>
  <r>
    <x v="4"/>
  </r>
  <r>
    <x v="4"/>
  </r>
  <r>
    <x v="0"/>
  </r>
  <r>
    <x v="1"/>
  </r>
  <r>
    <x v="6"/>
  </r>
  <r>
    <x v="5"/>
  </r>
  <r>
    <x v="5"/>
  </r>
  <r>
    <x v="0"/>
  </r>
  <r>
    <x v="5"/>
  </r>
  <r>
    <x v="3"/>
  </r>
  <r>
    <x v="0"/>
  </r>
  <r>
    <x v="5"/>
  </r>
  <r>
    <x v="2"/>
  </r>
  <r>
    <x v="6"/>
  </r>
  <r>
    <x v="0"/>
  </r>
  <r>
    <x v="2"/>
  </r>
  <r>
    <x v="5"/>
  </r>
  <r>
    <x v="3"/>
  </r>
  <r>
    <x v="5"/>
  </r>
  <r>
    <x v="1"/>
  </r>
  <r>
    <x v="0"/>
  </r>
  <r>
    <x v="2"/>
  </r>
  <r>
    <x v="2"/>
  </r>
  <r>
    <x v="4"/>
  </r>
  <r>
    <x v="0"/>
  </r>
  <r>
    <x v="6"/>
  </r>
  <r>
    <x v="0"/>
  </r>
  <r>
    <x v="0"/>
  </r>
  <r>
    <x v="1"/>
  </r>
  <r>
    <x v="3"/>
  </r>
  <r>
    <x v="6"/>
  </r>
  <r>
    <x v="4"/>
  </r>
  <r>
    <x v="0"/>
  </r>
  <r>
    <x v="4"/>
  </r>
  <r>
    <x v="4"/>
  </r>
  <r>
    <x v="0"/>
  </r>
  <r>
    <x v="1"/>
  </r>
  <r>
    <x v="6"/>
  </r>
  <r>
    <x v="0"/>
  </r>
  <r>
    <x v="5"/>
  </r>
  <r>
    <x v="0"/>
  </r>
  <r>
    <x v="3"/>
  </r>
  <r>
    <x v="5"/>
  </r>
  <r>
    <x v="4"/>
  </r>
  <r>
    <x v="3"/>
  </r>
  <r>
    <x v="0"/>
  </r>
  <r>
    <x v="1"/>
  </r>
  <r>
    <x v="2"/>
  </r>
  <r>
    <x v="3"/>
  </r>
  <r>
    <x v="2"/>
  </r>
  <r>
    <x v="0"/>
  </r>
  <r>
    <x v="1"/>
  </r>
  <r>
    <x v="1"/>
  </r>
  <r>
    <x v="4"/>
  </r>
  <r>
    <x v="2"/>
  </r>
  <r>
    <x v="0"/>
  </r>
  <r>
    <x v="1"/>
  </r>
  <r>
    <x v="1"/>
  </r>
  <r>
    <x v="6"/>
  </r>
  <r>
    <x v="0"/>
  </r>
  <r>
    <x v="6"/>
  </r>
  <r>
    <x v="5"/>
  </r>
  <r>
    <x v="6"/>
  </r>
  <r>
    <x v="0"/>
  </r>
  <r>
    <x v="2"/>
  </r>
  <r>
    <x v="0"/>
  </r>
  <r>
    <x v="0"/>
  </r>
  <r>
    <x v="4"/>
  </r>
  <r>
    <x v="0"/>
  </r>
  <r>
    <x v="0"/>
  </r>
  <r>
    <x v="5"/>
  </r>
  <r>
    <x v="0"/>
  </r>
  <r>
    <x v="0"/>
  </r>
  <r>
    <x v="1"/>
  </r>
  <r>
    <x v="4"/>
  </r>
  <r>
    <x v="6"/>
  </r>
  <r>
    <x v="4"/>
  </r>
  <r>
    <x v="3"/>
  </r>
  <r>
    <x v="0"/>
  </r>
  <r>
    <x v="0"/>
  </r>
  <r>
    <x v="0"/>
  </r>
  <r>
    <x v="5"/>
  </r>
  <r>
    <x v="3"/>
  </r>
  <r>
    <x v="5"/>
  </r>
  <r>
    <x v="3"/>
  </r>
  <r>
    <x v="3"/>
  </r>
  <r>
    <x v="3"/>
  </r>
  <r>
    <x v="1"/>
  </r>
  <r>
    <x v="5"/>
  </r>
  <r>
    <x v="5"/>
  </r>
  <r>
    <x v="6"/>
  </r>
  <r>
    <x v="5"/>
  </r>
  <r>
    <x v="5"/>
  </r>
  <r>
    <x v="4"/>
  </r>
  <r>
    <x v="1"/>
  </r>
  <r>
    <x v="0"/>
  </r>
  <r>
    <x v="1"/>
  </r>
  <r>
    <x v="2"/>
  </r>
  <r>
    <x v="4"/>
  </r>
  <r>
    <x v="6"/>
  </r>
  <r>
    <x v="0"/>
  </r>
  <r>
    <x v="3"/>
  </r>
  <r>
    <x v="2"/>
  </r>
  <r>
    <x v="5"/>
  </r>
  <r>
    <x v="6"/>
  </r>
  <r>
    <x v="2"/>
  </r>
  <r>
    <x v="4"/>
  </r>
  <r>
    <x v="5"/>
  </r>
  <r>
    <x v="2"/>
  </r>
  <r>
    <x v="1"/>
  </r>
  <r>
    <x v="5"/>
  </r>
  <r>
    <x v="5"/>
  </r>
  <r>
    <x v="6"/>
  </r>
  <r>
    <x v="6"/>
  </r>
  <r>
    <x v="4"/>
  </r>
  <r>
    <x v="3"/>
  </r>
  <r>
    <x v="6"/>
  </r>
  <r>
    <x v="1"/>
  </r>
  <r>
    <x v="6"/>
  </r>
  <r>
    <x v="5"/>
  </r>
  <r>
    <x v="2"/>
  </r>
  <r>
    <x v="6"/>
  </r>
  <r>
    <x v="6"/>
  </r>
  <r>
    <x v="5"/>
  </r>
  <r>
    <x v="5"/>
  </r>
  <r>
    <x v="0"/>
  </r>
  <r>
    <x v="0"/>
  </r>
  <r>
    <x v="5"/>
  </r>
  <r>
    <x v="2"/>
  </r>
  <r>
    <x v="0"/>
  </r>
  <r>
    <x v="5"/>
  </r>
  <r>
    <x v="0"/>
  </r>
  <r>
    <x v="1"/>
  </r>
  <r>
    <x v="4"/>
  </r>
  <r>
    <x v="1"/>
  </r>
  <r>
    <x v="0"/>
  </r>
  <r>
    <x v="4"/>
  </r>
  <r>
    <x v="0"/>
  </r>
  <r>
    <x v="4"/>
  </r>
  <r>
    <x v="3"/>
  </r>
  <r>
    <x v="4"/>
  </r>
  <r>
    <x v="6"/>
  </r>
  <r>
    <x v="4"/>
  </r>
  <r>
    <x v="6"/>
  </r>
  <r>
    <x v="4"/>
  </r>
  <r>
    <x v="5"/>
  </r>
  <r>
    <x v="6"/>
  </r>
  <r>
    <x v="3"/>
  </r>
  <r>
    <x v="1"/>
  </r>
  <r>
    <x v="1"/>
  </r>
  <r>
    <x v="2"/>
  </r>
  <r>
    <x v="0"/>
  </r>
  <r>
    <x v="0"/>
  </r>
  <r>
    <x v="2"/>
  </r>
  <r>
    <x v="0"/>
  </r>
  <r>
    <x v="6"/>
  </r>
  <r>
    <x v="2"/>
  </r>
  <r>
    <x v="2"/>
  </r>
  <r>
    <x v="6"/>
  </r>
  <r>
    <x v="2"/>
  </r>
  <r>
    <x v="6"/>
  </r>
  <r>
    <x v="1"/>
  </r>
  <r>
    <x v="1"/>
  </r>
  <r>
    <x v="0"/>
  </r>
  <r>
    <x v="3"/>
  </r>
  <r>
    <x v="0"/>
  </r>
  <r>
    <x v="1"/>
  </r>
  <r>
    <x v="2"/>
  </r>
  <r>
    <x v="5"/>
  </r>
  <r>
    <x v="3"/>
  </r>
  <r>
    <x v="6"/>
  </r>
  <r>
    <x v="1"/>
  </r>
  <r>
    <x v="6"/>
  </r>
  <r>
    <x v="5"/>
  </r>
  <r>
    <x v="2"/>
  </r>
  <r>
    <x v="0"/>
  </r>
  <r>
    <x v="0"/>
  </r>
  <r>
    <x v="3"/>
  </r>
  <r>
    <x v="3"/>
  </r>
  <r>
    <x v="1"/>
  </r>
  <r>
    <x v="5"/>
  </r>
  <r>
    <x v="2"/>
  </r>
  <r>
    <x v="0"/>
  </r>
  <r>
    <x v="1"/>
  </r>
  <r>
    <x v="3"/>
  </r>
  <r>
    <x v="0"/>
  </r>
  <r>
    <x v="1"/>
  </r>
  <r>
    <x v="4"/>
  </r>
  <r>
    <x v="6"/>
  </r>
  <r>
    <x v="0"/>
  </r>
  <r>
    <x v="2"/>
  </r>
  <r>
    <x v="1"/>
  </r>
  <r>
    <x v="0"/>
  </r>
  <r>
    <x v="0"/>
  </r>
  <r>
    <x v="2"/>
  </r>
  <r>
    <x v="3"/>
  </r>
  <r>
    <x v="5"/>
  </r>
  <r>
    <x v="2"/>
  </r>
  <r>
    <x v="5"/>
  </r>
  <r>
    <x v="0"/>
  </r>
  <r>
    <x v="6"/>
  </r>
  <r>
    <x v="6"/>
  </r>
  <r>
    <x v="1"/>
  </r>
  <r>
    <x v="0"/>
  </r>
  <r>
    <x v="3"/>
  </r>
  <r>
    <x v="4"/>
  </r>
  <r>
    <x v="4"/>
  </r>
  <r>
    <x v="5"/>
  </r>
  <r>
    <x v="2"/>
  </r>
  <r>
    <x v="2"/>
  </r>
  <r>
    <x v="2"/>
  </r>
  <r>
    <x v="5"/>
  </r>
  <r>
    <x v="1"/>
  </r>
  <r>
    <x v="3"/>
  </r>
  <r>
    <x v="1"/>
  </r>
  <r>
    <x v="2"/>
  </r>
  <r>
    <x v="2"/>
  </r>
  <r>
    <x v="6"/>
  </r>
  <r>
    <x v="0"/>
  </r>
  <r>
    <x v="0"/>
  </r>
  <r>
    <x v="1"/>
  </r>
  <r>
    <x v="0"/>
  </r>
  <r>
    <x v="6"/>
  </r>
  <r>
    <x v="0"/>
  </r>
  <r>
    <x v="0"/>
  </r>
  <r>
    <x v="3"/>
  </r>
  <r>
    <x v="4"/>
  </r>
  <r>
    <x v="3"/>
  </r>
  <r>
    <x v="6"/>
  </r>
  <r>
    <x v="6"/>
  </r>
  <r>
    <x v="4"/>
  </r>
  <r>
    <x v="2"/>
  </r>
  <r>
    <x v="6"/>
  </r>
  <r>
    <x v="1"/>
  </r>
  <r>
    <x v="3"/>
  </r>
  <r>
    <x v="1"/>
  </r>
  <r>
    <x v="2"/>
  </r>
  <r>
    <x v="6"/>
  </r>
  <r>
    <x v="1"/>
  </r>
  <r>
    <x v="3"/>
  </r>
  <r>
    <x v="3"/>
  </r>
  <r>
    <x v="6"/>
  </r>
  <r>
    <x v="6"/>
  </r>
  <r>
    <x v="6"/>
  </r>
  <r>
    <x v="3"/>
  </r>
  <r>
    <x v="2"/>
  </r>
  <r>
    <x v="0"/>
  </r>
  <r>
    <x v="5"/>
  </r>
  <r>
    <x v="6"/>
  </r>
  <r>
    <x v="6"/>
  </r>
  <r>
    <x v="2"/>
  </r>
  <r>
    <x v="0"/>
  </r>
  <r>
    <x v="4"/>
  </r>
  <r>
    <x v="4"/>
  </r>
  <r>
    <x v="5"/>
  </r>
  <r>
    <x v="6"/>
  </r>
  <r>
    <x v="0"/>
  </r>
  <r>
    <x v="3"/>
  </r>
  <r>
    <x v="3"/>
  </r>
  <r>
    <x v="1"/>
  </r>
  <r>
    <x v="1"/>
  </r>
  <r>
    <x v="4"/>
  </r>
  <r>
    <x v="0"/>
  </r>
  <r>
    <x v="5"/>
  </r>
  <r>
    <x v="6"/>
  </r>
  <r>
    <x v="0"/>
  </r>
  <r>
    <x v="4"/>
  </r>
  <r>
    <x v="5"/>
  </r>
  <r>
    <x v="6"/>
  </r>
  <r>
    <x v="0"/>
  </r>
  <r>
    <x v="5"/>
  </r>
  <r>
    <x v="6"/>
  </r>
  <r>
    <x v="0"/>
  </r>
  <r>
    <x v="5"/>
  </r>
  <r>
    <x v="2"/>
  </r>
  <r>
    <x v="5"/>
  </r>
  <r>
    <x v="4"/>
  </r>
  <r>
    <x v="0"/>
  </r>
  <r>
    <x v="6"/>
  </r>
  <r>
    <x v="2"/>
  </r>
  <r>
    <x v="1"/>
  </r>
  <r>
    <x v="5"/>
  </r>
  <r>
    <x v="4"/>
  </r>
  <r>
    <x v="0"/>
  </r>
  <r>
    <x v="0"/>
  </r>
  <r>
    <x v="2"/>
  </r>
  <r>
    <x v="3"/>
  </r>
  <r>
    <x v="5"/>
  </r>
  <r>
    <x v="0"/>
  </r>
  <r>
    <x v="5"/>
  </r>
  <r>
    <x v="3"/>
  </r>
  <r>
    <x v="4"/>
  </r>
  <r>
    <x v="0"/>
  </r>
  <r>
    <x v="6"/>
  </r>
  <r>
    <x v="4"/>
  </r>
  <r>
    <x v="0"/>
  </r>
  <r>
    <x v="3"/>
  </r>
  <r>
    <x v="5"/>
  </r>
  <r>
    <x v="2"/>
  </r>
  <r>
    <x v="5"/>
  </r>
  <r>
    <x v="4"/>
  </r>
  <r>
    <x v="2"/>
  </r>
  <r>
    <x v="4"/>
  </r>
  <r>
    <x v="2"/>
  </r>
  <r>
    <x v="2"/>
  </r>
  <r>
    <x v="4"/>
  </r>
  <r>
    <x v="4"/>
  </r>
  <r>
    <x v="0"/>
  </r>
  <r>
    <x v="0"/>
  </r>
  <r>
    <x v="3"/>
  </r>
  <r>
    <x v="1"/>
  </r>
  <r>
    <x v="5"/>
  </r>
  <r>
    <x v="5"/>
  </r>
  <r>
    <x v="4"/>
  </r>
  <r>
    <x v="5"/>
  </r>
  <r>
    <x v="4"/>
  </r>
  <r>
    <x v="0"/>
  </r>
  <r>
    <x v="0"/>
  </r>
  <r>
    <x v="3"/>
  </r>
  <r>
    <x v="2"/>
  </r>
  <r>
    <x v="2"/>
  </r>
  <r>
    <x v="2"/>
  </r>
  <r>
    <x v="0"/>
  </r>
  <r>
    <x v="0"/>
  </r>
  <r>
    <x v="5"/>
  </r>
  <r>
    <x v="0"/>
  </r>
  <r>
    <x v="5"/>
  </r>
  <r>
    <x v="0"/>
  </r>
  <r>
    <x v="6"/>
  </r>
  <r>
    <x v="1"/>
  </r>
  <r>
    <x v="1"/>
  </r>
  <r>
    <x v="4"/>
  </r>
  <r>
    <x v="4"/>
  </r>
  <r>
    <x v="1"/>
  </r>
  <r>
    <x v="2"/>
  </r>
  <r>
    <x v="1"/>
  </r>
  <r>
    <x v="5"/>
  </r>
  <r>
    <x v="1"/>
  </r>
  <r>
    <x v="1"/>
  </r>
  <r>
    <x v="4"/>
  </r>
  <r>
    <x v="2"/>
  </r>
  <r>
    <x v="0"/>
  </r>
  <r>
    <x v="4"/>
  </r>
  <r>
    <x v="0"/>
  </r>
  <r>
    <x v="3"/>
  </r>
  <r>
    <x v="1"/>
  </r>
  <r>
    <x v="5"/>
  </r>
  <r>
    <x v="3"/>
  </r>
  <r>
    <x v="2"/>
  </r>
  <r>
    <x v="0"/>
  </r>
  <r>
    <x v="6"/>
  </r>
  <r>
    <x v="4"/>
  </r>
  <r>
    <x v="6"/>
  </r>
  <r>
    <x v="2"/>
  </r>
  <r>
    <x v="3"/>
  </r>
  <r>
    <x v="0"/>
  </r>
  <r>
    <x v="5"/>
  </r>
  <r>
    <x v="1"/>
  </r>
  <r>
    <x v="0"/>
  </r>
  <r>
    <x v="0"/>
  </r>
  <r>
    <x v="6"/>
  </r>
  <r>
    <x v="0"/>
  </r>
  <r>
    <x v="1"/>
  </r>
  <r>
    <x v="4"/>
  </r>
  <r>
    <x v="0"/>
  </r>
  <r>
    <x v="0"/>
  </r>
  <r>
    <x v="0"/>
  </r>
  <r>
    <x v="1"/>
  </r>
  <r>
    <x v="1"/>
  </r>
  <r>
    <x v="0"/>
  </r>
  <r>
    <x v="2"/>
  </r>
  <r>
    <x v="0"/>
  </r>
  <r>
    <x v="5"/>
  </r>
  <r>
    <x v="6"/>
  </r>
  <r>
    <x v="5"/>
  </r>
  <r>
    <x v="0"/>
  </r>
  <r>
    <x v="5"/>
  </r>
  <r>
    <x v="5"/>
  </r>
  <r>
    <x v="5"/>
  </r>
  <r>
    <x v="6"/>
  </r>
  <r>
    <x v="5"/>
  </r>
  <r>
    <x v="5"/>
  </r>
  <r>
    <x v="4"/>
  </r>
  <r>
    <x v="0"/>
  </r>
  <r>
    <x v="0"/>
  </r>
  <r>
    <x v="4"/>
  </r>
  <r>
    <x v="1"/>
  </r>
  <r>
    <x v="2"/>
  </r>
  <r>
    <x v="4"/>
  </r>
  <r>
    <x v="3"/>
  </r>
  <r>
    <x v="2"/>
  </r>
  <r>
    <x v="0"/>
  </r>
  <r>
    <x v="4"/>
  </r>
  <r>
    <x v="5"/>
  </r>
  <r>
    <x v="2"/>
  </r>
  <r>
    <x v="2"/>
  </r>
  <r>
    <x v="6"/>
  </r>
  <r>
    <x v="0"/>
  </r>
  <r>
    <x v="4"/>
  </r>
  <r>
    <x v="0"/>
  </r>
  <r>
    <x v="5"/>
  </r>
  <r>
    <x v="0"/>
  </r>
  <r>
    <x v="6"/>
  </r>
  <r>
    <x v="3"/>
  </r>
  <r>
    <x v="6"/>
  </r>
  <r>
    <x v="4"/>
  </r>
  <r>
    <x v="0"/>
  </r>
  <r>
    <x v="0"/>
  </r>
  <r>
    <x v="2"/>
  </r>
  <r>
    <x v="5"/>
  </r>
  <r>
    <x v="0"/>
  </r>
  <r>
    <x v="5"/>
  </r>
  <r>
    <x v="1"/>
  </r>
  <r>
    <x v="4"/>
  </r>
  <r>
    <x v="6"/>
  </r>
  <r>
    <x v="0"/>
  </r>
  <r>
    <x v="0"/>
  </r>
  <r>
    <x v="2"/>
  </r>
  <r>
    <x v="0"/>
  </r>
  <r>
    <x v="2"/>
  </r>
  <r>
    <x v="3"/>
  </r>
  <r>
    <x v="2"/>
  </r>
  <r>
    <x v="2"/>
  </r>
  <r>
    <x v="5"/>
  </r>
  <r>
    <x v="6"/>
  </r>
  <r>
    <x v="6"/>
  </r>
  <r>
    <x v="1"/>
  </r>
  <r>
    <x v="0"/>
  </r>
  <r>
    <x v="4"/>
  </r>
  <r>
    <x v="0"/>
  </r>
  <r>
    <x v="6"/>
  </r>
  <r>
    <x v="2"/>
  </r>
  <r>
    <x v="4"/>
  </r>
  <r>
    <x v="0"/>
  </r>
  <r>
    <x v="0"/>
  </r>
  <r>
    <x v="4"/>
  </r>
  <r>
    <x v="4"/>
  </r>
  <r>
    <x v="4"/>
  </r>
  <r>
    <x v="0"/>
  </r>
  <r>
    <x v="6"/>
  </r>
  <r>
    <x v="4"/>
  </r>
  <r>
    <x v="2"/>
  </r>
  <r>
    <x v="4"/>
  </r>
  <r>
    <x v="2"/>
  </r>
  <r>
    <x v="1"/>
  </r>
  <r>
    <x v="4"/>
  </r>
  <r>
    <x v="2"/>
  </r>
  <r>
    <x v="5"/>
  </r>
  <r>
    <x v="6"/>
  </r>
  <r>
    <x v="0"/>
  </r>
  <r>
    <x v="3"/>
  </r>
  <r>
    <x v="4"/>
  </r>
  <r>
    <x v="3"/>
  </r>
  <r>
    <x v="2"/>
  </r>
  <r>
    <x v="2"/>
  </r>
  <r>
    <x v="0"/>
  </r>
  <r>
    <x v="5"/>
  </r>
  <r>
    <x v="4"/>
  </r>
  <r>
    <x v="1"/>
  </r>
  <r>
    <x v="2"/>
  </r>
  <r>
    <x v="2"/>
  </r>
  <r>
    <x v="2"/>
  </r>
  <r>
    <x v="1"/>
  </r>
  <r>
    <x v="6"/>
  </r>
  <r>
    <x v="0"/>
  </r>
  <r>
    <x v="5"/>
  </r>
  <r>
    <x v="2"/>
  </r>
  <r>
    <x v="4"/>
  </r>
  <r>
    <x v="2"/>
  </r>
  <r>
    <x v="6"/>
  </r>
  <r>
    <x v="2"/>
  </r>
  <r>
    <x v="0"/>
  </r>
  <r>
    <x v="2"/>
  </r>
  <r>
    <x v="2"/>
  </r>
  <r>
    <x v="1"/>
  </r>
  <r>
    <x v="1"/>
  </r>
  <r>
    <x v="3"/>
  </r>
  <r>
    <x v="3"/>
  </r>
  <r>
    <x v="5"/>
  </r>
  <r>
    <x v="0"/>
  </r>
  <r>
    <x v="4"/>
  </r>
  <r>
    <x v="0"/>
  </r>
  <r>
    <x v="4"/>
  </r>
  <r>
    <x v="4"/>
  </r>
  <r>
    <x v="3"/>
  </r>
  <r>
    <x v="0"/>
  </r>
  <r>
    <x v="2"/>
  </r>
  <r>
    <x v="4"/>
  </r>
  <r>
    <x v="4"/>
  </r>
  <r>
    <x v="1"/>
  </r>
  <r>
    <x v="3"/>
  </r>
  <r>
    <x v="0"/>
  </r>
  <r>
    <x v="1"/>
  </r>
  <r>
    <x v="2"/>
  </r>
  <r>
    <x v="0"/>
  </r>
  <r>
    <x v="1"/>
  </r>
  <r>
    <x v="4"/>
  </r>
  <r>
    <x v="0"/>
  </r>
  <r>
    <x v="4"/>
  </r>
  <r>
    <x v="0"/>
  </r>
  <r>
    <x v="3"/>
  </r>
  <r>
    <x v="1"/>
  </r>
  <r>
    <x v="2"/>
  </r>
  <r>
    <x v="3"/>
  </r>
  <r>
    <x v="3"/>
  </r>
  <r>
    <x v="0"/>
  </r>
  <r>
    <x v="6"/>
  </r>
  <r>
    <x v="5"/>
  </r>
  <r>
    <x v="4"/>
  </r>
  <r>
    <x v="0"/>
  </r>
  <r>
    <x v="0"/>
  </r>
  <r>
    <x v="6"/>
  </r>
  <r>
    <x v="6"/>
  </r>
  <r>
    <x v="0"/>
  </r>
  <r>
    <x v="0"/>
  </r>
  <r>
    <x v="0"/>
  </r>
  <r>
    <x v="4"/>
  </r>
  <r>
    <x v="5"/>
  </r>
  <r>
    <x v="3"/>
  </r>
  <r>
    <x v="3"/>
  </r>
  <r>
    <x v="0"/>
  </r>
  <r>
    <x v="3"/>
  </r>
  <r>
    <x v="6"/>
  </r>
  <r>
    <x v="0"/>
  </r>
  <r>
    <x v="6"/>
  </r>
  <r>
    <x v="2"/>
  </r>
  <r>
    <x v="0"/>
  </r>
  <r>
    <x v="1"/>
  </r>
  <r>
    <x v="5"/>
  </r>
  <r>
    <x v="2"/>
  </r>
  <r>
    <x v="2"/>
  </r>
  <r>
    <x v="0"/>
  </r>
  <r>
    <x v="4"/>
  </r>
  <r>
    <x v="0"/>
  </r>
  <r>
    <x v="0"/>
  </r>
  <r>
    <x v="0"/>
  </r>
  <r>
    <x v="6"/>
  </r>
  <r>
    <x v="1"/>
  </r>
  <r>
    <x v="6"/>
  </r>
  <r>
    <x v="1"/>
  </r>
  <r>
    <x v="3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/>
  <pivotFields count="1">
    <pivotField axis="axisRow" dataField="1" showAll="0">
      <items count="9">
        <item x="3"/>
        <item x="5"/>
        <item x="1"/>
        <item x="4"/>
        <item x="0"/>
        <item x="6"/>
        <item x="2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Department" fld="0" subtotal="count" baseField="0" baseItem="0"/>
  </dataFields>
  <chartFormats count="9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36" firstHeaderRow="1" firstDataRow="1" firstDataCol="1"/>
  <pivotFields count="1">
    <pivotField axis="axisRow" dataField="1" showAll="0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</pivotField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Count of Job Title" fld="0" subtotal="count" baseField="0" baseItem="0"/>
  </dataFields>
  <chartFormats count="3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7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77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78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7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80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8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82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83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89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90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9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94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95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96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97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98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99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100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10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102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BL_Employees" displayName="TBL_Employees" ref="A1:Q1001" totalsRowShown="0" headerRowDxfId="16">
  <autoFilter ref="A1:Q1001"/>
  <tableColumns count="17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15"/>
    <tableColumn id="10" name="Annual Salary" dataDxfId="14"/>
    <tableColumn id="11" name="Bonus %" dataDxfId="13"/>
    <tableColumn id="12" name="Country"/>
    <tableColumn id="13" name="City"/>
    <tableColumn id="14" name="Exit Date" dataDxfId="12"/>
    <tableColumn id="15" name="Final_salary" dataDxfId="11">
      <calculatedColumnFormula>TBL_Employees[[#This Row],[Annual Salary]]+TBL_Employees[[#This Row],[Bonus %]]*TBL_Employees[[#This Row],[Annual Salary]]</calculatedColumnFormula>
    </tableColumn>
    <tableColumn id="16" name="IT Female" dataDxfId="10">
      <calculatedColumnFormula>IF(AND(TBL_Employees[[#This Row],[Department]]="IT",TBL_Employees[[#This Row],[Gender]]="Female"),"Yes","No")</calculatedColumnFormula>
    </tableColumn>
    <tableColumn id="17" name="female_black" dataDxfId="9">
      <calculatedColumnFormula>IF(AND(TBL_Employees[[#This Row],[Gender]]="Female",TBL_Employees[[#This Row],[Ethnicity]]="Black"), "Female_Black", "Others")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BL_Employees3" displayName="TBL_Employees3" ref="A1:Q1001" totalsRowShown="0" headerRowDxfId="7">
  <autoFilter ref="A1:Q1001"/>
  <tableColumns count="17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6"/>
    <tableColumn id="10" name="Annual Salary" dataDxfId="5"/>
    <tableColumn id="11" name="Bonus %" dataDxfId="4"/>
    <tableColumn id="12" name="Country"/>
    <tableColumn id="13" name="City"/>
    <tableColumn id="14" name="Exit Date" dataDxfId="3"/>
    <tableColumn id="15" name="Final_salary" dataDxfId="2">
      <calculatedColumnFormula>TBL_Employees3[[#This Row],[Annual Salary]]+TBL_Employees3[[#This Row],[Bonus %]]*TBL_Employees3[[#This Row],[Annual Salary]]</calculatedColumnFormula>
    </tableColumn>
    <tableColumn id="16" name="IT Female" dataDxfId="1">
      <calculatedColumnFormula>IF(AND(TBL_Employees3[[#This Row],[Department]]="IT",TBL_Employees3[[#This Row],[Gender]]="Female"),"Yes","No")</calculatedColumnFormula>
    </tableColumn>
    <tableColumn id="17" name="female_black" dataDxfId="0">
      <calculatedColumnFormula>IF(AND(TBL_Employees3[[#This Row],[Gender]]="Female",TBL_Employees3[[#This Row],[Ethnicity]]="Black"), "Female_Black", "Others")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16" totalsRowShown="0">
  <autoFilter ref="A1:A16"/>
  <tableColumns count="1">
    <tableColumn id="1" name="Job 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zoomScale="126" zoomScaleNormal="126" workbookViewId="0">
      <selection activeCell="T10" sqref="T10"/>
    </sheetView>
  </sheetViews>
  <sheetFormatPr defaultRowHeight="14.4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27.88671875" style="7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27.6640625" style="7" bestFit="1" customWidth="1"/>
    <col min="15" max="15" width="13" bestFit="1" customWidth="1"/>
    <col min="17" max="17" width="14.44140625" bestFit="1" customWidth="1"/>
    <col min="20" max="20" width="22.109375" bestFit="1" customWidth="1"/>
  </cols>
  <sheetData>
    <row r="1" spans="1:17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2029</v>
      </c>
      <c r="P1" s="4" t="s">
        <v>2030</v>
      </c>
      <c r="Q1" s="4" t="s">
        <v>2032</v>
      </c>
    </row>
    <row r="2" spans="1:17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7">
        <v>42468</v>
      </c>
      <c r="J2" s="1">
        <v>141604</v>
      </c>
      <c r="K2" s="2">
        <v>0.15</v>
      </c>
      <c r="L2" t="s">
        <v>19</v>
      </c>
      <c r="M2" t="s">
        <v>63</v>
      </c>
      <c r="N2" s="7">
        <v>44485</v>
      </c>
      <c r="O2" s="1">
        <f>TBL_Employees[[#This Row],[Annual Salary]]+TBL_Employees[[#This Row],[Bonus %]]*TBL_Employees[[#This Row],[Annual Salary]]</f>
        <v>162844.6</v>
      </c>
      <c r="P2" t="str">
        <f>IF(AND(TBL_Employees[[#This Row],[Department]]="IT",TBL_Employees[[#This Row],[Gender]]="Female"),"Yes","No")</f>
        <v>Yes</v>
      </c>
      <c r="Q2" t="str">
        <f>IF(AND(TBL_Employees[[#This Row],[Gender]]="Female",TBL_Employees[[#This Row],[Ethnicity]]="Black"), "Female_Black", "Others")</f>
        <v>Female_Black</v>
      </c>
    </row>
    <row r="3" spans="1:17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7">
        <v>35763</v>
      </c>
      <c r="J3" s="1">
        <v>99975</v>
      </c>
      <c r="K3" s="2">
        <v>0</v>
      </c>
      <c r="L3" t="s">
        <v>33</v>
      </c>
      <c r="M3" t="s">
        <v>80</v>
      </c>
      <c r="N3" s="7" t="s">
        <v>21</v>
      </c>
      <c r="O3" s="1">
        <f>TBL_Employees[[#This Row],[Annual Salary]]+TBL_Employees[[#This Row],[Bonus %]]*TBL_Employees[[#This Row],[Annual Salary]]</f>
        <v>99975</v>
      </c>
      <c r="P3" t="str">
        <f>IF(AND(TBL_Employees[[#This Row],[Department]]="IT",TBL_Employees[[#This Row],[Gender]]="Female"),"Yes","No")</f>
        <v>No</v>
      </c>
      <c r="Q3" t="str">
        <f>IF(AND(TBL_Employees[[#This Row],[Gender]]="Female",TBL_Employees[[#This Row],[Ethnicity]]="Black"), "Female_Black", "Others")</f>
        <v>Others</v>
      </c>
    </row>
    <row r="4" spans="1:17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7">
        <v>39016</v>
      </c>
      <c r="J4" s="1">
        <v>163099</v>
      </c>
      <c r="K4" s="2">
        <v>0.2</v>
      </c>
      <c r="L4" t="s">
        <v>19</v>
      </c>
      <c r="M4" t="s">
        <v>20</v>
      </c>
      <c r="N4" s="7" t="s">
        <v>21</v>
      </c>
      <c r="O4" s="1">
        <f>TBL_Employees[[#This Row],[Annual Salary]]+TBL_Employees[[#This Row],[Bonus %]]*TBL_Employees[[#This Row],[Annual Salary]]</f>
        <v>195718.8</v>
      </c>
      <c r="P4" t="str">
        <f>IF(AND(TBL_Employees[[#This Row],[Department]]="IT",TBL_Employees[[#This Row],[Gender]]="Female"),"Yes","No")</f>
        <v>No</v>
      </c>
      <c r="Q4" t="str">
        <f>IF(AND(TBL_Employees[[#This Row],[Gender]]="Female",TBL_Employees[[#This Row],[Ethnicity]]="Black"), "Female_Black", "Others")</f>
        <v>Others</v>
      </c>
    </row>
    <row r="5" spans="1:17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7">
        <v>43735</v>
      </c>
      <c r="J5" s="1">
        <v>84913</v>
      </c>
      <c r="K5" s="2">
        <v>7.0000000000000007E-2</v>
      </c>
      <c r="L5" t="s">
        <v>19</v>
      </c>
      <c r="M5" t="s">
        <v>20</v>
      </c>
      <c r="N5" s="7" t="s">
        <v>21</v>
      </c>
      <c r="O5" s="1">
        <f>TBL_Employees[[#This Row],[Annual Salary]]+TBL_Employees[[#This Row],[Bonus %]]*TBL_Employees[[#This Row],[Annual Salary]]</f>
        <v>90856.91</v>
      </c>
      <c r="P5" t="str">
        <f>IF(AND(TBL_Employees[[#This Row],[Department]]="IT",TBL_Employees[[#This Row],[Gender]]="Female"),"Yes","No")</f>
        <v>Yes</v>
      </c>
      <c r="Q5" t="str">
        <f>IF(AND(TBL_Employees[[#This Row],[Gender]]="Female",TBL_Employees[[#This Row],[Ethnicity]]="Black"), "Female_Black", "Others")</f>
        <v>Others</v>
      </c>
    </row>
    <row r="6" spans="1:17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7">
        <v>35023</v>
      </c>
      <c r="J6" s="1">
        <v>95409</v>
      </c>
      <c r="K6" s="2">
        <v>0</v>
      </c>
      <c r="L6" t="s">
        <v>19</v>
      </c>
      <c r="M6" t="s">
        <v>39</v>
      </c>
      <c r="N6" s="7" t="s">
        <v>21</v>
      </c>
      <c r="O6" s="1">
        <f>TBL_Employees[[#This Row],[Annual Salary]]+TBL_Employees[[#This Row],[Bonus %]]*TBL_Employees[[#This Row],[Annual Salary]]</f>
        <v>95409</v>
      </c>
      <c r="P6" t="str">
        <f>IF(AND(TBL_Employees[[#This Row],[Department]]="IT",TBL_Employees[[#This Row],[Gender]]="Female"),"Yes","No")</f>
        <v>No</v>
      </c>
      <c r="Q6" t="str">
        <f>IF(AND(TBL_Employees[[#This Row],[Gender]]="Female",TBL_Employees[[#This Row],[Ethnicity]]="Black"), "Female_Black", "Others")</f>
        <v>Others</v>
      </c>
    </row>
    <row r="7" spans="1:17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7">
        <v>42759</v>
      </c>
      <c r="J7" s="1">
        <v>50994</v>
      </c>
      <c r="K7" s="2">
        <v>0</v>
      </c>
      <c r="L7" t="s">
        <v>33</v>
      </c>
      <c r="M7" t="s">
        <v>80</v>
      </c>
      <c r="N7" s="7" t="s">
        <v>21</v>
      </c>
      <c r="O7" s="1">
        <f>TBL_Employees[[#This Row],[Annual Salary]]+TBL_Employees[[#This Row],[Bonus %]]*TBL_Employees[[#This Row],[Annual Salary]]</f>
        <v>50994</v>
      </c>
      <c r="P7" t="str">
        <f>IF(AND(TBL_Employees[[#This Row],[Department]]="IT",TBL_Employees[[#This Row],[Gender]]="Female"),"Yes","No")</f>
        <v>No</v>
      </c>
      <c r="Q7" t="str">
        <f>IF(AND(TBL_Employees[[#This Row],[Gender]]="Female",TBL_Employees[[#This Row],[Ethnicity]]="Black"), "Female_Black", "Others")</f>
        <v>Others</v>
      </c>
    </row>
    <row r="8" spans="1:17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7">
        <v>44013</v>
      </c>
      <c r="J8" s="1">
        <v>119746</v>
      </c>
      <c r="K8" s="2">
        <v>0.1</v>
      </c>
      <c r="L8" t="s">
        <v>19</v>
      </c>
      <c r="M8" t="s">
        <v>39</v>
      </c>
      <c r="N8" s="7" t="s">
        <v>21</v>
      </c>
      <c r="O8" s="1">
        <f>TBL_Employees[[#This Row],[Annual Salary]]+TBL_Employees[[#This Row],[Bonus %]]*TBL_Employees[[#This Row],[Annual Salary]]</f>
        <v>131720.6</v>
      </c>
      <c r="P8" t="str">
        <f>IF(AND(TBL_Employees[[#This Row],[Department]]="IT",TBL_Employees[[#This Row],[Gender]]="Female"),"Yes","No")</f>
        <v>Yes</v>
      </c>
      <c r="Q8" t="str">
        <f>IF(AND(TBL_Employees[[#This Row],[Gender]]="Female",TBL_Employees[[#This Row],[Ethnicity]]="Black"), "Female_Black", "Others")</f>
        <v>Others</v>
      </c>
    </row>
    <row r="9" spans="1:17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7">
        <v>43967</v>
      </c>
      <c r="J9" s="1">
        <v>41336</v>
      </c>
      <c r="K9" s="2">
        <v>0</v>
      </c>
      <c r="L9" t="s">
        <v>19</v>
      </c>
      <c r="M9" t="s">
        <v>45</v>
      </c>
      <c r="N9" s="7">
        <v>44336</v>
      </c>
      <c r="O9" s="1">
        <f>TBL_Employees[[#This Row],[Annual Salary]]+TBL_Employees[[#This Row],[Bonus %]]*TBL_Employees[[#This Row],[Annual Salary]]</f>
        <v>41336</v>
      </c>
      <c r="P9" t="str">
        <f>IF(AND(TBL_Employees[[#This Row],[Department]]="IT",TBL_Employees[[#This Row],[Gender]]="Female"),"Yes","No")</f>
        <v>No</v>
      </c>
      <c r="Q9" t="str">
        <f>IF(AND(TBL_Employees[[#This Row],[Gender]]="Female",TBL_Employees[[#This Row],[Ethnicity]]="Black"), "Female_Black", "Others")</f>
        <v>Others</v>
      </c>
    </row>
    <row r="10" spans="1:17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7">
        <v>43490</v>
      </c>
      <c r="J10" s="1">
        <v>113527</v>
      </c>
      <c r="K10" s="2">
        <v>0.06</v>
      </c>
      <c r="L10" t="s">
        <v>19</v>
      </c>
      <c r="M10" t="s">
        <v>25</v>
      </c>
      <c r="N10" s="7" t="s">
        <v>21</v>
      </c>
      <c r="O10" s="1">
        <f>TBL_Employees[[#This Row],[Annual Salary]]+TBL_Employees[[#This Row],[Bonus %]]*TBL_Employees[[#This Row],[Annual Salary]]</f>
        <v>120338.62</v>
      </c>
      <c r="P10" t="str">
        <f>IF(AND(TBL_Employees[[#This Row],[Department]]="IT",TBL_Employees[[#This Row],[Gender]]="Female"),"Yes","No")</f>
        <v>No</v>
      </c>
      <c r="Q10" t="str">
        <f>IF(AND(TBL_Employees[[#This Row],[Gender]]="Female",TBL_Employees[[#This Row],[Ethnicity]]="Black"), "Female_Black", "Others")</f>
        <v>Others</v>
      </c>
    </row>
    <row r="11" spans="1:17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7">
        <v>43264</v>
      </c>
      <c r="J11" s="1">
        <v>77203</v>
      </c>
      <c r="K11" s="2">
        <v>0</v>
      </c>
      <c r="L11" t="s">
        <v>19</v>
      </c>
      <c r="M11" t="s">
        <v>20</v>
      </c>
      <c r="N11" s="7" t="s">
        <v>21</v>
      </c>
      <c r="O11" s="1">
        <f>TBL_Employees[[#This Row],[Annual Salary]]+TBL_Employees[[#This Row],[Bonus %]]*TBL_Employees[[#This Row],[Annual Salary]]</f>
        <v>77203</v>
      </c>
      <c r="P11" t="str">
        <f>IF(AND(TBL_Employees[[#This Row],[Department]]="IT",TBL_Employees[[#This Row],[Gender]]="Female"),"Yes","No")</f>
        <v>No</v>
      </c>
      <c r="Q11" t="str">
        <f>IF(AND(TBL_Employees[[#This Row],[Gender]]="Female",TBL_Employees[[#This Row],[Ethnicity]]="Black"), "Female_Black", "Others")</f>
        <v>Others</v>
      </c>
    </row>
    <row r="12" spans="1:17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7">
        <v>39855</v>
      </c>
      <c r="J12" s="1">
        <v>157333</v>
      </c>
      <c r="K12" s="2">
        <v>0.15</v>
      </c>
      <c r="L12" t="s">
        <v>19</v>
      </c>
      <c r="M12" t="s">
        <v>45</v>
      </c>
      <c r="N12" s="7" t="s">
        <v>21</v>
      </c>
      <c r="O12" s="1">
        <f>TBL_Employees[[#This Row],[Annual Salary]]+TBL_Employees[[#This Row],[Bonus %]]*TBL_Employees[[#This Row],[Annual Salary]]</f>
        <v>180932.95</v>
      </c>
      <c r="P12" t="str">
        <f>IF(AND(TBL_Employees[[#This Row],[Department]]="IT",TBL_Employees[[#This Row],[Gender]]="Female"),"Yes","No")</f>
        <v>No</v>
      </c>
      <c r="Q12" t="str">
        <f>IF(AND(TBL_Employees[[#This Row],[Gender]]="Female",TBL_Employees[[#This Row],[Ethnicity]]="Black"), "Female_Black", "Others")</f>
        <v>Others</v>
      </c>
    </row>
    <row r="13" spans="1:17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7">
        <v>44490</v>
      </c>
      <c r="J13" s="1">
        <v>109851</v>
      </c>
      <c r="K13" s="2">
        <v>0</v>
      </c>
      <c r="L13" t="s">
        <v>19</v>
      </c>
      <c r="M13" t="s">
        <v>63</v>
      </c>
      <c r="N13" s="7" t="s">
        <v>21</v>
      </c>
      <c r="O13" s="1">
        <f>TBL_Employees[[#This Row],[Annual Salary]]+TBL_Employees[[#This Row],[Bonus %]]*TBL_Employees[[#This Row],[Annual Salary]]</f>
        <v>109851</v>
      </c>
      <c r="P13" t="str">
        <f>IF(AND(TBL_Employees[[#This Row],[Department]]="IT",TBL_Employees[[#This Row],[Gender]]="Female"),"Yes","No")</f>
        <v>No</v>
      </c>
      <c r="Q13" t="str">
        <f>IF(AND(TBL_Employees[[#This Row],[Gender]]="Female",TBL_Employees[[#This Row],[Ethnicity]]="Black"), "Female_Black", "Others")</f>
        <v>Others</v>
      </c>
    </row>
    <row r="14" spans="1:17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7">
        <v>36233</v>
      </c>
      <c r="J14" s="1">
        <v>105086</v>
      </c>
      <c r="K14" s="2">
        <v>0.09</v>
      </c>
      <c r="L14" t="s">
        <v>19</v>
      </c>
      <c r="M14" t="s">
        <v>25</v>
      </c>
      <c r="N14" s="7" t="s">
        <v>21</v>
      </c>
      <c r="O14" s="1">
        <f>TBL_Employees[[#This Row],[Annual Salary]]+TBL_Employees[[#This Row],[Bonus %]]*TBL_Employees[[#This Row],[Annual Salary]]</f>
        <v>114543.74</v>
      </c>
      <c r="P14" t="str">
        <f>IF(AND(TBL_Employees[[#This Row],[Department]]="IT",TBL_Employees[[#This Row],[Gender]]="Female"),"Yes","No")</f>
        <v>No</v>
      </c>
      <c r="Q14" t="str">
        <f>IF(AND(TBL_Employees[[#This Row],[Gender]]="Female",TBL_Employees[[#This Row],[Ethnicity]]="Black"), "Female_Black", "Others")</f>
        <v>Others</v>
      </c>
    </row>
    <row r="15" spans="1:17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7">
        <v>44357</v>
      </c>
      <c r="J15" s="1">
        <v>146742</v>
      </c>
      <c r="K15" s="2">
        <v>0.1</v>
      </c>
      <c r="L15" t="s">
        <v>33</v>
      </c>
      <c r="M15" t="s">
        <v>74</v>
      </c>
      <c r="N15" s="7" t="s">
        <v>21</v>
      </c>
      <c r="O15" s="1">
        <f>TBL_Employees[[#This Row],[Annual Salary]]+TBL_Employees[[#This Row],[Bonus %]]*TBL_Employees[[#This Row],[Annual Salary]]</f>
        <v>161416.20000000001</v>
      </c>
      <c r="P15" t="str">
        <f>IF(AND(TBL_Employees[[#This Row],[Department]]="IT",TBL_Employees[[#This Row],[Gender]]="Female"),"Yes","No")</f>
        <v>No</v>
      </c>
      <c r="Q15" t="str">
        <f>IF(AND(TBL_Employees[[#This Row],[Gender]]="Female",TBL_Employees[[#This Row],[Ethnicity]]="Black"), "Female_Black", "Others")</f>
        <v>Others</v>
      </c>
    </row>
    <row r="16" spans="1:17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7">
        <v>43043</v>
      </c>
      <c r="J16" s="1">
        <v>97078</v>
      </c>
      <c r="K16" s="2">
        <v>0</v>
      </c>
      <c r="L16" t="s">
        <v>19</v>
      </c>
      <c r="M16" t="s">
        <v>25</v>
      </c>
      <c r="N16" s="7">
        <v>43899</v>
      </c>
      <c r="O16" s="1">
        <f>TBL_Employees[[#This Row],[Annual Salary]]+TBL_Employees[[#This Row],[Bonus %]]*TBL_Employees[[#This Row],[Annual Salary]]</f>
        <v>97078</v>
      </c>
      <c r="P16" t="str">
        <f>IF(AND(TBL_Employees[[#This Row],[Department]]="IT",TBL_Employees[[#This Row],[Gender]]="Female"),"Yes","No")</f>
        <v>No</v>
      </c>
      <c r="Q16" t="str">
        <f>IF(AND(TBL_Employees[[#This Row],[Gender]]="Female",TBL_Employees[[#This Row],[Ethnicity]]="Black"), "Female_Black", "Others")</f>
        <v>Others</v>
      </c>
    </row>
    <row r="17" spans="1:20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7">
        <v>41346</v>
      </c>
      <c r="J17" s="1">
        <v>249270</v>
      </c>
      <c r="K17" s="2">
        <v>0.3</v>
      </c>
      <c r="L17" t="s">
        <v>19</v>
      </c>
      <c r="M17" t="s">
        <v>63</v>
      </c>
      <c r="N17" s="7" t="s">
        <v>21</v>
      </c>
      <c r="O17" s="1">
        <f>TBL_Employees[[#This Row],[Annual Salary]]+TBL_Employees[[#This Row],[Bonus %]]*TBL_Employees[[#This Row],[Annual Salary]]</f>
        <v>324051</v>
      </c>
      <c r="P17" t="str">
        <f>IF(AND(TBL_Employees[[#This Row],[Department]]="IT",TBL_Employees[[#This Row],[Gender]]="Female"),"Yes","No")</f>
        <v>No</v>
      </c>
      <c r="Q17" t="str">
        <f>IF(AND(TBL_Employees[[#This Row],[Gender]]="Female",TBL_Employees[[#This Row],[Ethnicity]]="Black"), "Female_Black", "Others")</f>
        <v>Others</v>
      </c>
    </row>
    <row r="18" spans="1:20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7">
        <v>37319</v>
      </c>
      <c r="J18" s="1">
        <v>175837</v>
      </c>
      <c r="K18" s="2">
        <v>0.2</v>
      </c>
      <c r="L18" t="s">
        <v>19</v>
      </c>
      <c r="M18" t="s">
        <v>39</v>
      </c>
      <c r="N18" s="7" t="s">
        <v>21</v>
      </c>
      <c r="O18" s="1">
        <f>TBL_Employees[[#This Row],[Annual Salary]]+TBL_Employees[[#This Row],[Bonus %]]*TBL_Employees[[#This Row],[Annual Salary]]</f>
        <v>211004.4</v>
      </c>
      <c r="P18" t="str">
        <f>IF(AND(TBL_Employees[[#This Row],[Department]]="IT",TBL_Employees[[#This Row],[Gender]]="Female"),"Yes","No")</f>
        <v>No</v>
      </c>
      <c r="Q18" t="str">
        <f>IF(AND(TBL_Employees[[#This Row],[Gender]]="Female",TBL_Employees[[#This Row],[Ethnicity]]="Black"), "Female_Black", "Others")</f>
        <v>Female_Black</v>
      </c>
    </row>
    <row r="19" spans="1:20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7">
        <v>37956</v>
      </c>
      <c r="J19" s="1">
        <v>154828</v>
      </c>
      <c r="K19" s="2">
        <v>0.13</v>
      </c>
      <c r="L19" t="s">
        <v>19</v>
      </c>
      <c r="M19" t="s">
        <v>63</v>
      </c>
      <c r="N19" s="7" t="s">
        <v>21</v>
      </c>
      <c r="O19" s="1">
        <f>TBL_Employees[[#This Row],[Annual Salary]]+TBL_Employees[[#This Row],[Bonus %]]*TBL_Employees[[#This Row],[Annual Salary]]</f>
        <v>174955.64</v>
      </c>
      <c r="P19" t="str">
        <f>IF(AND(TBL_Employees[[#This Row],[Department]]="IT",TBL_Employees[[#This Row],[Gender]]="Female"),"Yes","No")</f>
        <v>No</v>
      </c>
      <c r="Q19" t="str">
        <f>IF(AND(TBL_Employees[[#This Row],[Gender]]="Female",TBL_Employees[[#This Row],[Ethnicity]]="Black"), "Female_Black", "Others")</f>
        <v>Others</v>
      </c>
      <c r="T19" s="7"/>
    </row>
    <row r="20" spans="1:20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7">
        <v>41581</v>
      </c>
      <c r="J20" s="1">
        <v>186503</v>
      </c>
      <c r="K20" s="2">
        <v>0.24</v>
      </c>
      <c r="L20" t="s">
        <v>19</v>
      </c>
      <c r="M20" t="s">
        <v>29</v>
      </c>
      <c r="N20" s="7" t="s">
        <v>21</v>
      </c>
      <c r="O20" s="1">
        <f>TBL_Employees[[#This Row],[Annual Salary]]+TBL_Employees[[#This Row],[Bonus %]]*TBL_Employees[[#This Row],[Annual Salary]]</f>
        <v>231263.72</v>
      </c>
      <c r="P20" t="str">
        <f>IF(AND(TBL_Employees[[#This Row],[Department]]="IT",TBL_Employees[[#This Row],[Gender]]="Female"),"Yes","No")</f>
        <v>No</v>
      </c>
      <c r="Q20" t="str">
        <f>IF(AND(TBL_Employees[[#This Row],[Gender]]="Female",TBL_Employees[[#This Row],[Ethnicity]]="Black"), "Female_Black", "Others")</f>
        <v>Others</v>
      </c>
    </row>
    <row r="21" spans="1:20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7">
        <v>37446</v>
      </c>
      <c r="J21" s="1">
        <v>166331</v>
      </c>
      <c r="K21" s="2">
        <v>0.18</v>
      </c>
      <c r="L21" t="s">
        <v>33</v>
      </c>
      <c r="M21" t="s">
        <v>80</v>
      </c>
      <c r="N21" s="7" t="s">
        <v>21</v>
      </c>
      <c r="O21" s="1">
        <f>TBL_Employees[[#This Row],[Annual Salary]]+TBL_Employees[[#This Row],[Bonus %]]*TBL_Employees[[#This Row],[Annual Salary]]</f>
        <v>196270.58</v>
      </c>
      <c r="P21" t="str">
        <f>IF(AND(TBL_Employees[[#This Row],[Department]]="IT",TBL_Employees[[#This Row],[Gender]]="Female"),"Yes","No")</f>
        <v>No</v>
      </c>
      <c r="Q21" t="str">
        <f>IF(AND(TBL_Employees[[#This Row],[Gender]]="Female",TBL_Employees[[#This Row],[Ethnicity]]="Black"), "Female_Black", "Others")</f>
        <v>Others</v>
      </c>
    </row>
    <row r="22" spans="1:20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7">
        <v>40917</v>
      </c>
      <c r="J22" s="1">
        <v>146140</v>
      </c>
      <c r="K22" s="2">
        <v>0.1</v>
      </c>
      <c r="L22" t="s">
        <v>52</v>
      </c>
      <c r="M22" t="s">
        <v>81</v>
      </c>
      <c r="N22" s="7" t="s">
        <v>21</v>
      </c>
      <c r="O22" s="1">
        <f>TBL_Employees[[#This Row],[Annual Salary]]+TBL_Employees[[#This Row],[Bonus %]]*TBL_Employees[[#This Row],[Annual Salary]]</f>
        <v>160754</v>
      </c>
      <c r="P22" t="str">
        <f>IF(AND(TBL_Employees[[#This Row],[Department]]="IT",TBL_Employees[[#This Row],[Gender]]="Female"),"Yes","No")</f>
        <v>No</v>
      </c>
      <c r="Q22" t="str">
        <f>IF(AND(TBL_Employees[[#This Row],[Gender]]="Female",TBL_Employees[[#This Row],[Ethnicity]]="Black"), "Female_Black", "Others")</f>
        <v>Others</v>
      </c>
    </row>
    <row r="23" spans="1:20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7">
        <v>44288</v>
      </c>
      <c r="J23" s="1">
        <v>151703</v>
      </c>
      <c r="K23" s="2">
        <v>0.21</v>
      </c>
      <c r="L23" t="s">
        <v>19</v>
      </c>
      <c r="M23" t="s">
        <v>45</v>
      </c>
      <c r="N23" s="7" t="s">
        <v>21</v>
      </c>
      <c r="O23" s="1">
        <f>TBL_Employees[[#This Row],[Annual Salary]]+TBL_Employees[[#This Row],[Bonus %]]*TBL_Employees[[#This Row],[Annual Salary]]</f>
        <v>183560.63</v>
      </c>
      <c r="P23" t="str">
        <f>IF(AND(TBL_Employees[[#This Row],[Department]]="IT",TBL_Employees[[#This Row],[Gender]]="Female"),"Yes","No")</f>
        <v>No</v>
      </c>
      <c r="Q23" t="str">
        <f>IF(AND(TBL_Employees[[#This Row],[Gender]]="Female",TBL_Employees[[#This Row],[Ethnicity]]="Black"), "Female_Black", "Others")</f>
        <v>Others</v>
      </c>
    </row>
    <row r="24" spans="1:20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7">
        <v>37400</v>
      </c>
      <c r="J24" s="1">
        <v>172787</v>
      </c>
      <c r="K24" s="2">
        <v>0.28000000000000003</v>
      </c>
      <c r="L24" t="s">
        <v>52</v>
      </c>
      <c r="M24" t="s">
        <v>66</v>
      </c>
      <c r="N24" s="7" t="s">
        <v>21</v>
      </c>
      <c r="O24" s="1">
        <f>TBL_Employees[[#This Row],[Annual Salary]]+TBL_Employees[[#This Row],[Bonus %]]*TBL_Employees[[#This Row],[Annual Salary]]</f>
        <v>221167.36000000002</v>
      </c>
      <c r="P24" t="str">
        <f>IF(AND(TBL_Employees[[#This Row],[Department]]="IT",TBL_Employees[[#This Row],[Gender]]="Female"),"Yes","No")</f>
        <v>No</v>
      </c>
      <c r="Q24" t="str">
        <f>IF(AND(TBL_Employees[[#This Row],[Gender]]="Female",TBL_Employees[[#This Row],[Ethnicity]]="Black"), "Female_Black", "Others")</f>
        <v>Others</v>
      </c>
    </row>
    <row r="25" spans="1:20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7">
        <v>43713</v>
      </c>
      <c r="J25" s="1">
        <v>49998</v>
      </c>
      <c r="K25" s="2">
        <v>0</v>
      </c>
      <c r="L25" t="s">
        <v>19</v>
      </c>
      <c r="M25" t="s">
        <v>63</v>
      </c>
      <c r="N25" s="7" t="s">
        <v>21</v>
      </c>
      <c r="O25" s="1">
        <f>TBL_Employees[[#This Row],[Annual Salary]]+TBL_Employees[[#This Row],[Bonus %]]*TBL_Employees[[#This Row],[Annual Salary]]</f>
        <v>49998</v>
      </c>
      <c r="P25" t="str">
        <f>IF(AND(TBL_Employees[[#This Row],[Department]]="IT",TBL_Employees[[#This Row],[Gender]]="Female"),"Yes","No")</f>
        <v>No</v>
      </c>
      <c r="Q25" t="str">
        <f>IF(AND(TBL_Employees[[#This Row],[Gender]]="Female",TBL_Employees[[#This Row],[Ethnicity]]="Black"), "Female_Black", "Others")</f>
        <v>Others</v>
      </c>
    </row>
    <row r="26" spans="1:20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7">
        <v>41700</v>
      </c>
      <c r="J26" s="1">
        <v>207172</v>
      </c>
      <c r="K26" s="2">
        <v>0.31</v>
      </c>
      <c r="L26" t="s">
        <v>33</v>
      </c>
      <c r="M26" t="s">
        <v>80</v>
      </c>
      <c r="N26" s="7" t="s">
        <v>21</v>
      </c>
      <c r="O26" s="1">
        <f>TBL_Employees[[#This Row],[Annual Salary]]+TBL_Employees[[#This Row],[Bonus %]]*TBL_Employees[[#This Row],[Annual Salary]]</f>
        <v>271395.32</v>
      </c>
      <c r="P26" t="str">
        <f>IF(AND(TBL_Employees[[#This Row],[Department]]="IT",TBL_Employees[[#This Row],[Gender]]="Female"),"Yes","No")</f>
        <v>No</v>
      </c>
      <c r="Q26" t="str">
        <f>IF(AND(TBL_Employees[[#This Row],[Gender]]="Female",TBL_Employees[[#This Row],[Ethnicity]]="Black"), "Female_Black", "Others")</f>
        <v>Others</v>
      </c>
    </row>
    <row r="27" spans="1:20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7">
        <v>42111</v>
      </c>
      <c r="J27" s="1">
        <v>152239</v>
      </c>
      <c r="K27" s="2">
        <v>0.23</v>
      </c>
      <c r="L27" t="s">
        <v>19</v>
      </c>
      <c r="M27" t="s">
        <v>60</v>
      </c>
      <c r="N27" s="7" t="s">
        <v>21</v>
      </c>
      <c r="O27" s="1">
        <f>TBL_Employees[[#This Row],[Annual Salary]]+TBL_Employees[[#This Row],[Bonus %]]*TBL_Employees[[#This Row],[Annual Salary]]</f>
        <v>187253.97</v>
      </c>
      <c r="P27" t="str">
        <f>IF(AND(TBL_Employees[[#This Row],[Department]]="IT",TBL_Employees[[#This Row],[Gender]]="Female"),"Yes","No")</f>
        <v>No</v>
      </c>
      <c r="Q27" t="str">
        <f>IF(AND(TBL_Employees[[#This Row],[Gender]]="Female",TBL_Employees[[#This Row],[Ethnicity]]="Black"), "Female_Black", "Others")</f>
        <v>Others</v>
      </c>
    </row>
    <row r="28" spans="1:20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7">
        <v>38388</v>
      </c>
      <c r="J28" s="1">
        <v>98581</v>
      </c>
      <c r="K28" s="2">
        <v>0</v>
      </c>
      <c r="L28" t="s">
        <v>52</v>
      </c>
      <c r="M28" t="s">
        <v>66</v>
      </c>
      <c r="N28" s="7" t="s">
        <v>21</v>
      </c>
      <c r="O28" s="1">
        <f>TBL_Employees[[#This Row],[Annual Salary]]+TBL_Employees[[#This Row],[Bonus %]]*TBL_Employees[[#This Row],[Annual Salary]]</f>
        <v>98581</v>
      </c>
      <c r="P28" t="str">
        <f>IF(AND(TBL_Employees[[#This Row],[Department]]="IT",TBL_Employees[[#This Row],[Gender]]="Female"),"Yes","No")</f>
        <v>No</v>
      </c>
      <c r="Q28" t="str">
        <f>IF(AND(TBL_Employees[[#This Row],[Gender]]="Female",TBL_Employees[[#This Row],[Ethnicity]]="Black"), "Female_Black", "Others")</f>
        <v>Others</v>
      </c>
    </row>
    <row r="29" spans="1:20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7">
        <v>38145</v>
      </c>
      <c r="J29" s="1">
        <v>246231</v>
      </c>
      <c r="K29" s="2">
        <v>0.31</v>
      </c>
      <c r="L29" t="s">
        <v>19</v>
      </c>
      <c r="M29" t="s">
        <v>63</v>
      </c>
      <c r="N29" s="7" t="s">
        <v>21</v>
      </c>
      <c r="O29" s="1">
        <f>TBL_Employees[[#This Row],[Annual Salary]]+TBL_Employees[[#This Row],[Bonus %]]*TBL_Employees[[#This Row],[Annual Salary]]</f>
        <v>322562.61</v>
      </c>
      <c r="P29" t="str">
        <f>IF(AND(TBL_Employees[[#This Row],[Department]]="IT",TBL_Employees[[#This Row],[Gender]]="Female"),"Yes","No")</f>
        <v>No</v>
      </c>
      <c r="Q29" t="str">
        <f>IF(AND(TBL_Employees[[#This Row],[Gender]]="Female",TBL_Employees[[#This Row],[Ethnicity]]="Black"), "Female_Black", "Others")</f>
        <v>Others</v>
      </c>
    </row>
    <row r="30" spans="1:20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7">
        <v>35403</v>
      </c>
      <c r="J30" s="1">
        <v>99354</v>
      </c>
      <c r="K30" s="2">
        <v>0.12</v>
      </c>
      <c r="L30" t="s">
        <v>33</v>
      </c>
      <c r="M30" t="s">
        <v>60</v>
      </c>
      <c r="N30" s="7" t="s">
        <v>21</v>
      </c>
      <c r="O30" s="1">
        <f>TBL_Employees[[#This Row],[Annual Salary]]+TBL_Employees[[#This Row],[Bonus %]]*TBL_Employees[[#This Row],[Annual Salary]]</f>
        <v>111276.48</v>
      </c>
      <c r="P30" t="str">
        <f>IF(AND(TBL_Employees[[#This Row],[Department]]="IT",TBL_Employees[[#This Row],[Gender]]="Female"),"Yes","No")</f>
        <v>No</v>
      </c>
      <c r="Q30" t="str">
        <f>IF(AND(TBL_Employees[[#This Row],[Gender]]="Female",TBL_Employees[[#This Row],[Ethnicity]]="Black"), "Female_Black", "Others")</f>
        <v>Others</v>
      </c>
    </row>
    <row r="31" spans="1:20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7">
        <v>41040</v>
      </c>
      <c r="J31" s="1">
        <v>231141</v>
      </c>
      <c r="K31" s="2">
        <v>0.34</v>
      </c>
      <c r="L31" t="s">
        <v>33</v>
      </c>
      <c r="M31" t="s">
        <v>60</v>
      </c>
      <c r="N31" s="7" t="s">
        <v>21</v>
      </c>
      <c r="O31" s="1">
        <f>TBL_Employees[[#This Row],[Annual Salary]]+TBL_Employees[[#This Row],[Bonus %]]*TBL_Employees[[#This Row],[Annual Salary]]</f>
        <v>309728.94</v>
      </c>
      <c r="P31" t="str">
        <f>IF(AND(TBL_Employees[[#This Row],[Department]]="IT",TBL_Employees[[#This Row],[Gender]]="Female"),"Yes","No")</f>
        <v>No</v>
      </c>
      <c r="Q31" t="str">
        <f>IF(AND(TBL_Employees[[#This Row],[Gender]]="Female",TBL_Employees[[#This Row],[Ethnicity]]="Black"), "Female_Black", "Others")</f>
        <v>Others</v>
      </c>
    </row>
    <row r="32" spans="1:20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7">
        <v>42911</v>
      </c>
      <c r="J32" s="1">
        <v>54775</v>
      </c>
      <c r="K32" s="2">
        <v>0</v>
      </c>
      <c r="L32" t="s">
        <v>19</v>
      </c>
      <c r="M32" t="s">
        <v>29</v>
      </c>
      <c r="N32" s="7" t="s">
        <v>21</v>
      </c>
      <c r="O32" s="1">
        <f>TBL_Employees[[#This Row],[Annual Salary]]+TBL_Employees[[#This Row],[Bonus %]]*TBL_Employees[[#This Row],[Annual Salary]]</f>
        <v>54775</v>
      </c>
      <c r="P32" t="str">
        <f>IF(AND(TBL_Employees[[#This Row],[Department]]="IT",TBL_Employees[[#This Row],[Gender]]="Female"),"Yes","No")</f>
        <v>No</v>
      </c>
      <c r="Q32" t="str">
        <f>IF(AND(TBL_Employees[[#This Row],[Gender]]="Female",TBL_Employees[[#This Row],[Ethnicity]]="Black"), "Female_Black", "Others")</f>
        <v>Others</v>
      </c>
    </row>
    <row r="33" spans="1:17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7">
        <v>38123</v>
      </c>
      <c r="J33" s="1">
        <v>55499</v>
      </c>
      <c r="K33" s="2">
        <v>0</v>
      </c>
      <c r="L33" t="s">
        <v>52</v>
      </c>
      <c r="M33" t="s">
        <v>81</v>
      </c>
      <c r="N33" s="7" t="s">
        <v>21</v>
      </c>
      <c r="O33" s="1">
        <f>TBL_Employees[[#This Row],[Annual Salary]]+TBL_Employees[[#This Row],[Bonus %]]*TBL_Employees[[#This Row],[Annual Salary]]</f>
        <v>55499</v>
      </c>
      <c r="P33" t="str">
        <f>IF(AND(TBL_Employees[[#This Row],[Department]]="IT",TBL_Employees[[#This Row],[Gender]]="Female"),"Yes","No")</f>
        <v>No</v>
      </c>
      <c r="Q33" t="str">
        <f>IF(AND(TBL_Employees[[#This Row],[Gender]]="Female",TBL_Employees[[#This Row],[Ethnicity]]="Black"), "Female_Black", "Others")</f>
        <v>Others</v>
      </c>
    </row>
    <row r="34" spans="1:17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7">
        <v>39640</v>
      </c>
      <c r="J34" s="1">
        <v>66521</v>
      </c>
      <c r="K34" s="2">
        <v>0</v>
      </c>
      <c r="L34" t="s">
        <v>19</v>
      </c>
      <c r="M34" t="s">
        <v>63</v>
      </c>
      <c r="N34" s="7" t="s">
        <v>21</v>
      </c>
      <c r="O34" s="1">
        <f>TBL_Employees[[#This Row],[Annual Salary]]+TBL_Employees[[#This Row],[Bonus %]]*TBL_Employees[[#This Row],[Annual Salary]]</f>
        <v>66521</v>
      </c>
      <c r="P34" t="str">
        <f>IF(AND(TBL_Employees[[#This Row],[Department]]="IT",TBL_Employees[[#This Row],[Gender]]="Female"),"Yes","No")</f>
        <v>No</v>
      </c>
      <c r="Q34" t="str">
        <f>IF(AND(TBL_Employees[[#This Row],[Gender]]="Female",TBL_Employees[[#This Row],[Ethnicity]]="Black"), "Female_Black", "Others")</f>
        <v>Others</v>
      </c>
    </row>
    <row r="35" spans="1:17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7">
        <v>42642</v>
      </c>
      <c r="J35" s="1">
        <v>59100</v>
      </c>
      <c r="K35" s="2">
        <v>0</v>
      </c>
      <c r="L35" t="s">
        <v>33</v>
      </c>
      <c r="M35" t="s">
        <v>80</v>
      </c>
      <c r="N35" s="7" t="s">
        <v>21</v>
      </c>
      <c r="O35" s="1">
        <f>TBL_Employees[[#This Row],[Annual Salary]]+TBL_Employees[[#This Row],[Bonus %]]*TBL_Employees[[#This Row],[Annual Salary]]</f>
        <v>59100</v>
      </c>
      <c r="P35" t="str">
        <f>IF(AND(TBL_Employees[[#This Row],[Department]]="IT",TBL_Employees[[#This Row],[Gender]]="Female"),"Yes","No")</f>
        <v>No</v>
      </c>
      <c r="Q35" t="str">
        <f>IF(AND(TBL_Employees[[#This Row],[Gender]]="Female",TBL_Employees[[#This Row],[Ethnicity]]="Black"), "Female_Black", "Others")</f>
        <v>Others</v>
      </c>
    </row>
    <row r="36" spans="1:17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7">
        <v>43226</v>
      </c>
      <c r="J36" s="1">
        <v>49011</v>
      </c>
      <c r="K36" s="2">
        <v>0</v>
      </c>
      <c r="L36" t="s">
        <v>19</v>
      </c>
      <c r="M36" t="s">
        <v>20</v>
      </c>
      <c r="N36" s="7" t="s">
        <v>21</v>
      </c>
      <c r="O36" s="1">
        <f>TBL_Employees[[#This Row],[Annual Salary]]+TBL_Employees[[#This Row],[Bonus %]]*TBL_Employees[[#This Row],[Annual Salary]]</f>
        <v>49011</v>
      </c>
      <c r="P36" t="str">
        <f>IF(AND(TBL_Employees[[#This Row],[Department]]="IT",TBL_Employees[[#This Row],[Gender]]="Female"),"Yes","No")</f>
        <v>No</v>
      </c>
      <c r="Q36" t="str">
        <f>IF(AND(TBL_Employees[[#This Row],[Gender]]="Female",TBL_Employees[[#This Row],[Ethnicity]]="Black"), "Female_Black", "Others")</f>
        <v>Others</v>
      </c>
    </row>
    <row r="37" spans="1:17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7">
        <v>41681</v>
      </c>
      <c r="J37" s="1">
        <v>99575</v>
      </c>
      <c r="K37" s="2">
        <v>0</v>
      </c>
      <c r="L37" t="s">
        <v>19</v>
      </c>
      <c r="M37" t="s">
        <v>25</v>
      </c>
      <c r="N37" s="7" t="s">
        <v>21</v>
      </c>
      <c r="O37" s="1">
        <f>TBL_Employees[[#This Row],[Annual Salary]]+TBL_Employees[[#This Row],[Bonus %]]*TBL_Employees[[#This Row],[Annual Salary]]</f>
        <v>99575</v>
      </c>
      <c r="P37" t="str">
        <f>IF(AND(TBL_Employees[[#This Row],[Department]]="IT",TBL_Employees[[#This Row],[Gender]]="Female"),"Yes","No")</f>
        <v>Yes</v>
      </c>
      <c r="Q37" t="str">
        <f>IF(AND(TBL_Employees[[#This Row],[Gender]]="Female",TBL_Employees[[#This Row],[Ethnicity]]="Black"), "Female_Black", "Others")</f>
        <v>Others</v>
      </c>
    </row>
    <row r="38" spans="1:17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7">
        <v>43815</v>
      </c>
      <c r="J38" s="1">
        <v>99989</v>
      </c>
      <c r="K38" s="2">
        <v>0</v>
      </c>
      <c r="L38" t="s">
        <v>33</v>
      </c>
      <c r="M38" t="s">
        <v>34</v>
      </c>
      <c r="N38" s="7" t="s">
        <v>21</v>
      </c>
      <c r="O38" s="1">
        <f>TBL_Employees[[#This Row],[Annual Salary]]+TBL_Employees[[#This Row],[Bonus %]]*TBL_Employees[[#This Row],[Annual Salary]]</f>
        <v>99989</v>
      </c>
      <c r="P38" t="str">
        <f>IF(AND(TBL_Employees[[#This Row],[Department]]="IT",TBL_Employees[[#This Row],[Gender]]="Female"),"Yes","No")</f>
        <v>No</v>
      </c>
      <c r="Q38" t="str">
        <f>IF(AND(TBL_Employees[[#This Row],[Gender]]="Female",TBL_Employees[[#This Row],[Ethnicity]]="Black"), "Female_Black", "Others")</f>
        <v>Others</v>
      </c>
    </row>
    <row r="39" spans="1:17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7">
        <v>43758</v>
      </c>
      <c r="J39" s="1">
        <v>256420</v>
      </c>
      <c r="K39" s="2">
        <v>0.3</v>
      </c>
      <c r="L39" t="s">
        <v>19</v>
      </c>
      <c r="M39" t="s">
        <v>39</v>
      </c>
      <c r="N39" s="7" t="s">
        <v>21</v>
      </c>
      <c r="O39" s="1">
        <f>TBL_Employees[[#This Row],[Annual Salary]]+TBL_Employees[[#This Row],[Bonus %]]*TBL_Employees[[#This Row],[Annual Salary]]</f>
        <v>333346</v>
      </c>
      <c r="P39" t="str">
        <f>IF(AND(TBL_Employees[[#This Row],[Department]]="IT",TBL_Employees[[#This Row],[Gender]]="Female"),"Yes","No")</f>
        <v>No</v>
      </c>
      <c r="Q39" t="str">
        <f>IF(AND(TBL_Employees[[#This Row],[Gender]]="Female",TBL_Employees[[#This Row],[Ethnicity]]="Black"), "Female_Black", "Others")</f>
        <v>Others</v>
      </c>
    </row>
    <row r="40" spans="1:17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7">
        <v>41409</v>
      </c>
      <c r="J40" s="1">
        <v>78940</v>
      </c>
      <c r="K40" s="2">
        <v>0</v>
      </c>
      <c r="L40" t="s">
        <v>19</v>
      </c>
      <c r="M40" t="s">
        <v>45</v>
      </c>
      <c r="N40" s="7" t="s">
        <v>21</v>
      </c>
      <c r="O40" s="1">
        <f>TBL_Employees[[#This Row],[Annual Salary]]+TBL_Employees[[#This Row],[Bonus %]]*TBL_Employees[[#This Row],[Annual Salary]]</f>
        <v>78940</v>
      </c>
      <c r="P40" t="str">
        <f>IF(AND(TBL_Employees[[#This Row],[Department]]="IT",TBL_Employees[[#This Row],[Gender]]="Female"),"Yes","No")</f>
        <v>Yes</v>
      </c>
      <c r="Q40" t="str">
        <f>IF(AND(TBL_Employees[[#This Row],[Gender]]="Female",TBL_Employees[[#This Row],[Ethnicity]]="Black"), "Female_Black", "Others")</f>
        <v>Others</v>
      </c>
    </row>
    <row r="41" spans="1:17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7">
        <v>34337</v>
      </c>
      <c r="J41" s="1">
        <v>82872</v>
      </c>
      <c r="K41" s="2">
        <v>0</v>
      </c>
      <c r="L41" t="s">
        <v>52</v>
      </c>
      <c r="M41" t="s">
        <v>81</v>
      </c>
      <c r="N41" s="7" t="s">
        <v>21</v>
      </c>
      <c r="O41" s="1">
        <f>TBL_Employees[[#This Row],[Annual Salary]]+TBL_Employees[[#This Row],[Bonus %]]*TBL_Employees[[#This Row],[Annual Salary]]</f>
        <v>82872</v>
      </c>
      <c r="P41" t="str">
        <f>IF(AND(TBL_Employees[[#This Row],[Department]]="IT",TBL_Employees[[#This Row],[Gender]]="Female"),"Yes","No")</f>
        <v>Yes</v>
      </c>
      <c r="Q41" t="str">
        <f>IF(AND(TBL_Employees[[#This Row],[Gender]]="Female",TBL_Employees[[#This Row],[Ethnicity]]="Black"), "Female_Black", "Others")</f>
        <v>Others</v>
      </c>
    </row>
    <row r="42" spans="1:17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7">
        <v>42884</v>
      </c>
      <c r="J42" s="1">
        <v>86317</v>
      </c>
      <c r="K42" s="2">
        <v>0</v>
      </c>
      <c r="L42" t="s">
        <v>33</v>
      </c>
      <c r="M42" t="s">
        <v>34</v>
      </c>
      <c r="N42" s="7">
        <v>42932</v>
      </c>
      <c r="O42" s="1">
        <f>TBL_Employees[[#This Row],[Annual Salary]]+TBL_Employees[[#This Row],[Bonus %]]*TBL_Employees[[#This Row],[Annual Salary]]</f>
        <v>86317</v>
      </c>
      <c r="P42" t="str">
        <f>IF(AND(TBL_Employees[[#This Row],[Department]]="IT",TBL_Employees[[#This Row],[Gender]]="Female"),"Yes","No")</f>
        <v>No</v>
      </c>
      <c r="Q42" t="str">
        <f>IF(AND(TBL_Employees[[#This Row],[Gender]]="Female",TBL_Employees[[#This Row],[Ethnicity]]="Black"), "Female_Black", "Others")</f>
        <v>Others</v>
      </c>
    </row>
    <row r="43" spans="1:17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7">
        <v>41601</v>
      </c>
      <c r="J43" s="1">
        <v>113135</v>
      </c>
      <c r="K43" s="2">
        <v>0.05</v>
      </c>
      <c r="L43" t="s">
        <v>19</v>
      </c>
      <c r="M43" t="s">
        <v>25</v>
      </c>
      <c r="N43" s="7" t="s">
        <v>21</v>
      </c>
      <c r="O43" s="1">
        <f>TBL_Employees[[#This Row],[Annual Salary]]+TBL_Employees[[#This Row],[Bonus %]]*TBL_Employees[[#This Row],[Annual Salary]]</f>
        <v>118791.75</v>
      </c>
      <c r="P43" t="str">
        <f>IF(AND(TBL_Employees[[#This Row],[Department]]="IT",TBL_Employees[[#This Row],[Gender]]="Female"),"Yes","No")</f>
        <v>No</v>
      </c>
      <c r="Q43" t="str">
        <f>IF(AND(TBL_Employees[[#This Row],[Gender]]="Female",TBL_Employees[[#This Row],[Ethnicity]]="Black"), "Female_Black", "Others")</f>
        <v>Others</v>
      </c>
    </row>
    <row r="44" spans="1:17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7">
        <v>38664</v>
      </c>
      <c r="J44" s="1">
        <v>199808</v>
      </c>
      <c r="K44" s="2">
        <v>0.32</v>
      </c>
      <c r="L44" t="s">
        <v>19</v>
      </c>
      <c r="M44" t="s">
        <v>63</v>
      </c>
      <c r="N44" s="7" t="s">
        <v>21</v>
      </c>
      <c r="O44" s="1">
        <f>TBL_Employees[[#This Row],[Annual Salary]]+TBL_Employees[[#This Row],[Bonus %]]*TBL_Employees[[#This Row],[Annual Salary]]</f>
        <v>263746.56</v>
      </c>
      <c r="P44" t="str">
        <f>IF(AND(TBL_Employees[[#This Row],[Department]]="IT",TBL_Employees[[#This Row],[Gender]]="Female"),"Yes","No")</f>
        <v>No</v>
      </c>
      <c r="Q44" t="str">
        <f>IF(AND(TBL_Employees[[#This Row],[Gender]]="Female",TBL_Employees[[#This Row],[Ethnicity]]="Black"), "Female_Black", "Others")</f>
        <v>Others</v>
      </c>
    </row>
    <row r="45" spans="1:17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7">
        <v>41592</v>
      </c>
      <c r="J45" s="1">
        <v>56037</v>
      </c>
      <c r="K45" s="2">
        <v>0</v>
      </c>
      <c r="L45" t="s">
        <v>33</v>
      </c>
      <c r="M45" t="s">
        <v>74</v>
      </c>
      <c r="N45" s="7" t="s">
        <v>21</v>
      </c>
      <c r="O45" s="1">
        <f>TBL_Employees[[#This Row],[Annual Salary]]+TBL_Employees[[#This Row],[Bonus %]]*TBL_Employees[[#This Row],[Annual Salary]]</f>
        <v>56037</v>
      </c>
      <c r="P45" t="str">
        <f>IF(AND(TBL_Employees[[#This Row],[Department]]="IT",TBL_Employees[[#This Row],[Gender]]="Female"),"Yes","No")</f>
        <v>No</v>
      </c>
      <c r="Q45" t="str">
        <f>IF(AND(TBL_Employees[[#This Row],[Gender]]="Female",TBL_Employees[[#This Row],[Ethnicity]]="Black"), "Female_Black", "Others")</f>
        <v>Others</v>
      </c>
    </row>
    <row r="46" spans="1:17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7">
        <v>43609</v>
      </c>
      <c r="J46" s="1">
        <v>122350</v>
      </c>
      <c r="K46" s="2">
        <v>0.12</v>
      </c>
      <c r="L46" t="s">
        <v>19</v>
      </c>
      <c r="M46" t="s">
        <v>39</v>
      </c>
      <c r="N46" s="7" t="s">
        <v>21</v>
      </c>
      <c r="O46" s="1">
        <f>TBL_Employees[[#This Row],[Annual Salary]]+TBL_Employees[[#This Row],[Bonus %]]*TBL_Employees[[#This Row],[Annual Salary]]</f>
        <v>137032</v>
      </c>
      <c r="P46" t="str">
        <f>IF(AND(TBL_Employees[[#This Row],[Department]]="IT",TBL_Employees[[#This Row],[Gender]]="Female"),"Yes","No")</f>
        <v>No</v>
      </c>
      <c r="Q46" t="str">
        <f>IF(AND(TBL_Employees[[#This Row],[Gender]]="Female",TBL_Employees[[#This Row],[Ethnicity]]="Black"), "Female_Black", "Others")</f>
        <v>Others</v>
      </c>
    </row>
    <row r="47" spans="1:17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7">
        <v>40486</v>
      </c>
      <c r="J47" s="1">
        <v>92952</v>
      </c>
      <c r="K47" s="2">
        <v>0</v>
      </c>
      <c r="L47" t="s">
        <v>19</v>
      </c>
      <c r="M47" t="s">
        <v>63</v>
      </c>
      <c r="N47" s="7" t="s">
        <v>21</v>
      </c>
      <c r="O47" s="1">
        <f>TBL_Employees[[#This Row],[Annual Salary]]+TBL_Employees[[#This Row],[Bonus %]]*TBL_Employees[[#This Row],[Annual Salary]]</f>
        <v>92952</v>
      </c>
      <c r="P47" t="str">
        <f>IF(AND(TBL_Employees[[#This Row],[Department]]="IT",TBL_Employees[[#This Row],[Gender]]="Female"),"Yes","No")</f>
        <v>No</v>
      </c>
      <c r="Q47" t="str">
        <f>IF(AND(TBL_Employees[[#This Row],[Gender]]="Female",TBL_Employees[[#This Row],[Ethnicity]]="Black"), "Female_Black", "Others")</f>
        <v>Others</v>
      </c>
    </row>
    <row r="48" spans="1:17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7">
        <v>41353</v>
      </c>
      <c r="J48" s="1">
        <v>79921</v>
      </c>
      <c r="K48" s="2">
        <v>0.05</v>
      </c>
      <c r="L48" t="s">
        <v>19</v>
      </c>
      <c r="M48" t="s">
        <v>25</v>
      </c>
      <c r="N48" s="7" t="s">
        <v>21</v>
      </c>
      <c r="O48" s="1">
        <f>TBL_Employees[[#This Row],[Annual Salary]]+TBL_Employees[[#This Row],[Bonus %]]*TBL_Employees[[#This Row],[Annual Salary]]</f>
        <v>83917.05</v>
      </c>
      <c r="P48" t="str">
        <f>IF(AND(TBL_Employees[[#This Row],[Department]]="IT",TBL_Employees[[#This Row],[Gender]]="Female"),"Yes","No")</f>
        <v>No</v>
      </c>
      <c r="Q48" t="str">
        <f>IF(AND(TBL_Employees[[#This Row],[Gender]]="Female",TBL_Employees[[#This Row],[Ethnicity]]="Black"), "Female_Black", "Others")</f>
        <v>Others</v>
      </c>
    </row>
    <row r="49" spans="1:17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7">
        <v>40076</v>
      </c>
      <c r="J49" s="1">
        <v>167199</v>
      </c>
      <c r="K49" s="2">
        <v>0.2</v>
      </c>
      <c r="L49" t="s">
        <v>19</v>
      </c>
      <c r="M49" t="s">
        <v>63</v>
      </c>
      <c r="N49" s="7" t="s">
        <v>21</v>
      </c>
      <c r="O49" s="1">
        <f>TBL_Employees[[#This Row],[Annual Salary]]+TBL_Employees[[#This Row],[Bonus %]]*TBL_Employees[[#This Row],[Annual Salary]]</f>
        <v>200638.8</v>
      </c>
      <c r="P49" t="str">
        <f>IF(AND(TBL_Employees[[#This Row],[Department]]="IT",TBL_Employees[[#This Row],[Gender]]="Female"),"Yes","No")</f>
        <v>Yes</v>
      </c>
      <c r="Q49" t="str">
        <f>IF(AND(TBL_Employees[[#This Row],[Gender]]="Female",TBL_Employees[[#This Row],[Ethnicity]]="Black"), "Female_Black", "Others")</f>
        <v>Female_Black</v>
      </c>
    </row>
    <row r="50" spans="1:17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7">
        <v>41199</v>
      </c>
      <c r="J50" s="1">
        <v>71476</v>
      </c>
      <c r="K50" s="2">
        <v>0</v>
      </c>
      <c r="L50" t="s">
        <v>19</v>
      </c>
      <c r="M50" t="s">
        <v>39</v>
      </c>
      <c r="N50" s="7" t="s">
        <v>21</v>
      </c>
      <c r="O50" s="1">
        <f>TBL_Employees[[#This Row],[Annual Salary]]+TBL_Employees[[#This Row],[Bonus %]]*TBL_Employees[[#This Row],[Annual Salary]]</f>
        <v>71476</v>
      </c>
      <c r="P50" t="str">
        <f>IF(AND(TBL_Employees[[#This Row],[Department]]="IT",TBL_Employees[[#This Row],[Gender]]="Female"),"Yes","No")</f>
        <v>No</v>
      </c>
      <c r="Q50" t="str">
        <f>IF(AND(TBL_Employees[[#This Row],[Gender]]="Female",TBL_Employees[[#This Row],[Ethnicity]]="Black"), "Female_Black", "Others")</f>
        <v>Others</v>
      </c>
    </row>
    <row r="51" spans="1:17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7">
        <v>41941</v>
      </c>
      <c r="J51" s="1">
        <v>189420</v>
      </c>
      <c r="K51" s="2">
        <v>0.2</v>
      </c>
      <c r="L51" t="s">
        <v>19</v>
      </c>
      <c r="M51" t="s">
        <v>63</v>
      </c>
      <c r="N51" s="7" t="s">
        <v>21</v>
      </c>
      <c r="O51" s="1">
        <f>TBL_Employees[[#This Row],[Annual Salary]]+TBL_Employees[[#This Row],[Bonus %]]*TBL_Employees[[#This Row],[Annual Salary]]</f>
        <v>227304</v>
      </c>
      <c r="P51" t="str">
        <f>IF(AND(TBL_Employees[[#This Row],[Department]]="IT",TBL_Employees[[#This Row],[Gender]]="Female"),"Yes","No")</f>
        <v>No</v>
      </c>
      <c r="Q51" t="str">
        <f>IF(AND(TBL_Employees[[#This Row],[Gender]]="Female",TBL_Employees[[#This Row],[Ethnicity]]="Black"), "Female_Black", "Others")</f>
        <v>Others</v>
      </c>
    </row>
    <row r="52" spans="1:17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7">
        <v>37184</v>
      </c>
      <c r="J52" s="1">
        <v>64057</v>
      </c>
      <c r="K52" s="2">
        <v>0</v>
      </c>
      <c r="L52" t="s">
        <v>19</v>
      </c>
      <c r="M52" t="s">
        <v>39</v>
      </c>
      <c r="N52" s="7" t="s">
        <v>21</v>
      </c>
      <c r="O52" s="1">
        <f>TBL_Employees[[#This Row],[Annual Salary]]+TBL_Employees[[#This Row],[Bonus %]]*TBL_Employees[[#This Row],[Annual Salary]]</f>
        <v>64057</v>
      </c>
      <c r="P52" t="str">
        <f>IF(AND(TBL_Employees[[#This Row],[Department]]="IT",TBL_Employees[[#This Row],[Gender]]="Female"),"Yes","No")</f>
        <v>No</v>
      </c>
      <c r="Q52" t="str">
        <f>IF(AND(TBL_Employees[[#This Row],[Gender]]="Female",TBL_Employees[[#This Row],[Ethnicity]]="Black"), "Female_Black", "Others")</f>
        <v>Others</v>
      </c>
    </row>
    <row r="53" spans="1:17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7">
        <v>44460</v>
      </c>
      <c r="J53" s="1">
        <v>68728</v>
      </c>
      <c r="K53" s="2">
        <v>0</v>
      </c>
      <c r="L53" t="s">
        <v>19</v>
      </c>
      <c r="M53" t="s">
        <v>39</v>
      </c>
      <c r="N53" s="7" t="s">
        <v>21</v>
      </c>
      <c r="O53" s="1">
        <f>TBL_Employees[[#This Row],[Annual Salary]]+TBL_Employees[[#This Row],[Bonus %]]*TBL_Employees[[#This Row],[Annual Salary]]</f>
        <v>68728</v>
      </c>
      <c r="P53" t="str">
        <f>IF(AND(TBL_Employees[[#This Row],[Department]]="IT",TBL_Employees[[#This Row],[Gender]]="Female"),"Yes","No")</f>
        <v>No</v>
      </c>
      <c r="Q53" t="str">
        <f>IF(AND(TBL_Employees[[#This Row],[Gender]]="Female",TBL_Employees[[#This Row],[Ethnicity]]="Black"), "Female_Black", "Others")</f>
        <v>Female_Black</v>
      </c>
    </row>
    <row r="54" spans="1:17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7">
        <v>44379</v>
      </c>
      <c r="J54" s="1">
        <v>125633</v>
      </c>
      <c r="K54" s="2">
        <v>0.11</v>
      </c>
      <c r="L54" t="s">
        <v>33</v>
      </c>
      <c r="M54" t="s">
        <v>60</v>
      </c>
      <c r="N54" s="7" t="s">
        <v>21</v>
      </c>
      <c r="O54" s="1">
        <f>TBL_Employees[[#This Row],[Annual Salary]]+TBL_Employees[[#This Row],[Bonus %]]*TBL_Employees[[#This Row],[Annual Salary]]</f>
        <v>139452.63</v>
      </c>
      <c r="P54" t="str">
        <f>IF(AND(TBL_Employees[[#This Row],[Department]]="IT",TBL_Employees[[#This Row],[Gender]]="Female"),"Yes","No")</f>
        <v>Yes</v>
      </c>
      <c r="Q54" t="str">
        <f>IF(AND(TBL_Employees[[#This Row],[Gender]]="Female",TBL_Employees[[#This Row],[Ethnicity]]="Black"), "Female_Black", "Others")</f>
        <v>Others</v>
      </c>
    </row>
    <row r="55" spans="1:17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7">
        <v>40678</v>
      </c>
      <c r="J55" s="1">
        <v>66889</v>
      </c>
      <c r="K55" s="2">
        <v>0</v>
      </c>
      <c r="L55" t="s">
        <v>19</v>
      </c>
      <c r="M55" t="s">
        <v>29</v>
      </c>
      <c r="N55" s="7" t="s">
        <v>21</v>
      </c>
      <c r="O55" s="1">
        <f>TBL_Employees[[#This Row],[Annual Salary]]+TBL_Employees[[#This Row],[Bonus %]]*TBL_Employees[[#This Row],[Annual Salary]]</f>
        <v>66889</v>
      </c>
      <c r="P55" t="str">
        <f>IF(AND(TBL_Employees[[#This Row],[Department]]="IT",TBL_Employees[[#This Row],[Gender]]="Female"),"Yes","No")</f>
        <v>No</v>
      </c>
      <c r="Q55" t="str">
        <f>IF(AND(TBL_Employees[[#This Row],[Gender]]="Female",TBL_Employees[[#This Row],[Ethnicity]]="Black"), "Female_Black", "Others")</f>
        <v>Others</v>
      </c>
    </row>
    <row r="56" spans="1:17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7">
        <v>42276</v>
      </c>
      <c r="J56" s="1">
        <v>178700</v>
      </c>
      <c r="K56" s="2">
        <v>0.28999999999999998</v>
      </c>
      <c r="L56" t="s">
        <v>19</v>
      </c>
      <c r="M56" t="s">
        <v>63</v>
      </c>
      <c r="N56" s="7" t="s">
        <v>21</v>
      </c>
      <c r="O56" s="1">
        <f>TBL_Employees[[#This Row],[Annual Salary]]+TBL_Employees[[#This Row],[Bonus %]]*TBL_Employees[[#This Row],[Annual Salary]]</f>
        <v>230523</v>
      </c>
      <c r="P56" t="str">
        <f>IF(AND(TBL_Employees[[#This Row],[Department]]="IT",TBL_Employees[[#This Row],[Gender]]="Female"),"Yes","No")</f>
        <v>No</v>
      </c>
      <c r="Q56" t="str">
        <f>IF(AND(TBL_Employees[[#This Row],[Gender]]="Female",TBL_Employees[[#This Row],[Ethnicity]]="Black"), "Female_Black", "Others")</f>
        <v>Others</v>
      </c>
    </row>
    <row r="57" spans="1:17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7">
        <v>43456</v>
      </c>
      <c r="J57" s="1">
        <v>83990</v>
      </c>
      <c r="K57" s="2">
        <v>0</v>
      </c>
      <c r="L57" t="s">
        <v>19</v>
      </c>
      <c r="M57" t="s">
        <v>20</v>
      </c>
      <c r="N57" s="7" t="s">
        <v>21</v>
      </c>
      <c r="O57" s="1">
        <f>TBL_Employees[[#This Row],[Annual Salary]]+TBL_Employees[[#This Row],[Bonus %]]*TBL_Employees[[#This Row],[Annual Salary]]</f>
        <v>83990</v>
      </c>
      <c r="P57" t="str">
        <f>IF(AND(TBL_Employees[[#This Row],[Department]]="IT",TBL_Employees[[#This Row],[Gender]]="Female"),"Yes","No")</f>
        <v>No</v>
      </c>
      <c r="Q57" t="str">
        <f>IF(AND(TBL_Employees[[#This Row],[Gender]]="Female",TBL_Employees[[#This Row],[Ethnicity]]="Black"), "Female_Black", "Others")</f>
        <v>Others</v>
      </c>
    </row>
    <row r="58" spans="1:17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7">
        <v>38696</v>
      </c>
      <c r="J58" s="1">
        <v>102043</v>
      </c>
      <c r="K58" s="2">
        <v>0</v>
      </c>
      <c r="L58" t="s">
        <v>19</v>
      </c>
      <c r="M58" t="s">
        <v>20</v>
      </c>
      <c r="N58" s="7" t="s">
        <v>21</v>
      </c>
      <c r="O58" s="1">
        <f>TBL_Employees[[#This Row],[Annual Salary]]+TBL_Employees[[#This Row],[Bonus %]]*TBL_Employees[[#This Row],[Annual Salary]]</f>
        <v>102043</v>
      </c>
      <c r="P58" t="str">
        <f>IF(AND(TBL_Employees[[#This Row],[Department]]="IT",TBL_Employees[[#This Row],[Gender]]="Female"),"Yes","No")</f>
        <v>No</v>
      </c>
      <c r="Q58" t="str">
        <f>IF(AND(TBL_Employees[[#This Row],[Gender]]="Female",TBL_Employees[[#This Row],[Ethnicity]]="Black"), "Female_Black", "Others")</f>
        <v>Others</v>
      </c>
    </row>
    <row r="59" spans="1:17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7">
        <v>37041</v>
      </c>
      <c r="J59" s="1">
        <v>90678</v>
      </c>
      <c r="K59" s="2">
        <v>0</v>
      </c>
      <c r="L59" t="s">
        <v>19</v>
      </c>
      <c r="M59" t="s">
        <v>29</v>
      </c>
      <c r="N59" s="7" t="s">
        <v>21</v>
      </c>
      <c r="O59" s="1">
        <f>TBL_Employees[[#This Row],[Annual Salary]]+TBL_Employees[[#This Row],[Bonus %]]*TBL_Employees[[#This Row],[Annual Salary]]</f>
        <v>90678</v>
      </c>
      <c r="P59" t="str">
        <f>IF(AND(TBL_Employees[[#This Row],[Department]]="IT",TBL_Employees[[#This Row],[Gender]]="Female"),"Yes","No")</f>
        <v>No</v>
      </c>
      <c r="Q59" t="str">
        <f>IF(AND(TBL_Employees[[#This Row],[Gender]]="Female",TBL_Employees[[#This Row],[Ethnicity]]="Black"), "Female_Black", "Others")</f>
        <v>Others</v>
      </c>
    </row>
    <row r="60" spans="1:17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7">
        <v>39681</v>
      </c>
      <c r="J60" s="1">
        <v>59067</v>
      </c>
      <c r="K60" s="2">
        <v>0</v>
      </c>
      <c r="L60" t="s">
        <v>19</v>
      </c>
      <c r="M60" t="s">
        <v>45</v>
      </c>
      <c r="N60" s="7" t="s">
        <v>21</v>
      </c>
      <c r="O60" s="1">
        <f>TBL_Employees[[#This Row],[Annual Salary]]+TBL_Employees[[#This Row],[Bonus %]]*TBL_Employees[[#This Row],[Annual Salary]]</f>
        <v>59067</v>
      </c>
      <c r="P60" t="str">
        <f>IF(AND(TBL_Employees[[#This Row],[Department]]="IT",TBL_Employees[[#This Row],[Gender]]="Female"),"Yes","No")</f>
        <v>No</v>
      </c>
      <c r="Q60" t="str">
        <f>IF(AND(TBL_Employees[[#This Row],[Gender]]="Female",TBL_Employees[[#This Row],[Ethnicity]]="Black"), "Female_Black", "Others")</f>
        <v>Female_Black</v>
      </c>
    </row>
    <row r="61" spans="1:17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7">
        <v>44266</v>
      </c>
      <c r="J61" s="1">
        <v>135062</v>
      </c>
      <c r="K61" s="2">
        <v>0.15</v>
      </c>
      <c r="L61" t="s">
        <v>33</v>
      </c>
      <c r="M61" t="s">
        <v>34</v>
      </c>
      <c r="N61" s="7" t="s">
        <v>21</v>
      </c>
      <c r="O61" s="1">
        <f>TBL_Employees[[#This Row],[Annual Salary]]+TBL_Employees[[#This Row],[Bonus %]]*TBL_Employees[[#This Row],[Annual Salary]]</f>
        <v>155321.29999999999</v>
      </c>
      <c r="P61" t="str">
        <f>IF(AND(TBL_Employees[[#This Row],[Department]]="IT",TBL_Employees[[#This Row],[Gender]]="Female"),"Yes","No")</f>
        <v>No</v>
      </c>
      <c r="Q61" t="str">
        <f>IF(AND(TBL_Employees[[#This Row],[Gender]]="Female",TBL_Employees[[#This Row],[Ethnicity]]="Black"), "Female_Black", "Others")</f>
        <v>Others</v>
      </c>
    </row>
    <row r="62" spans="1:17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7">
        <v>38945</v>
      </c>
      <c r="J62" s="1">
        <v>159044</v>
      </c>
      <c r="K62" s="2">
        <v>0.1</v>
      </c>
      <c r="L62" t="s">
        <v>52</v>
      </c>
      <c r="M62" t="s">
        <v>81</v>
      </c>
      <c r="N62" s="7" t="s">
        <v>21</v>
      </c>
      <c r="O62" s="1">
        <f>TBL_Employees[[#This Row],[Annual Salary]]+TBL_Employees[[#This Row],[Bonus %]]*TBL_Employees[[#This Row],[Annual Salary]]</f>
        <v>174948.4</v>
      </c>
      <c r="P62" t="str">
        <f>IF(AND(TBL_Employees[[#This Row],[Department]]="IT",TBL_Employees[[#This Row],[Gender]]="Female"),"Yes","No")</f>
        <v>Yes</v>
      </c>
      <c r="Q62" t="str">
        <f>IF(AND(TBL_Employees[[#This Row],[Gender]]="Female",TBL_Employees[[#This Row],[Ethnicity]]="Black"), "Female_Black", "Others")</f>
        <v>Others</v>
      </c>
    </row>
    <row r="63" spans="1:17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7">
        <v>43467</v>
      </c>
      <c r="J63" s="1">
        <v>74691</v>
      </c>
      <c r="K63" s="2">
        <v>0</v>
      </c>
      <c r="L63" t="s">
        <v>52</v>
      </c>
      <c r="M63" t="s">
        <v>81</v>
      </c>
      <c r="N63" s="7">
        <v>44020</v>
      </c>
      <c r="O63" s="1">
        <f>TBL_Employees[[#This Row],[Annual Salary]]+TBL_Employees[[#This Row],[Bonus %]]*TBL_Employees[[#This Row],[Annual Salary]]</f>
        <v>74691</v>
      </c>
      <c r="P63" t="str">
        <f>IF(AND(TBL_Employees[[#This Row],[Department]]="IT",TBL_Employees[[#This Row],[Gender]]="Female"),"Yes","No")</f>
        <v>No</v>
      </c>
      <c r="Q63" t="str">
        <f>IF(AND(TBL_Employees[[#This Row],[Gender]]="Female",TBL_Employees[[#This Row],[Ethnicity]]="Black"), "Female_Black", "Others")</f>
        <v>Others</v>
      </c>
    </row>
    <row r="64" spans="1:17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7">
        <v>39800</v>
      </c>
      <c r="J64" s="1">
        <v>92753</v>
      </c>
      <c r="K64" s="2">
        <v>0.13</v>
      </c>
      <c r="L64" t="s">
        <v>19</v>
      </c>
      <c r="M64" t="s">
        <v>25</v>
      </c>
      <c r="N64" s="7">
        <v>44371</v>
      </c>
      <c r="O64" s="1">
        <f>TBL_Employees[[#This Row],[Annual Salary]]+TBL_Employees[[#This Row],[Bonus %]]*TBL_Employees[[#This Row],[Annual Salary]]</f>
        <v>104810.89</v>
      </c>
      <c r="P64" t="str">
        <f>IF(AND(TBL_Employees[[#This Row],[Department]]="IT",TBL_Employees[[#This Row],[Gender]]="Female"),"Yes","No")</f>
        <v>No</v>
      </c>
      <c r="Q64" t="str">
        <f>IF(AND(TBL_Employees[[#This Row],[Gender]]="Female",TBL_Employees[[#This Row],[Ethnicity]]="Black"), "Female_Black", "Others")</f>
        <v>Others</v>
      </c>
    </row>
    <row r="65" spans="1:17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7">
        <v>41493</v>
      </c>
      <c r="J65" s="1">
        <v>236946</v>
      </c>
      <c r="K65" s="2">
        <v>0.37</v>
      </c>
      <c r="L65" t="s">
        <v>19</v>
      </c>
      <c r="M65" t="s">
        <v>63</v>
      </c>
      <c r="N65" s="7" t="s">
        <v>21</v>
      </c>
      <c r="O65" s="1">
        <f>TBL_Employees[[#This Row],[Annual Salary]]+TBL_Employees[[#This Row],[Bonus %]]*TBL_Employees[[#This Row],[Annual Salary]]</f>
        <v>324616.02</v>
      </c>
      <c r="P65" t="str">
        <f>IF(AND(TBL_Employees[[#This Row],[Department]]="IT",TBL_Employees[[#This Row],[Gender]]="Female"),"Yes","No")</f>
        <v>No</v>
      </c>
      <c r="Q65" t="str">
        <f>IF(AND(TBL_Employees[[#This Row],[Gender]]="Female",TBL_Employees[[#This Row],[Ethnicity]]="Black"), "Female_Black", "Others")</f>
        <v>Others</v>
      </c>
    </row>
    <row r="66" spans="1:17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7">
        <v>44435</v>
      </c>
      <c r="J66" s="1">
        <v>48906</v>
      </c>
      <c r="K66" s="2">
        <v>0</v>
      </c>
      <c r="L66" t="s">
        <v>19</v>
      </c>
      <c r="M66" t="s">
        <v>45</v>
      </c>
      <c r="N66" s="7" t="s">
        <v>21</v>
      </c>
      <c r="O66" s="1">
        <f>TBL_Employees[[#This Row],[Annual Salary]]+TBL_Employees[[#This Row],[Bonus %]]*TBL_Employees[[#This Row],[Annual Salary]]</f>
        <v>48906</v>
      </c>
      <c r="P66" t="str">
        <f>IF(AND(TBL_Employees[[#This Row],[Department]]="IT",TBL_Employees[[#This Row],[Gender]]="Female"),"Yes","No")</f>
        <v>No</v>
      </c>
      <c r="Q66" t="str">
        <f>IF(AND(TBL_Employees[[#This Row],[Gender]]="Female",TBL_Employees[[#This Row],[Ethnicity]]="Black"), "Female_Black", "Others")</f>
        <v>Female_Black</v>
      </c>
    </row>
    <row r="67" spans="1:17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7">
        <v>39474</v>
      </c>
      <c r="J67" s="1">
        <v>80024</v>
      </c>
      <c r="K67" s="2">
        <v>0</v>
      </c>
      <c r="L67" t="s">
        <v>19</v>
      </c>
      <c r="M67" t="s">
        <v>29</v>
      </c>
      <c r="N67" s="7" t="s">
        <v>21</v>
      </c>
      <c r="O67" s="1">
        <f>TBL_Employees[[#This Row],[Annual Salary]]+TBL_Employees[[#This Row],[Bonus %]]*TBL_Employees[[#This Row],[Annual Salary]]</f>
        <v>80024</v>
      </c>
      <c r="P67" t="str">
        <f>IF(AND(TBL_Employees[[#This Row],[Department]]="IT",TBL_Employees[[#This Row],[Gender]]="Female"),"Yes","No")</f>
        <v>No</v>
      </c>
      <c r="Q67" t="str">
        <f>IF(AND(TBL_Employees[[#This Row],[Gender]]="Female",TBL_Employees[[#This Row],[Ethnicity]]="Black"), "Female_Black", "Others")</f>
        <v>Others</v>
      </c>
    </row>
    <row r="68" spans="1:17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7">
        <v>40109</v>
      </c>
      <c r="J68" s="1">
        <v>54415</v>
      </c>
      <c r="K68" s="2">
        <v>0</v>
      </c>
      <c r="L68" t="s">
        <v>19</v>
      </c>
      <c r="M68" t="s">
        <v>63</v>
      </c>
      <c r="N68" s="7">
        <v>41661</v>
      </c>
      <c r="O68" s="1">
        <f>TBL_Employees[[#This Row],[Annual Salary]]+TBL_Employees[[#This Row],[Bonus %]]*TBL_Employees[[#This Row],[Annual Salary]]</f>
        <v>54415</v>
      </c>
      <c r="P68" t="str">
        <f>IF(AND(TBL_Employees[[#This Row],[Department]]="IT",TBL_Employees[[#This Row],[Gender]]="Female"),"Yes","No")</f>
        <v>No</v>
      </c>
      <c r="Q68" t="str">
        <f>IF(AND(TBL_Employees[[#This Row],[Gender]]="Female",TBL_Employees[[#This Row],[Ethnicity]]="Black"), "Female_Black", "Others")</f>
        <v>Others</v>
      </c>
    </row>
    <row r="69" spans="1:17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7">
        <v>42484</v>
      </c>
      <c r="J69" s="1">
        <v>120341</v>
      </c>
      <c r="K69" s="2">
        <v>7.0000000000000007E-2</v>
      </c>
      <c r="L69" t="s">
        <v>19</v>
      </c>
      <c r="M69" t="s">
        <v>63</v>
      </c>
      <c r="N69" s="7" t="s">
        <v>21</v>
      </c>
      <c r="O69" s="1">
        <f>TBL_Employees[[#This Row],[Annual Salary]]+TBL_Employees[[#This Row],[Bonus %]]*TBL_Employees[[#This Row],[Annual Salary]]</f>
        <v>128764.87</v>
      </c>
      <c r="P69" t="str">
        <f>IF(AND(TBL_Employees[[#This Row],[Department]]="IT",TBL_Employees[[#This Row],[Gender]]="Female"),"Yes","No")</f>
        <v>No</v>
      </c>
      <c r="Q69" t="str">
        <f>IF(AND(TBL_Employees[[#This Row],[Gender]]="Female",TBL_Employees[[#This Row],[Ethnicity]]="Black"), "Female_Black", "Others")</f>
        <v>Others</v>
      </c>
    </row>
    <row r="70" spans="1:17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7">
        <v>40029</v>
      </c>
      <c r="J70" s="1">
        <v>208415</v>
      </c>
      <c r="K70" s="2">
        <v>0.35</v>
      </c>
      <c r="L70" t="s">
        <v>19</v>
      </c>
      <c r="M70" t="s">
        <v>63</v>
      </c>
      <c r="N70" s="7" t="s">
        <v>21</v>
      </c>
      <c r="O70" s="1">
        <f>TBL_Employees[[#This Row],[Annual Salary]]+TBL_Employees[[#This Row],[Bonus %]]*TBL_Employees[[#This Row],[Annual Salary]]</f>
        <v>281360.25</v>
      </c>
      <c r="P70" t="str">
        <f>IF(AND(TBL_Employees[[#This Row],[Department]]="IT",TBL_Employees[[#This Row],[Gender]]="Female"),"Yes","No")</f>
        <v>Yes</v>
      </c>
      <c r="Q70" t="str">
        <f>IF(AND(TBL_Employees[[#This Row],[Gender]]="Female",TBL_Employees[[#This Row],[Ethnicity]]="Black"), "Female_Black", "Others")</f>
        <v>Others</v>
      </c>
    </row>
    <row r="71" spans="1:17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t="s">
        <v>19</v>
      </c>
      <c r="M71" t="s">
        <v>63</v>
      </c>
      <c r="N71" s="7" t="s">
        <v>21</v>
      </c>
      <c r="O71" s="1">
        <f>TBL_Employees[[#This Row],[Annual Salary]]+TBL_Employees[[#This Row],[Bonus %]]*TBL_Employees[[#This Row],[Annual Salary]]</f>
        <v>78844</v>
      </c>
      <c r="P71" t="str">
        <f>IF(AND(TBL_Employees[[#This Row],[Department]]="IT",TBL_Employees[[#This Row],[Gender]]="Female"),"Yes","No")</f>
        <v>Yes</v>
      </c>
      <c r="Q71" t="str">
        <f>IF(AND(TBL_Employees[[#This Row],[Gender]]="Female",TBL_Employees[[#This Row],[Ethnicity]]="Black"), "Female_Black", "Others")</f>
        <v>Others</v>
      </c>
    </row>
    <row r="72" spans="1:17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7">
        <v>37399</v>
      </c>
      <c r="J72" s="1">
        <v>76354</v>
      </c>
      <c r="K72" s="2">
        <v>0</v>
      </c>
      <c r="L72" t="s">
        <v>19</v>
      </c>
      <c r="M72" t="s">
        <v>39</v>
      </c>
      <c r="N72" s="7">
        <v>44465</v>
      </c>
      <c r="O72" s="1">
        <f>TBL_Employees[[#This Row],[Annual Salary]]+TBL_Employees[[#This Row],[Bonus %]]*TBL_Employees[[#This Row],[Annual Salary]]</f>
        <v>76354</v>
      </c>
      <c r="P72" t="str">
        <f>IF(AND(TBL_Employees[[#This Row],[Department]]="IT",TBL_Employees[[#This Row],[Gender]]="Female"),"Yes","No")</f>
        <v>No</v>
      </c>
      <c r="Q72" t="str">
        <f>IF(AND(TBL_Employees[[#This Row],[Gender]]="Female",TBL_Employees[[#This Row],[Ethnicity]]="Black"), "Female_Black", "Others")</f>
        <v>Others</v>
      </c>
    </row>
    <row r="73" spans="1:17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7">
        <v>43493</v>
      </c>
      <c r="J73" s="1">
        <v>165927</v>
      </c>
      <c r="K73" s="2">
        <v>0.2</v>
      </c>
      <c r="L73" t="s">
        <v>19</v>
      </c>
      <c r="M73" t="s">
        <v>39</v>
      </c>
      <c r="N73" s="7" t="s">
        <v>21</v>
      </c>
      <c r="O73" s="1">
        <f>TBL_Employees[[#This Row],[Annual Salary]]+TBL_Employees[[#This Row],[Bonus %]]*TBL_Employees[[#This Row],[Annual Salary]]</f>
        <v>199112.4</v>
      </c>
      <c r="P73" t="str">
        <f>IF(AND(TBL_Employees[[#This Row],[Department]]="IT",TBL_Employees[[#This Row],[Gender]]="Female"),"Yes","No")</f>
        <v>No</v>
      </c>
      <c r="Q73" t="str">
        <f>IF(AND(TBL_Employees[[#This Row],[Gender]]="Female",TBL_Employees[[#This Row],[Ethnicity]]="Black"), "Female_Black", "Others")</f>
        <v>Others</v>
      </c>
    </row>
    <row r="74" spans="1:17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7">
        <v>44516</v>
      </c>
      <c r="J74" s="1">
        <v>109812</v>
      </c>
      <c r="K74" s="2">
        <v>0.09</v>
      </c>
      <c r="L74" t="s">
        <v>52</v>
      </c>
      <c r="M74" t="s">
        <v>81</v>
      </c>
      <c r="N74" s="7" t="s">
        <v>21</v>
      </c>
      <c r="O74" s="1">
        <f>TBL_Employees[[#This Row],[Annual Salary]]+TBL_Employees[[#This Row],[Bonus %]]*TBL_Employees[[#This Row],[Annual Salary]]</f>
        <v>119695.08</v>
      </c>
      <c r="P74" t="str">
        <f>IF(AND(TBL_Employees[[#This Row],[Department]]="IT",TBL_Employees[[#This Row],[Gender]]="Female"),"Yes","No")</f>
        <v>No</v>
      </c>
      <c r="Q74" t="str">
        <f>IF(AND(TBL_Employees[[#This Row],[Gender]]="Female",TBL_Employees[[#This Row],[Ethnicity]]="Black"), "Female_Black", "Others")</f>
        <v>Others</v>
      </c>
    </row>
    <row r="75" spans="1:17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7">
        <v>36041</v>
      </c>
      <c r="J75" s="1">
        <v>86299</v>
      </c>
      <c r="K75" s="2">
        <v>0</v>
      </c>
      <c r="L75" t="s">
        <v>19</v>
      </c>
      <c r="M75" t="s">
        <v>63</v>
      </c>
      <c r="N75" s="7" t="s">
        <v>21</v>
      </c>
      <c r="O75" s="1">
        <f>TBL_Employees[[#This Row],[Annual Salary]]+TBL_Employees[[#This Row],[Bonus %]]*TBL_Employees[[#This Row],[Annual Salary]]</f>
        <v>86299</v>
      </c>
      <c r="P75" t="str">
        <f>IF(AND(TBL_Employees[[#This Row],[Department]]="IT",TBL_Employees[[#This Row],[Gender]]="Female"),"Yes","No")</f>
        <v>No</v>
      </c>
      <c r="Q75" t="str">
        <f>IF(AND(TBL_Employees[[#This Row],[Gender]]="Female",TBL_Employees[[#This Row],[Ethnicity]]="Black"), "Female_Black", "Others")</f>
        <v>Others</v>
      </c>
    </row>
    <row r="76" spans="1:17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7">
        <v>37828</v>
      </c>
      <c r="J76" s="1">
        <v>206624</v>
      </c>
      <c r="K76" s="2">
        <v>0.4</v>
      </c>
      <c r="L76" t="s">
        <v>52</v>
      </c>
      <c r="M76" t="s">
        <v>53</v>
      </c>
      <c r="N76" s="7" t="s">
        <v>21</v>
      </c>
      <c r="O76" s="1">
        <f>TBL_Employees[[#This Row],[Annual Salary]]+TBL_Employees[[#This Row],[Bonus %]]*TBL_Employees[[#This Row],[Annual Salary]]</f>
        <v>289273.59999999998</v>
      </c>
      <c r="P76" t="str">
        <f>IF(AND(TBL_Employees[[#This Row],[Department]]="IT",TBL_Employees[[#This Row],[Gender]]="Female"),"Yes","No")</f>
        <v>No</v>
      </c>
      <c r="Q76" t="str">
        <f>IF(AND(TBL_Employees[[#This Row],[Gender]]="Female",TBL_Employees[[#This Row],[Ethnicity]]="Black"), "Female_Black", "Others")</f>
        <v>Others</v>
      </c>
    </row>
    <row r="77" spans="1:17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7">
        <v>40535</v>
      </c>
      <c r="J77" s="1">
        <v>53215</v>
      </c>
      <c r="K77" s="2">
        <v>0</v>
      </c>
      <c r="L77" t="s">
        <v>52</v>
      </c>
      <c r="M77" t="s">
        <v>53</v>
      </c>
      <c r="N77" s="7">
        <v>41725</v>
      </c>
      <c r="O77" s="1">
        <f>TBL_Employees[[#This Row],[Annual Salary]]+TBL_Employees[[#This Row],[Bonus %]]*TBL_Employees[[#This Row],[Annual Salary]]</f>
        <v>53215</v>
      </c>
      <c r="P77" t="str">
        <f>IF(AND(TBL_Employees[[#This Row],[Department]]="IT",TBL_Employees[[#This Row],[Gender]]="Female"),"Yes","No")</f>
        <v>No</v>
      </c>
      <c r="Q77" t="str">
        <f>IF(AND(TBL_Employees[[#This Row],[Gender]]="Female",TBL_Employees[[#This Row],[Ethnicity]]="Black"), "Female_Black", "Others")</f>
        <v>Others</v>
      </c>
    </row>
    <row r="78" spans="1:17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7">
        <v>42877</v>
      </c>
      <c r="J78" s="1">
        <v>86858</v>
      </c>
      <c r="K78" s="2">
        <v>0</v>
      </c>
      <c r="L78" t="s">
        <v>33</v>
      </c>
      <c r="M78" t="s">
        <v>80</v>
      </c>
      <c r="N78" s="7">
        <v>43016</v>
      </c>
      <c r="O78" s="1">
        <f>TBL_Employees[[#This Row],[Annual Salary]]+TBL_Employees[[#This Row],[Bonus %]]*TBL_Employees[[#This Row],[Annual Salary]]</f>
        <v>86858</v>
      </c>
      <c r="P78" t="str">
        <f>IF(AND(TBL_Employees[[#This Row],[Department]]="IT",TBL_Employees[[#This Row],[Gender]]="Female"),"Yes","No")</f>
        <v>No</v>
      </c>
      <c r="Q78" t="str">
        <f>IF(AND(TBL_Employees[[#This Row],[Gender]]="Female",TBL_Employees[[#This Row],[Ethnicity]]="Black"), "Female_Black", "Others")</f>
        <v>Others</v>
      </c>
    </row>
    <row r="79" spans="1:17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7">
        <v>39265</v>
      </c>
      <c r="J79" s="1">
        <v>93971</v>
      </c>
      <c r="K79" s="2">
        <v>0.08</v>
      </c>
      <c r="L79" t="s">
        <v>33</v>
      </c>
      <c r="M79" t="s">
        <v>80</v>
      </c>
      <c r="N79" s="7" t="s">
        <v>21</v>
      </c>
      <c r="O79" s="1">
        <f>TBL_Employees[[#This Row],[Annual Salary]]+TBL_Employees[[#This Row],[Bonus %]]*TBL_Employees[[#This Row],[Annual Salary]]</f>
        <v>101488.68</v>
      </c>
      <c r="P79" t="str">
        <f>IF(AND(TBL_Employees[[#This Row],[Department]]="IT",TBL_Employees[[#This Row],[Gender]]="Female"),"Yes","No")</f>
        <v>No</v>
      </c>
      <c r="Q79" t="str">
        <f>IF(AND(TBL_Employees[[#This Row],[Gender]]="Female",TBL_Employees[[#This Row],[Ethnicity]]="Black"), "Female_Black", "Others")</f>
        <v>Others</v>
      </c>
    </row>
    <row r="80" spans="1:17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7">
        <v>42182</v>
      </c>
      <c r="J80" s="1">
        <v>57008</v>
      </c>
      <c r="K80" s="2">
        <v>0</v>
      </c>
      <c r="L80" t="s">
        <v>19</v>
      </c>
      <c r="M80" t="s">
        <v>39</v>
      </c>
      <c r="N80" s="7" t="s">
        <v>21</v>
      </c>
      <c r="O80" s="1">
        <f>TBL_Employees[[#This Row],[Annual Salary]]+TBL_Employees[[#This Row],[Bonus %]]*TBL_Employees[[#This Row],[Annual Salary]]</f>
        <v>57008</v>
      </c>
      <c r="P80" t="str">
        <f>IF(AND(TBL_Employees[[#This Row],[Department]]="IT",TBL_Employees[[#This Row],[Gender]]="Female"),"Yes","No")</f>
        <v>No</v>
      </c>
      <c r="Q80" t="str">
        <f>IF(AND(TBL_Employees[[#This Row],[Gender]]="Female",TBL_Employees[[#This Row],[Ethnicity]]="Black"), "Female_Black", "Others")</f>
        <v>Others</v>
      </c>
    </row>
    <row r="81" spans="1:17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7">
        <v>42270</v>
      </c>
      <c r="J81" s="1">
        <v>141899</v>
      </c>
      <c r="K81" s="2">
        <v>0.15</v>
      </c>
      <c r="L81" t="s">
        <v>19</v>
      </c>
      <c r="M81" t="s">
        <v>39</v>
      </c>
      <c r="N81" s="7" t="s">
        <v>21</v>
      </c>
      <c r="O81" s="1">
        <f>TBL_Employees[[#This Row],[Annual Salary]]+TBL_Employees[[#This Row],[Bonus %]]*TBL_Employees[[#This Row],[Annual Salary]]</f>
        <v>163183.85</v>
      </c>
      <c r="P81" t="str">
        <f>IF(AND(TBL_Employees[[#This Row],[Department]]="IT",TBL_Employees[[#This Row],[Gender]]="Female"),"Yes","No")</f>
        <v>No</v>
      </c>
      <c r="Q81" t="str">
        <f>IF(AND(TBL_Employees[[#This Row],[Gender]]="Female",TBL_Employees[[#This Row],[Ethnicity]]="Black"), "Female_Black", "Others")</f>
        <v>Others</v>
      </c>
    </row>
    <row r="82" spans="1:17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7">
        <v>42626</v>
      </c>
      <c r="J82" s="1">
        <v>64847</v>
      </c>
      <c r="K82" s="2">
        <v>0</v>
      </c>
      <c r="L82" t="s">
        <v>19</v>
      </c>
      <c r="M82" t="s">
        <v>45</v>
      </c>
      <c r="N82" s="7" t="s">
        <v>21</v>
      </c>
      <c r="O82" s="1">
        <f>TBL_Employees[[#This Row],[Annual Salary]]+TBL_Employees[[#This Row],[Bonus %]]*TBL_Employees[[#This Row],[Annual Salary]]</f>
        <v>64847</v>
      </c>
      <c r="P82" t="str">
        <f>IF(AND(TBL_Employees[[#This Row],[Department]]="IT",TBL_Employees[[#This Row],[Gender]]="Female"),"Yes","No")</f>
        <v>No</v>
      </c>
      <c r="Q82" t="str">
        <f>IF(AND(TBL_Employees[[#This Row],[Gender]]="Female",TBL_Employees[[#This Row],[Ethnicity]]="Black"), "Female_Black", "Others")</f>
        <v>Others</v>
      </c>
    </row>
    <row r="83" spans="1:17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7">
        <v>33702</v>
      </c>
      <c r="J83" s="1">
        <v>116878</v>
      </c>
      <c r="K83" s="2">
        <v>0.11</v>
      </c>
      <c r="L83" t="s">
        <v>19</v>
      </c>
      <c r="M83" t="s">
        <v>45</v>
      </c>
      <c r="N83" s="7" t="s">
        <v>21</v>
      </c>
      <c r="O83" s="1">
        <f>TBL_Employees[[#This Row],[Annual Salary]]+TBL_Employees[[#This Row],[Bonus %]]*TBL_Employees[[#This Row],[Annual Salary]]</f>
        <v>129734.58</v>
      </c>
      <c r="P83" t="str">
        <f>IF(AND(TBL_Employees[[#This Row],[Department]]="IT",TBL_Employees[[#This Row],[Gender]]="Female"),"Yes","No")</f>
        <v>No</v>
      </c>
      <c r="Q83" t="str">
        <f>IF(AND(TBL_Employees[[#This Row],[Gender]]="Female",TBL_Employees[[#This Row],[Ethnicity]]="Black"), "Female_Black", "Others")</f>
        <v>Others</v>
      </c>
    </row>
    <row r="84" spans="1:17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7">
        <v>38388</v>
      </c>
      <c r="J84" s="1">
        <v>70505</v>
      </c>
      <c r="K84" s="2">
        <v>0</v>
      </c>
      <c r="L84" t="s">
        <v>19</v>
      </c>
      <c r="M84" t="s">
        <v>25</v>
      </c>
      <c r="N84" s="7" t="s">
        <v>21</v>
      </c>
      <c r="O84" s="1">
        <f>TBL_Employees[[#This Row],[Annual Salary]]+TBL_Employees[[#This Row],[Bonus %]]*TBL_Employees[[#This Row],[Annual Salary]]</f>
        <v>70505</v>
      </c>
      <c r="P84" t="str">
        <f>IF(AND(TBL_Employees[[#This Row],[Department]]="IT",TBL_Employees[[#This Row],[Gender]]="Female"),"Yes","No")</f>
        <v>No</v>
      </c>
      <c r="Q84" t="str">
        <f>IF(AND(TBL_Employees[[#This Row],[Gender]]="Female",TBL_Employees[[#This Row],[Ethnicity]]="Black"), "Female_Black", "Others")</f>
        <v>Others</v>
      </c>
    </row>
    <row r="85" spans="1:17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7">
        <v>42512</v>
      </c>
      <c r="J85" s="1">
        <v>189702</v>
      </c>
      <c r="K85" s="2">
        <v>0.28000000000000003</v>
      </c>
      <c r="L85" t="s">
        <v>52</v>
      </c>
      <c r="M85" t="s">
        <v>81</v>
      </c>
      <c r="N85" s="7">
        <v>44186</v>
      </c>
      <c r="O85" s="1">
        <f>TBL_Employees[[#This Row],[Annual Salary]]+TBL_Employees[[#This Row],[Bonus %]]*TBL_Employees[[#This Row],[Annual Salary]]</f>
        <v>242818.56</v>
      </c>
      <c r="P85" t="str">
        <f>IF(AND(TBL_Employees[[#This Row],[Department]]="IT",TBL_Employees[[#This Row],[Gender]]="Female"),"Yes","No")</f>
        <v>No</v>
      </c>
      <c r="Q85" t="str">
        <f>IF(AND(TBL_Employees[[#This Row],[Gender]]="Female",TBL_Employees[[#This Row],[Ethnicity]]="Black"), "Female_Black", "Others")</f>
        <v>Others</v>
      </c>
    </row>
    <row r="86" spans="1:17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7">
        <v>44040</v>
      </c>
      <c r="J86" s="1">
        <v>180664</v>
      </c>
      <c r="K86" s="2">
        <v>0.27</v>
      </c>
      <c r="L86" t="s">
        <v>19</v>
      </c>
      <c r="M86" t="s">
        <v>20</v>
      </c>
      <c r="N86" s="7" t="s">
        <v>21</v>
      </c>
      <c r="O86" s="1">
        <f>TBL_Employees[[#This Row],[Annual Salary]]+TBL_Employees[[#This Row],[Bonus %]]*TBL_Employees[[#This Row],[Annual Salary]]</f>
        <v>229443.28</v>
      </c>
      <c r="P86" t="str">
        <f>IF(AND(TBL_Employees[[#This Row],[Department]]="IT",TBL_Employees[[#This Row],[Gender]]="Female"),"Yes","No")</f>
        <v>No</v>
      </c>
      <c r="Q86" t="str">
        <f>IF(AND(TBL_Employees[[#This Row],[Gender]]="Female",TBL_Employees[[#This Row],[Ethnicity]]="Black"), "Female_Black", "Others")</f>
        <v>Others</v>
      </c>
    </row>
    <row r="87" spans="1:17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7">
        <v>37972</v>
      </c>
      <c r="J87" s="1">
        <v>48345</v>
      </c>
      <c r="K87" s="2">
        <v>0</v>
      </c>
      <c r="L87" t="s">
        <v>33</v>
      </c>
      <c r="M87" t="s">
        <v>34</v>
      </c>
      <c r="N87" s="7" t="s">
        <v>21</v>
      </c>
      <c r="O87" s="1">
        <f>TBL_Employees[[#This Row],[Annual Salary]]+TBL_Employees[[#This Row],[Bonus %]]*TBL_Employees[[#This Row],[Annual Salary]]</f>
        <v>48345</v>
      </c>
      <c r="P87" t="str">
        <f>IF(AND(TBL_Employees[[#This Row],[Department]]="IT",TBL_Employees[[#This Row],[Gender]]="Female"),"Yes","No")</f>
        <v>No</v>
      </c>
      <c r="Q87" t="str">
        <f>IF(AND(TBL_Employees[[#This Row],[Gender]]="Female",TBL_Employees[[#This Row],[Ethnicity]]="Black"), "Female_Black", "Others")</f>
        <v>Others</v>
      </c>
    </row>
    <row r="88" spans="1:17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7">
        <v>41655</v>
      </c>
      <c r="J88" s="1">
        <v>152214</v>
      </c>
      <c r="K88" s="2">
        <v>0.3</v>
      </c>
      <c r="L88" t="s">
        <v>33</v>
      </c>
      <c r="M88" t="s">
        <v>60</v>
      </c>
      <c r="N88" s="7" t="s">
        <v>21</v>
      </c>
      <c r="O88" s="1">
        <f>TBL_Employees[[#This Row],[Annual Salary]]+TBL_Employees[[#This Row],[Bonus %]]*TBL_Employees[[#This Row],[Annual Salary]]</f>
        <v>197878.2</v>
      </c>
      <c r="P88" t="str">
        <f>IF(AND(TBL_Employees[[#This Row],[Department]]="IT",TBL_Employees[[#This Row],[Gender]]="Female"),"Yes","No")</f>
        <v>No</v>
      </c>
      <c r="Q88" t="str">
        <f>IF(AND(TBL_Employees[[#This Row],[Gender]]="Female",TBL_Employees[[#This Row],[Ethnicity]]="Black"), "Female_Black", "Others")</f>
        <v>Others</v>
      </c>
    </row>
    <row r="89" spans="1:17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7">
        <v>39931</v>
      </c>
      <c r="J89" s="1">
        <v>69803</v>
      </c>
      <c r="K89" s="2">
        <v>0</v>
      </c>
      <c r="L89" t="s">
        <v>52</v>
      </c>
      <c r="M89" t="s">
        <v>81</v>
      </c>
      <c r="N89" s="7" t="s">
        <v>21</v>
      </c>
      <c r="O89" s="1">
        <f>TBL_Employees[[#This Row],[Annual Salary]]+TBL_Employees[[#This Row],[Bonus %]]*TBL_Employees[[#This Row],[Annual Salary]]</f>
        <v>69803</v>
      </c>
      <c r="P89" t="str">
        <f>IF(AND(TBL_Employees[[#This Row],[Department]]="IT",TBL_Employees[[#This Row],[Gender]]="Female"),"Yes","No")</f>
        <v>Yes</v>
      </c>
      <c r="Q89" t="str">
        <f>IF(AND(TBL_Employees[[#This Row],[Gender]]="Female",TBL_Employees[[#This Row],[Ethnicity]]="Black"), "Female_Black", "Others")</f>
        <v>Others</v>
      </c>
    </row>
    <row r="90" spans="1:17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7">
        <v>43650</v>
      </c>
      <c r="J90" s="1">
        <v>76588</v>
      </c>
      <c r="K90" s="2">
        <v>0</v>
      </c>
      <c r="L90" t="s">
        <v>52</v>
      </c>
      <c r="M90" t="s">
        <v>66</v>
      </c>
      <c r="N90" s="7" t="s">
        <v>21</v>
      </c>
      <c r="O90" s="1">
        <f>TBL_Employees[[#This Row],[Annual Salary]]+TBL_Employees[[#This Row],[Bonus %]]*TBL_Employees[[#This Row],[Annual Salary]]</f>
        <v>76588</v>
      </c>
      <c r="P90" t="str">
        <f>IF(AND(TBL_Employees[[#This Row],[Department]]="IT",TBL_Employees[[#This Row],[Gender]]="Female"),"Yes","No")</f>
        <v>Yes</v>
      </c>
      <c r="Q90" t="str">
        <f>IF(AND(TBL_Employees[[#This Row],[Gender]]="Female",TBL_Employees[[#This Row],[Ethnicity]]="Black"), "Female_Black", "Others")</f>
        <v>Others</v>
      </c>
    </row>
    <row r="91" spans="1:17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7">
        <v>43444</v>
      </c>
      <c r="J91" s="1">
        <v>84596</v>
      </c>
      <c r="K91" s="2">
        <v>0</v>
      </c>
      <c r="L91" t="s">
        <v>19</v>
      </c>
      <c r="M91" t="s">
        <v>45</v>
      </c>
      <c r="N91" s="7" t="s">
        <v>21</v>
      </c>
      <c r="O91" s="1">
        <f>TBL_Employees[[#This Row],[Annual Salary]]+TBL_Employees[[#This Row],[Bonus %]]*TBL_Employees[[#This Row],[Annual Salary]]</f>
        <v>84596</v>
      </c>
      <c r="P91" t="str">
        <f>IF(AND(TBL_Employees[[#This Row],[Department]]="IT",TBL_Employees[[#This Row],[Gender]]="Female"),"Yes","No")</f>
        <v>No</v>
      </c>
      <c r="Q91" t="str">
        <f>IF(AND(TBL_Employees[[#This Row],[Gender]]="Female",TBL_Employees[[#This Row],[Ethnicity]]="Black"), "Female_Black", "Others")</f>
        <v>Others</v>
      </c>
    </row>
    <row r="92" spans="1:17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7">
        <v>43368</v>
      </c>
      <c r="J92" s="1">
        <v>114441</v>
      </c>
      <c r="K92" s="2">
        <v>0.1</v>
      </c>
      <c r="L92" t="s">
        <v>33</v>
      </c>
      <c r="M92" t="s">
        <v>80</v>
      </c>
      <c r="N92" s="7">
        <v>43821</v>
      </c>
      <c r="O92" s="1">
        <f>TBL_Employees[[#This Row],[Annual Salary]]+TBL_Employees[[#This Row],[Bonus %]]*TBL_Employees[[#This Row],[Annual Salary]]</f>
        <v>125885.1</v>
      </c>
      <c r="P92" t="str">
        <f>IF(AND(TBL_Employees[[#This Row],[Department]]="IT",TBL_Employees[[#This Row],[Gender]]="Female"),"Yes","No")</f>
        <v>No</v>
      </c>
      <c r="Q92" t="str">
        <f>IF(AND(TBL_Employees[[#This Row],[Gender]]="Female",TBL_Employees[[#This Row],[Ethnicity]]="Black"), "Female_Black", "Others")</f>
        <v>Others</v>
      </c>
    </row>
    <row r="93" spans="1:17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7">
        <v>43211</v>
      </c>
      <c r="J93" s="1">
        <v>140402</v>
      </c>
      <c r="K93" s="2">
        <v>0.15</v>
      </c>
      <c r="L93" t="s">
        <v>33</v>
      </c>
      <c r="M93" t="s">
        <v>60</v>
      </c>
      <c r="N93" s="7" t="s">
        <v>21</v>
      </c>
      <c r="O93" s="1">
        <f>TBL_Employees[[#This Row],[Annual Salary]]+TBL_Employees[[#This Row],[Bonus %]]*TBL_Employees[[#This Row],[Annual Salary]]</f>
        <v>161462.29999999999</v>
      </c>
      <c r="P93" t="str">
        <f>IF(AND(TBL_Employees[[#This Row],[Department]]="IT",TBL_Employees[[#This Row],[Gender]]="Female"),"Yes","No")</f>
        <v>No</v>
      </c>
      <c r="Q93" t="str">
        <f>IF(AND(TBL_Employees[[#This Row],[Gender]]="Female",TBL_Employees[[#This Row],[Ethnicity]]="Black"), "Female_Black", "Others")</f>
        <v>Others</v>
      </c>
    </row>
    <row r="94" spans="1:17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7">
        <v>43578</v>
      </c>
      <c r="J94" s="1">
        <v>59817</v>
      </c>
      <c r="K94" s="2">
        <v>0</v>
      </c>
      <c r="L94" t="s">
        <v>52</v>
      </c>
      <c r="M94" t="s">
        <v>53</v>
      </c>
      <c r="N94" s="7" t="s">
        <v>21</v>
      </c>
      <c r="O94" s="1">
        <f>TBL_Employees[[#This Row],[Annual Salary]]+TBL_Employees[[#This Row],[Bonus %]]*TBL_Employees[[#This Row],[Annual Salary]]</f>
        <v>59817</v>
      </c>
      <c r="P94" t="str">
        <f>IF(AND(TBL_Employees[[#This Row],[Department]]="IT",TBL_Employees[[#This Row],[Gender]]="Female"),"Yes","No")</f>
        <v>No</v>
      </c>
      <c r="Q94" t="str">
        <f>IF(AND(TBL_Employees[[#This Row],[Gender]]="Female",TBL_Employees[[#This Row],[Ethnicity]]="Black"), "Female_Black", "Others")</f>
        <v>Others</v>
      </c>
    </row>
    <row r="95" spans="1:17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7">
        <v>42938</v>
      </c>
      <c r="J95" s="1">
        <v>55854</v>
      </c>
      <c r="K95" s="2">
        <v>0</v>
      </c>
      <c r="L95" t="s">
        <v>19</v>
      </c>
      <c r="M95" t="s">
        <v>25</v>
      </c>
      <c r="N95" s="7" t="s">
        <v>21</v>
      </c>
      <c r="O95" s="1">
        <f>TBL_Employees[[#This Row],[Annual Salary]]+TBL_Employees[[#This Row],[Bonus %]]*TBL_Employees[[#This Row],[Annual Salary]]</f>
        <v>55854</v>
      </c>
      <c r="P95" t="str">
        <f>IF(AND(TBL_Employees[[#This Row],[Department]]="IT",TBL_Employees[[#This Row],[Gender]]="Female"),"Yes","No")</f>
        <v>No</v>
      </c>
      <c r="Q95" t="str">
        <f>IF(AND(TBL_Employees[[#This Row],[Gender]]="Female",TBL_Employees[[#This Row],[Ethnicity]]="Black"), "Female_Black", "Others")</f>
        <v>Others</v>
      </c>
    </row>
    <row r="96" spans="1:17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7">
        <v>37576</v>
      </c>
      <c r="J96" s="1">
        <v>95998</v>
      </c>
      <c r="K96" s="2">
        <v>0</v>
      </c>
      <c r="L96" t="s">
        <v>19</v>
      </c>
      <c r="M96" t="s">
        <v>63</v>
      </c>
      <c r="N96" s="7" t="s">
        <v>21</v>
      </c>
      <c r="O96" s="1">
        <f>TBL_Employees[[#This Row],[Annual Salary]]+TBL_Employees[[#This Row],[Bonus %]]*TBL_Employees[[#This Row],[Annual Salary]]</f>
        <v>95998</v>
      </c>
      <c r="P96" t="str">
        <f>IF(AND(TBL_Employees[[#This Row],[Department]]="IT",TBL_Employees[[#This Row],[Gender]]="Female"),"Yes","No")</f>
        <v>No</v>
      </c>
      <c r="Q96" t="str">
        <f>IF(AND(TBL_Employees[[#This Row],[Gender]]="Female",TBL_Employees[[#This Row],[Ethnicity]]="Black"), "Female_Black", "Others")</f>
        <v>Others</v>
      </c>
    </row>
    <row r="97" spans="1:17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7">
        <v>42116</v>
      </c>
      <c r="J97" s="1">
        <v>154941</v>
      </c>
      <c r="K97" s="2">
        <v>0.13</v>
      </c>
      <c r="L97" t="s">
        <v>19</v>
      </c>
      <c r="M97" t="s">
        <v>39</v>
      </c>
      <c r="N97" s="7" t="s">
        <v>21</v>
      </c>
      <c r="O97" s="1">
        <f>TBL_Employees[[#This Row],[Annual Salary]]+TBL_Employees[[#This Row],[Bonus %]]*TBL_Employees[[#This Row],[Annual Salary]]</f>
        <v>175083.33000000002</v>
      </c>
      <c r="P97" t="str">
        <f>IF(AND(TBL_Employees[[#This Row],[Department]]="IT",TBL_Employees[[#This Row],[Gender]]="Female"),"Yes","No")</f>
        <v>No</v>
      </c>
      <c r="Q97" t="str">
        <f>IF(AND(TBL_Employees[[#This Row],[Gender]]="Female",TBL_Employees[[#This Row],[Ethnicity]]="Black"), "Female_Black", "Others")</f>
        <v>Others</v>
      </c>
    </row>
    <row r="98" spans="1:17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7">
        <v>40734</v>
      </c>
      <c r="J98" s="1">
        <v>247022</v>
      </c>
      <c r="K98" s="2">
        <v>0.3</v>
      </c>
      <c r="L98" t="s">
        <v>33</v>
      </c>
      <c r="M98" t="s">
        <v>60</v>
      </c>
      <c r="N98" s="7" t="s">
        <v>21</v>
      </c>
      <c r="O98" s="1">
        <f>TBL_Employees[[#This Row],[Annual Salary]]+TBL_Employees[[#This Row],[Bonus %]]*TBL_Employees[[#This Row],[Annual Salary]]</f>
        <v>321128.59999999998</v>
      </c>
      <c r="P98" t="str">
        <f>IF(AND(TBL_Employees[[#This Row],[Department]]="IT",TBL_Employees[[#This Row],[Gender]]="Female"),"Yes","No")</f>
        <v>No</v>
      </c>
      <c r="Q98" t="str">
        <f>IF(AND(TBL_Employees[[#This Row],[Gender]]="Female",TBL_Employees[[#This Row],[Ethnicity]]="Black"), "Female_Black", "Others")</f>
        <v>Others</v>
      </c>
    </row>
    <row r="99" spans="1:17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7">
        <v>44474</v>
      </c>
      <c r="J99" s="1">
        <v>88072</v>
      </c>
      <c r="K99" s="2">
        <v>0</v>
      </c>
      <c r="L99" t="s">
        <v>52</v>
      </c>
      <c r="M99" t="s">
        <v>53</v>
      </c>
      <c r="N99" s="7" t="s">
        <v>21</v>
      </c>
      <c r="O99" s="1">
        <f>TBL_Employees[[#This Row],[Annual Salary]]+TBL_Employees[[#This Row],[Bonus %]]*TBL_Employees[[#This Row],[Annual Salary]]</f>
        <v>88072</v>
      </c>
      <c r="P99" t="str">
        <f>IF(AND(TBL_Employees[[#This Row],[Department]]="IT",TBL_Employees[[#This Row],[Gender]]="Female"),"Yes","No")</f>
        <v>Yes</v>
      </c>
      <c r="Q99" t="str">
        <f>IF(AND(TBL_Employees[[#This Row],[Gender]]="Female",TBL_Employees[[#This Row],[Ethnicity]]="Black"), "Female_Black", "Others")</f>
        <v>Others</v>
      </c>
    </row>
    <row r="100" spans="1:17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7">
        <v>43977</v>
      </c>
      <c r="J100" s="1">
        <v>67925</v>
      </c>
      <c r="K100" s="2">
        <v>0.08</v>
      </c>
      <c r="L100" t="s">
        <v>33</v>
      </c>
      <c r="M100" t="s">
        <v>74</v>
      </c>
      <c r="N100" s="7" t="s">
        <v>21</v>
      </c>
      <c r="O100" s="1">
        <f>TBL_Employees[[#This Row],[Annual Salary]]+TBL_Employees[[#This Row],[Bonus %]]*TBL_Employees[[#This Row],[Annual Salary]]</f>
        <v>73359</v>
      </c>
      <c r="P100" t="str">
        <f>IF(AND(TBL_Employees[[#This Row],[Department]]="IT",TBL_Employees[[#This Row],[Gender]]="Female"),"Yes","No")</f>
        <v>No</v>
      </c>
      <c r="Q100" t="str">
        <f>IF(AND(TBL_Employees[[#This Row],[Gender]]="Female",TBL_Employees[[#This Row],[Ethnicity]]="Black"), "Female_Black", "Others")</f>
        <v>Others</v>
      </c>
    </row>
    <row r="101" spans="1:17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7">
        <v>44063</v>
      </c>
      <c r="J101" s="1">
        <v>219693</v>
      </c>
      <c r="K101" s="2">
        <v>0.3</v>
      </c>
      <c r="L101" t="s">
        <v>19</v>
      </c>
      <c r="M101" t="s">
        <v>25</v>
      </c>
      <c r="N101" s="7" t="s">
        <v>21</v>
      </c>
      <c r="O101" s="1">
        <f>TBL_Employees[[#This Row],[Annual Salary]]+TBL_Employees[[#This Row],[Bonus %]]*TBL_Employees[[#This Row],[Annual Salary]]</f>
        <v>285600.90000000002</v>
      </c>
      <c r="P101" t="str">
        <f>IF(AND(TBL_Employees[[#This Row],[Department]]="IT",TBL_Employees[[#This Row],[Gender]]="Female"),"Yes","No")</f>
        <v>No</v>
      </c>
      <c r="Q101" t="str">
        <f>IF(AND(TBL_Employees[[#This Row],[Gender]]="Female",TBL_Employees[[#This Row],[Ethnicity]]="Black"), "Female_Black", "Others")</f>
        <v>Others</v>
      </c>
    </row>
    <row r="102" spans="1:17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7">
        <v>41386</v>
      </c>
      <c r="J102" s="1">
        <v>61773</v>
      </c>
      <c r="K102" s="2">
        <v>0</v>
      </c>
      <c r="L102" t="s">
        <v>19</v>
      </c>
      <c r="M102" t="s">
        <v>63</v>
      </c>
      <c r="N102" s="7" t="s">
        <v>21</v>
      </c>
      <c r="O102" s="1">
        <f>TBL_Employees[[#This Row],[Annual Salary]]+TBL_Employees[[#This Row],[Bonus %]]*TBL_Employees[[#This Row],[Annual Salary]]</f>
        <v>61773</v>
      </c>
      <c r="P102" t="str">
        <f>IF(AND(TBL_Employees[[#This Row],[Department]]="IT",TBL_Employees[[#This Row],[Gender]]="Female"),"Yes","No")</f>
        <v>No</v>
      </c>
      <c r="Q102" t="str">
        <f>IF(AND(TBL_Employees[[#This Row],[Gender]]="Female",TBL_Employees[[#This Row],[Ethnicity]]="Black"), "Female_Black", "Others")</f>
        <v>Others</v>
      </c>
    </row>
    <row r="103" spans="1:17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7">
        <v>39091</v>
      </c>
      <c r="J103" s="1">
        <v>74546</v>
      </c>
      <c r="K103" s="2">
        <v>0.09</v>
      </c>
      <c r="L103" t="s">
        <v>19</v>
      </c>
      <c r="M103" t="s">
        <v>63</v>
      </c>
      <c r="N103" s="7" t="s">
        <v>21</v>
      </c>
      <c r="O103" s="1">
        <f>TBL_Employees[[#This Row],[Annual Salary]]+TBL_Employees[[#This Row],[Bonus %]]*TBL_Employees[[#This Row],[Annual Salary]]</f>
        <v>81255.14</v>
      </c>
      <c r="P103" t="str">
        <f>IF(AND(TBL_Employees[[#This Row],[Department]]="IT",TBL_Employees[[#This Row],[Gender]]="Female"),"Yes","No")</f>
        <v>Yes</v>
      </c>
      <c r="Q103" t="str">
        <f>IF(AND(TBL_Employees[[#This Row],[Gender]]="Female",TBL_Employees[[#This Row],[Ethnicity]]="Black"), "Female_Black", "Others")</f>
        <v>Others</v>
      </c>
    </row>
    <row r="104" spans="1:17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7">
        <v>42031</v>
      </c>
      <c r="J104" s="1">
        <v>62575</v>
      </c>
      <c r="K104" s="2">
        <v>0</v>
      </c>
      <c r="L104" t="s">
        <v>19</v>
      </c>
      <c r="M104" t="s">
        <v>45</v>
      </c>
      <c r="N104" s="7" t="s">
        <v>21</v>
      </c>
      <c r="O104" s="1">
        <f>TBL_Employees[[#This Row],[Annual Salary]]+TBL_Employees[[#This Row],[Bonus %]]*TBL_Employees[[#This Row],[Annual Salary]]</f>
        <v>62575</v>
      </c>
      <c r="P104" t="str">
        <f>IF(AND(TBL_Employees[[#This Row],[Department]]="IT",TBL_Employees[[#This Row],[Gender]]="Female"),"Yes","No")</f>
        <v>No</v>
      </c>
      <c r="Q104" t="str">
        <f>IF(AND(TBL_Employees[[#This Row],[Gender]]="Female",TBL_Employees[[#This Row],[Ethnicity]]="Black"), "Female_Black", "Others")</f>
        <v>Others</v>
      </c>
    </row>
    <row r="105" spans="1:17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7">
        <v>44250</v>
      </c>
      <c r="J105" s="1">
        <v>199041</v>
      </c>
      <c r="K105" s="2">
        <v>0.16</v>
      </c>
      <c r="L105" t="s">
        <v>33</v>
      </c>
      <c r="M105" t="s">
        <v>60</v>
      </c>
      <c r="N105" s="7" t="s">
        <v>21</v>
      </c>
      <c r="O105" s="1">
        <f>TBL_Employees[[#This Row],[Annual Salary]]+TBL_Employees[[#This Row],[Bonus %]]*TBL_Employees[[#This Row],[Annual Salary]]</f>
        <v>230887.56</v>
      </c>
      <c r="P105" t="str">
        <f>IF(AND(TBL_Employees[[#This Row],[Department]]="IT",TBL_Employees[[#This Row],[Gender]]="Female"),"Yes","No")</f>
        <v>No</v>
      </c>
      <c r="Q105" t="str">
        <f>IF(AND(TBL_Employees[[#This Row],[Gender]]="Female",TBL_Employees[[#This Row],[Ethnicity]]="Black"), "Female_Black", "Others")</f>
        <v>Others</v>
      </c>
    </row>
    <row r="106" spans="1:17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7">
        <v>39177</v>
      </c>
      <c r="J106" s="1">
        <v>52310</v>
      </c>
      <c r="K106" s="2">
        <v>0</v>
      </c>
      <c r="L106" t="s">
        <v>19</v>
      </c>
      <c r="M106" t="s">
        <v>45</v>
      </c>
      <c r="N106" s="7">
        <v>43385</v>
      </c>
      <c r="O106" s="1">
        <f>TBL_Employees[[#This Row],[Annual Salary]]+TBL_Employees[[#This Row],[Bonus %]]*TBL_Employees[[#This Row],[Annual Salary]]</f>
        <v>52310</v>
      </c>
      <c r="P106" t="str">
        <f>IF(AND(TBL_Employees[[#This Row],[Department]]="IT",TBL_Employees[[#This Row],[Gender]]="Female"),"Yes","No")</f>
        <v>No</v>
      </c>
      <c r="Q106" t="str">
        <f>IF(AND(TBL_Employees[[#This Row],[Gender]]="Female",TBL_Employees[[#This Row],[Ethnicity]]="Black"), "Female_Black", "Others")</f>
        <v>Others</v>
      </c>
    </row>
    <row r="107" spans="1:17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7">
        <v>41454</v>
      </c>
      <c r="J107" s="1">
        <v>159571</v>
      </c>
      <c r="K107" s="2">
        <v>0.1</v>
      </c>
      <c r="L107" t="s">
        <v>19</v>
      </c>
      <c r="M107" t="s">
        <v>29</v>
      </c>
      <c r="N107" s="7" t="s">
        <v>21</v>
      </c>
      <c r="O107" s="1">
        <f>TBL_Employees[[#This Row],[Annual Salary]]+TBL_Employees[[#This Row],[Bonus %]]*TBL_Employees[[#This Row],[Annual Salary]]</f>
        <v>175528.1</v>
      </c>
      <c r="P107" t="str">
        <f>IF(AND(TBL_Employees[[#This Row],[Department]]="IT",TBL_Employees[[#This Row],[Gender]]="Female"),"Yes","No")</f>
        <v>No</v>
      </c>
      <c r="Q107" t="str">
        <f>IF(AND(TBL_Employees[[#This Row],[Gender]]="Female",TBL_Employees[[#This Row],[Ethnicity]]="Black"), "Female_Black", "Others")</f>
        <v>Others</v>
      </c>
    </row>
    <row r="108" spans="1:17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7">
        <v>35726</v>
      </c>
      <c r="J108" s="1">
        <v>91763</v>
      </c>
      <c r="K108" s="2">
        <v>0</v>
      </c>
      <c r="L108" t="s">
        <v>19</v>
      </c>
      <c r="M108" t="s">
        <v>25</v>
      </c>
      <c r="N108" s="7" t="s">
        <v>21</v>
      </c>
      <c r="O108" s="1">
        <f>TBL_Employees[[#This Row],[Annual Salary]]+TBL_Employees[[#This Row],[Bonus %]]*TBL_Employees[[#This Row],[Annual Salary]]</f>
        <v>91763</v>
      </c>
      <c r="P108" t="str">
        <f>IF(AND(TBL_Employees[[#This Row],[Department]]="IT",TBL_Employees[[#This Row],[Gender]]="Female"),"Yes","No")</f>
        <v>No</v>
      </c>
      <c r="Q108" t="str">
        <f>IF(AND(TBL_Employees[[#This Row],[Gender]]="Female",TBL_Employees[[#This Row],[Ethnicity]]="Black"), "Female_Black", "Others")</f>
        <v>Others</v>
      </c>
    </row>
    <row r="109" spans="1:17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7">
        <v>35055</v>
      </c>
      <c r="J109" s="1">
        <v>96475</v>
      </c>
      <c r="K109" s="2">
        <v>0</v>
      </c>
      <c r="L109" t="s">
        <v>19</v>
      </c>
      <c r="M109" t="s">
        <v>25</v>
      </c>
      <c r="N109" s="7" t="s">
        <v>21</v>
      </c>
      <c r="O109" s="1">
        <f>TBL_Employees[[#This Row],[Annual Salary]]+TBL_Employees[[#This Row],[Bonus %]]*TBL_Employees[[#This Row],[Annual Salary]]</f>
        <v>96475</v>
      </c>
      <c r="P109" t="str">
        <f>IF(AND(TBL_Employees[[#This Row],[Department]]="IT",TBL_Employees[[#This Row],[Gender]]="Female"),"Yes","No")</f>
        <v>No</v>
      </c>
      <c r="Q109" t="str">
        <f>IF(AND(TBL_Employees[[#This Row],[Gender]]="Female",TBL_Employees[[#This Row],[Ethnicity]]="Black"), "Female_Black", "Others")</f>
        <v>Others</v>
      </c>
    </row>
    <row r="110" spans="1:17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7">
        <v>42706</v>
      </c>
      <c r="J110" s="1">
        <v>113781</v>
      </c>
      <c r="K110" s="2">
        <v>0</v>
      </c>
      <c r="L110" t="s">
        <v>19</v>
      </c>
      <c r="M110" t="s">
        <v>29</v>
      </c>
      <c r="N110" s="7" t="s">
        <v>21</v>
      </c>
      <c r="O110" s="1">
        <f>TBL_Employees[[#This Row],[Annual Salary]]+TBL_Employees[[#This Row],[Bonus %]]*TBL_Employees[[#This Row],[Annual Salary]]</f>
        <v>113781</v>
      </c>
      <c r="P110" t="str">
        <f>IF(AND(TBL_Employees[[#This Row],[Department]]="IT",TBL_Employees[[#This Row],[Gender]]="Female"),"Yes","No")</f>
        <v>No</v>
      </c>
      <c r="Q110" t="str">
        <f>IF(AND(TBL_Employees[[#This Row],[Gender]]="Female",TBL_Employees[[#This Row],[Ethnicity]]="Black"), "Female_Black", "Others")</f>
        <v>Others</v>
      </c>
    </row>
    <row r="111" spans="1:17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7">
        <v>37636</v>
      </c>
      <c r="J111" s="1">
        <v>166599</v>
      </c>
      <c r="K111" s="2">
        <v>0.26</v>
      </c>
      <c r="L111" t="s">
        <v>19</v>
      </c>
      <c r="M111" t="s">
        <v>63</v>
      </c>
      <c r="N111" s="7" t="s">
        <v>21</v>
      </c>
      <c r="O111" s="1">
        <f>TBL_Employees[[#This Row],[Annual Salary]]+TBL_Employees[[#This Row],[Bonus %]]*TBL_Employees[[#This Row],[Annual Salary]]</f>
        <v>209914.74</v>
      </c>
      <c r="P111" t="str">
        <f>IF(AND(TBL_Employees[[#This Row],[Department]]="IT",TBL_Employees[[#This Row],[Gender]]="Female"),"Yes","No")</f>
        <v>No</v>
      </c>
      <c r="Q111" t="str">
        <f>IF(AND(TBL_Employees[[#This Row],[Gender]]="Female",TBL_Employees[[#This Row],[Ethnicity]]="Black"), "Female_Black", "Others")</f>
        <v>Others</v>
      </c>
    </row>
    <row r="112" spans="1:17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7">
        <v>38398</v>
      </c>
      <c r="J112" s="1">
        <v>95372</v>
      </c>
      <c r="K112" s="2">
        <v>0</v>
      </c>
      <c r="L112" t="s">
        <v>33</v>
      </c>
      <c r="M112" t="s">
        <v>74</v>
      </c>
      <c r="N112" s="7" t="s">
        <v>21</v>
      </c>
      <c r="O112" s="1">
        <f>TBL_Employees[[#This Row],[Annual Salary]]+TBL_Employees[[#This Row],[Bonus %]]*TBL_Employees[[#This Row],[Annual Salary]]</f>
        <v>95372</v>
      </c>
      <c r="P112" t="str">
        <f>IF(AND(TBL_Employees[[#This Row],[Department]]="IT",TBL_Employees[[#This Row],[Gender]]="Female"),"Yes","No")</f>
        <v>No</v>
      </c>
      <c r="Q112" t="str">
        <f>IF(AND(TBL_Employees[[#This Row],[Gender]]="Female",TBL_Employees[[#This Row],[Ethnicity]]="Black"), "Female_Black", "Others")</f>
        <v>Others</v>
      </c>
    </row>
    <row r="113" spans="1:17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7">
        <v>44052</v>
      </c>
      <c r="J113" s="1">
        <v>161203</v>
      </c>
      <c r="K113" s="2">
        <v>0.15</v>
      </c>
      <c r="L113" t="s">
        <v>33</v>
      </c>
      <c r="M113" t="s">
        <v>34</v>
      </c>
      <c r="N113" s="7" t="s">
        <v>21</v>
      </c>
      <c r="O113" s="1">
        <f>TBL_Employees[[#This Row],[Annual Salary]]+TBL_Employees[[#This Row],[Bonus %]]*TBL_Employees[[#This Row],[Annual Salary]]</f>
        <v>185383.45</v>
      </c>
      <c r="P113" t="str">
        <f>IF(AND(TBL_Employees[[#This Row],[Department]]="IT",TBL_Employees[[#This Row],[Gender]]="Female"),"Yes","No")</f>
        <v>Yes</v>
      </c>
      <c r="Q113" t="str">
        <f>IF(AND(TBL_Employees[[#This Row],[Gender]]="Female",TBL_Employees[[#This Row],[Ethnicity]]="Black"), "Female_Black", "Others")</f>
        <v>Others</v>
      </c>
    </row>
    <row r="114" spans="1:17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7">
        <v>39064</v>
      </c>
      <c r="J114" s="1">
        <v>74738</v>
      </c>
      <c r="K114" s="2">
        <v>0</v>
      </c>
      <c r="L114" t="s">
        <v>19</v>
      </c>
      <c r="M114" t="s">
        <v>45</v>
      </c>
      <c r="N114" s="7" t="s">
        <v>21</v>
      </c>
      <c r="O114" s="1">
        <f>TBL_Employees[[#This Row],[Annual Salary]]+TBL_Employees[[#This Row],[Bonus %]]*TBL_Employees[[#This Row],[Annual Salary]]</f>
        <v>74738</v>
      </c>
      <c r="P114" t="str">
        <f>IF(AND(TBL_Employees[[#This Row],[Department]]="IT",TBL_Employees[[#This Row],[Gender]]="Female"),"Yes","No")</f>
        <v>Yes</v>
      </c>
      <c r="Q114" t="str">
        <f>IF(AND(TBL_Employees[[#This Row],[Gender]]="Female",TBL_Employees[[#This Row],[Ethnicity]]="Black"), "Female_Black", "Others")</f>
        <v>Others</v>
      </c>
    </row>
    <row r="115" spans="1:17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7">
        <v>43322</v>
      </c>
      <c r="J115" s="1">
        <v>171173</v>
      </c>
      <c r="K115" s="2">
        <v>0.21</v>
      </c>
      <c r="L115" t="s">
        <v>19</v>
      </c>
      <c r="M115" t="s">
        <v>29</v>
      </c>
      <c r="N115" s="7" t="s">
        <v>21</v>
      </c>
      <c r="O115" s="1">
        <f>TBL_Employees[[#This Row],[Annual Salary]]+TBL_Employees[[#This Row],[Bonus %]]*TBL_Employees[[#This Row],[Annual Salary]]</f>
        <v>207119.33000000002</v>
      </c>
      <c r="P115" t="str">
        <f>IF(AND(TBL_Employees[[#This Row],[Department]]="IT",TBL_Employees[[#This Row],[Gender]]="Female"),"Yes","No")</f>
        <v>No</v>
      </c>
      <c r="Q115" t="str">
        <f>IF(AND(TBL_Employees[[#This Row],[Gender]]="Female",TBL_Employees[[#This Row],[Ethnicity]]="Black"), "Female_Black", "Others")</f>
        <v>Others</v>
      </c>
    </row>
    <row r="116" spans="1:17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7">
        <v>43732</v>
      </c>
      <c r="J116" s="1">
        <v>201464</v>
      </c>
      <c r="K116" s="2">
        <v>0.37</v>
      </c>
      <c r="L116" t="s">
        <v>19</v>
      </c>
      <c r="M116" t="s">
        <v>20</v>
      </c>
      <c r="N116" s="7" t="s">
        <v>21</v>
      </c>
      <c r="O116" s="1">
        <f>TBL_Employees[[#This Row],[Annual Salary]]+TBL_Employees[[#This Row],[Bonus %]]*TBL_Employees[[#This Row],[Annual Salary]]</f>
        <v>276005.68</v>
      </c>
      <c r="P116" t="str">
        <f>IF(AND(TBL_Employees[[#This Row],[Department]]="IT",TBL_Employees[[#This Row],[Gender]]="Female"),"Yes","No")</f>
        <v>No</v>
      </c>
      <c r="Q116" t="str">
        <f>IF(AND(TBL_Employees[[#This Row],[Gender]]="Female",TBL_Employees[[#This Row],[Ethnicity]]="Black"), "Female_Black", "Others")</f>
        <v>Others</v>
      </c>
    </row>
    <row r="117" spans="1:17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7">
        <v>35998</v>
      </c>
      <c r="J117" s="1">
        <v>174895</v>
      </c>
      <c r="K117" s="2">
        <v>0.15</v>
      </c>
      <c r="L117" t="s">
        <v>19</v>
      </c>
      <c r="M117" t="s">
        <v>20</v>
      </c>
      <c r="N117" s="7" t="s">
        <v>21</v>
      </c>
      <c r="O117" s="1">
        <f>TBL_Employees[[#This Row],[Annual Salary]]+TBL_Employees[[#This Row],[Bonus %]]*TBL_Employees[[#This Row],[Annual Salary]]</f>
        <v>201129.25</v>
      </c>
      <c r="P117" t="str">
        <f>IF(AND(TBL_Employees[[#This Row],[Department]]="IT",TBL_Employees[[#This Row],[Gender]]="Female"),"Yes","No")</f>
        <v>No</v>
      </c>
      <c r="Q117" t="str">
        <f>IF(AND(TBL_Employees[[#This Row],[Gender]]="Female",TBL_Employees[[#This Row],[Ethnicity]]="Black"), "Female_Black", "Others")</f>
        <v>Others</v>
      </c>
    </row>
    <row r="118" spans="1:17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7">
        <v>38825</v>
      </c>
      <c r="J118" s="1">
        <v>134486</v>
      </c>
      <c r="K118" s="2">
        <v>0.14000000000000001</v>
      </c>
      <c r="L118" t="s">
        <v>19</v>
      </c>
      <c r="M118" t="s">
        <v>25</v>
      </c>
      <c r="N118" s="7" t="s">
        <v>21</v>
      </c>
      <c r="O118" s="1">
        <f>TBL_Employees[[#This Row],[Annual Salary]]+TBL_Employees[[#This Row],[Bonus %]]*TBL_Employees[[#This Row],[Annual Salary]]</f>
        <v>153314.04</v>
      </c>
      <c r="P118" t="str">
        <f>IF(AND(TBL_Employees[[#This Row],[Department]]="IT",TBL_Employees[[#This Row],[Gender]]="Female"),"Yes","No")</f>
        <v>Yes</v>
      </c>
      <c r="Q118" t="str">
        <f>IF(AND(TBL_Employees[[#This Row],[Gender]]="Female",TBL_Employees[[#This Row],[Ethnicity]]="Black"), "Female_Black", "Others")</f>
        <v>Others</v>
      </c>
    </row>
    <row r="119" spans="1:17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7">
        <v>39137</v>
      </c>
      <c r="J119" s="1">
        <v>71699</v>
      </c>
      <c r="K119" s="2">
        <v>0</v>
      </c>
      <c r="L119" t="s">
        <v>52</v>
      </c>
      <c r="M119" t="s">
        <v>81</v>
      </c>
      <c r="N119" s="7" t="s">
        <v>21</v>
      </c>
      <c r="O119" s="1">
        <f>TBL_Employees[[#This Row],[Annual Salary]]+TBL_Employees[[#This Row],[Bonus %]]*TBL_Employees[[#This Row],[Annual Salary]]</f>
        <v>71699</v>
      </c>
      <c r="P119" t="str">
        <f>IF(AND(TBL_Employees[[#This Row],[Department]]="IT",TBL_Employees[[#This Row],[Gender]]="Female"),"Yes","No")</f>
        <v>No</v>
      </c>
      <c r="Q119" t="str">
        <f>IF(AND(TBL_Employees[[#This Row],[Gender]]="Female",TBL_Employees[[#This Row],[Ethnicity]]="Black"), "Female_Black", "Others")</f>
        <v>Others</v>
      </c>
    </row>
    <row r="120" spans="1:17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7">
        <v>44198</v>
      </c>
      <c r="J120" s="1">
        <v>94430</v>
      </c>
      <c r="K120" s="2">
        <v>0</v>
      </c>
      <c r="L120" t="s">
        <v>19</v>
      </c>
      <c r="M120" t="s">
        <v>63</v>
      </c>
      <c r="N120" s="7" t="s">
        <v>21</v>
      </c>
      <c r="O120" s="1">
        <f>TBL_Employees[[#This Row],[Annual Salary]]+TBL_Employees[[#This Row],[Bonus %]]*TBL_Employees[[#This Row],[Annual Salary]]</f>
        <v>94430</v>
      </c>
      <c r="P120" t="str">
        <f>IF(AND(TBL_Employees[[#This Row],[Department]]="IT",TBL_Employees[[#This Row],[Gender]]="Female"),"Yes","No")</f>
        <v>No</v>
      </c>
      <c r="Q120" t="str">
        <f>IF(AND(TBL_Employees[[#This Row],[Gender]]="Female",TBL_Employees[[#This Row],[Ethnicity]]="Black"), "Female_Black", "Others")</f>
        <v>Others</v>
      </c>
    </row>
    <row r="121" spans="1:17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7">
        <v>40192</v>
      </c>
      <c r="J121" s="1">
        <v>103504</v>
      </c>
      <c r="K121" s="2">
        <v>7.0000000000000007E-2</v>
      </c>
      <c r="L121" t="s">
        <v>33</v>
      </c>
      <c r="M121" t="s">
        <v>34</v>
      </c>
      <c r="N121" s="7" t="s">
        <v>21</v>
      </c>
      <c r="O121" s="1">
        <f>TBL_Employees[[#This Row],[Annual Salary]]+TBL_Employees[[#This Row],[Bonus %]]*TBL_Employees[[#This Row],[Annual Salary]]</f>
        <v>110749.28</v>
      </c>
      <c r="P121" t="str">
        <f>IF(AND(TBL_Employees[[#This Row],[Department]]="IT",TBL_Employees[[#This Row],[Gender]]="Female"),"Yes","No")</f>
        <v>No</v>
      </c>
      <c r="Q121" t="str">
        <f>IF(AND(TBL_Employees[[#This Row],[Gender]]="Female",TBL_Employees[[#This Row],[Ethnicity]]="Black"), "Female_Black", "Others")</f>
        <v>Others</v>
      </c>
    </row>
    <row r="122" spans="1:17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7">
        <v>38573</v>
      </c>
      <c r="J122" s="1">
        <v>92771</v>
      </c>
      <c r="K122" s="2">
        <v>0</v>
      </c>
      <c r="L122" t="s">
        <v>19</v>
      </c>
      <c r="M122" t="s">
        <v>45</v>
      </c>
      <c r="N122" s="7" t="s">
        <v>21</v>
      </c>
      <c r="O122" s="1">
        <f>TBL_Employees[[#This Row],[Annual Salary]]+TBL_Employees[[#This Row],[Bonus %]]*TBL_Employees[[#This Row],[Annual Salary]]</f>
        <v>92771</v>
      </c>
      <c r="P122" t="str">
        <f>IF(AND(TBL_Employees[[#This Row],[Department]]="IT",TBL_Employees[[#This Row],[Gender]]="Female"),"Yes","No")</f>
        <v>Yes</v>
      </c>
      <c r="Q122" t="str">
        <f>IF(AND(TBL_Employees[[#This Row],[Gender]]="Female",TBL_Employees[[#This Row],[Ethnicity]]="Black"), "Female_Black", "Others")</f>
        <v>Others</v>
      </c>
    </row>
    <row r="123" spans="1:17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7">
        <v>38813</v>
      </c>
      <c r="J123" s="1">
        <v>71531</v>
      </c>
      <c r="K123" s="2">
        <v>0</v>
      </c>
      <c r="L123" t="s">
        <v>19</v>
      </c>
      <c r="M123" t="s">
        <v>29</v>
      </c>
      <c r="N123" s="7" t="s">
        <v>21</v>
      </c>
      <c r="O123" s="1">
        <f>TBL_Employees[[#This Row],[Annual Salary]]+TBL_Employees[[#This Row],[Bonus %]]*TBL_Employees[[#This Row],[Annual Salary]]</f>
        <v>71531</v>
      </c>
      <c r="P123" t="str">
        <f>IF(AND(TBL_Employees[[#This Row],[Department]]="IT",TBL_Employees[[#This Row],[Gender]]="Female"),"Yes","No")</f>
        <v>No</v>
      </c>
      <c r="Q123" t="str">
        <f>IF(AND(TBL_Employees[[#This Row],[Gender]]="Female",TBL_Employees[[#This Row],[Ethnicity]]="Black"), "Female_Black", "Others")</f>
        <v>Others</v>
      </c>
    </row>
    <row r="124" spans="1:17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7">
        <v>43530</v>
      </c>
      <c r="J124" s="1">
        <v>90304</v>
      </c>
      <c r="K124" s="2">
        <v>0</v>
      </c>
      <c r="L124" t="s">
        <v>19</v>
      </c>
      <c r="M124" t="s">
        <v>20</v>
      </c>
      <c r="N124" s="7" t="s">
        <v>21</v>
      </c>
      <c r="O124" s="1">
        <f>TBL_Employees[[#This Row],[Annual Salary]]+TBL_Employees[[#This Row],[Bonus %]]*TBL_Employees[[#This Row],[Annual Salary]]</f>
        <v>90304</v>
      </c>
      <c r="P124" t="str">
        <f>IF(AND(TBL_Employees[[#This Row],[Department]]="IT",TBL_Employees[[#This Row],[Gender]]="Female"),"Yes","No")</f>
        <v>No</v>
      </c>
      <c r="Q124" t="str">
        <f>IF(AND(TBL_Employees[[#This Row],[Gender]]="Female",TBL_Employees[[#This Row],[Ethnicity]]="Black"), "Female_Black", "Others")</f>
        <v>Others</v>
      </c>
    </row>
    <row r="125" spans="1:17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7">
        <v>40793</v>
      </c>
      <c r="J125" s="1">
        <v>104903</v>
      </c>
      <c r="K125" s="2">
        <v>0.1</v>
      </c>
      <c r="L125" t="s">
        <v>19</v>
      </c>
      <c r="M125" t="s">
        <v>29</v>
      </c>
      <c r="N125" s="7" t="s">
        <v>21</v>
      </c>
      <c r="O125" s="1">
        <f>TBL_Employees[[#This Row],[Annual Salary]]+TBL_Employees[[#This Row],[Bonus %]]*TBL_Employees[[#This Row],[Annual Salary]]</f>
        <v>115393.3</v>
      </c>
      <c r="P125" t="str">
        <f>IF(AND(TBL_Employees[[#This Row],[Department]]="IT",TBL_Employees[[#This Row],[Gender]]="Female"),"Yes","No")</f>
        <v>No</v>
      </c>
      <c r="Q125" t="str">
        <f>IF(AND(TBL_Employees[[#This Row],[Gender]]="Female",TBL_Employees[[#This Row],[Ethnicity]]="Black"), "Female_Black", "Others")</f>
        <v>Others</v>
      </c>
    </row>
    <row r="126" spans="1:17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7">
        <v>43515</v>
      </c>
      <c r="J126" s="1">
        <v>55859</v>
      </c>
      <c r="K126" s="2">
        <v>0</v>
      </c>
      <c r="L126" t="s">
        <v>33</v>
      </c>
      <c r="M126" t="s">
        <v>60</v>
      </c>
      <c r="N126" s="7" t="s">
        <v>21</v>
      </c>
      <c r="O126" s="1">
        <f>TBL_Employees[[#This Row],[Annual Salary]]+TBL_Employees[[#This Row],[Bonus %]]*TBL_Employees[[#This Row],[Annual Salary]]</f>
        <v>55859</v>
      </c>
      <c r="P126" t="str">
        <f>IF(AND(TBL_Employees[[#This Row],[Department]]="IT",TBL_Employees[[#This Row],[Gender]]="Female"),"Yes","No")</f>
        <v>No</v>
      </c>
      <c r="Q126" t="str">
        <f>IF(AND(TBL_Employees[[#This Row],[Gender]]="Female",TBL_Employees[[#This Row],[Ethnicity]]="Black"), "Female_Black", "Others")</f>
        <v>Others</v>
      </c>
    </row>
    <row r="127" spans="1:17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7">
        <v>39002</v>
      </c>
      <c r="J127" s="1">
        <v>79785</v>
      </c>
      <c r="K127" s="2">
        <v>0</v>
      </c>
      <c r="L127" t="s">
        <v>19</v>
      </c>
      <c r="M127" t="s">
        <v>25</v>
      </c>
      <c r="N127" s="7" t="s">
        <v>21</v>
      </c>
      <c r="O127" s="1">
        <f>TBL_Employees[[#This Row],[Annual Salary]]+TBL_Employees[[#This Row],[Bonus %]]*TBL_Employees[[#This Row],[Annual Salary]]</f>
        <v>79785</v>
      </c>
      <c r="P127" t="str">
        <f>IF(AND(TBL_Employees[[#This Row],[Department]]="IT",TBL_Employees[[#This Row],[Gender]]="Female"),"Yes","No")</f>
        <v>No</v>
      </c>
      <c r="Q127" t="str">
        <f>IF(AND(TBL_Employees[[#This Row],[Gender]]="Female",TBL_Employees[[#This Row],[Ethnicity]]="Black"), "Female_Black", "Others")</f>
        <v>Others</v>
      </c>
    </row>
    <row r="128" spans="1:17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7">
        <v>39391</v>
      </c>
      <c r="J128" s="1">
        <v>99017</v>
      </c>
      <c r="K128" s="2">
        <v>0</v>
      </c>
      <c r="L128" t="s">
        <v>33</v>
      </c>
      <c r="M128" t="s">
        <v>60</v>
      </c>
      <c r="N128" s="7" t="s">
        <v>21</v>
      </c>
      <c r="O128" s="1">
        <f>TBL_Employees[[#This Row],[Annual Salary]]+TBL_Employees[[#This Row],[Bonus %]]*TBL_Employees[[#This Row],[Annual Salary]]</f>
        <v>99017</v>
      </c>
      <c r="P128" t="str">
        <f>IF(AND(TBL_Employees[[#This Row],[Department]]="IT",TBL_Employees[[#This Row],[Gender]]="Female"),"Yes","No")</f>
        <v>No</v>
      </c>
      <c r="Q128" t="str">
        <f>IF(AND(TBL_Employees[[#This Row],[Gender]]="Female",TBL_Employees[[#This Row],[Ethnicity]]="Black"), "Female_Black", "Others")</f>
        <v>Others</v>
      </c>
    </row>
    <row r="129" spans="1:17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7">
        <v>33695</v>
      </c>
      <c r="J129" s="1">
        <v>53809</v>
      </c>
      <c r="K129" s="2">
        <v>0</v>
      </c>
      <c r="L129" t="s">
        <v>19</v>
      </c>
      <c r="M129" t="s">
        <v>39</v>
      </c>
      <c r="N129" s="7" t="s">
        <v>21</v>
      </c>
      <c r="O129" s="1">
        <f>TBL_Employees[[#This Row],[Annual Salary]]+TBL_Employees[[#This Row],[Bonus %]]*TBL_Employees[[#This Row],[Annual Salary]]</f>
        <v>53809</v>
      </c>
      <c r="P129" t="str">
        <f>IF(AND(TBL_Employees[[#This Row],[Department]]="IT",TBL_Employees[[#This Row],[Gender]]="Female"),"Yes","No")</f>
        <v>Yes</v>
      </c>
      <c r="Q129" t="str">
        <f>IF(AND(TBL_Employees[[#This Row],[Gender]]="Female",TBL_Employees[[#This Row],[Ethnicity]]="Black"), "Female_Black", "Others")</f>
        <v>Others</v>
      </c>
    </row>
    <row r="130" spans="1:17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7">
        <v>43937</v>
      </c>
      <c r="J130" s="1">
        <v>71864</v>
      </c>
      <c r="K130" s="2">
        <v>0</v>
      </c>
      <c r="L130" t="s">
        <v>33</v>
      </c>
      <c r="M130" t="s">
        <v>34</v>
      </c>
      <c r="N130" s="7" t="s">
        <v>21</v>
      </c>
      <c r="O130" s="1">
        <f>TBL_Employees[[#This Row],[Annual Salary]]+TBL_Employees[[#This Row],[Bonus %]]*TBL_Employees[[#This Row],[Annual Salary]]</f>
        <v>71864</v>
      </c>
      <c r="P130" t="str">
        <f>IF(AND(TBL_Employees[[#This Row],[Department]]="IT",TBL_Employees[[#This Row],[Gender]]="Female"),"Yes","No")</f>
        <v>No</v>
      </c>
      <c r="Q130" t="str">
        <f>IF(AND(TBL_Employees[[#This Row],[Gender]]="Female",TBL_Employees[[#This Row],[Ethnicity]]="Black"), "Female_Black", "Others")</f>
        <v>Others</v>
      </c>
    </row>
    <row r="131" spans="1:17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7">
        <v>40883</v>
      </c>
      <c r="J131" s="1">
        <v>225558</v>
      </c>
      <c r="K131" s="2">
        <v>0.33</v>
      </c>
      <c r="L131" t="s">
        <v>33</v>
      </c>
      <c r="M131" t="s">
        <v>74</v>
      </c>
      <c r="N131" s="7" t="s">
        <v>21</v>
      </c>
      <c r="O131" s="1">
        <f>TBL_Employees[[#This Row],[Annual Salary]]+TBL_Employees[[#This Row],[Bonus %]]*TBL_Employees[[#This Row],[Annual Salary]]</f>
        <v>299992.14</v>
      </c>
      <c r="P131" t="str">
        <f>IF(AND(TBL_Employees[[#This Row],[Department]]="IT",TBL_Employees[[#This Row],[Gender]]="Female"),"Yes","No")</f>
        <v>No</v>
      </c>
      <c r="Q131" t="str">
        <f>IF(AND(TBL_Employees[[#This Row],[Gender]]="Female",TBL_Employees[[#This Row],[Ethnicity]]="Black"), "Female_Black", "Others")</f>
        <v>Others</v>
      </c>
    </row>
    <row r="132" spans="1:17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7">
        <v>41695</v>
      </c>
      <c r="J132" s="1">
        <v>128984</v>
      </c>
      <c r="K132" s="2">
        <v>0.12</v>
      </c>
      <c r="L132" t="s">
        <v>19</v>
      </c>
      <c r="M132" t="s">
        <v>45</v>
      </c>
      <c r="N132" s="7">
        <v>44317</v>
      </c>
      <c r="O132" s="1">
        <f>TBL_Employees[[#This Row],[Annual Salary]]+TBL_Employees[[#This Row],[Bonus %]]*TBL_Employees[[#This Row],[Annual Salary]]</f>
        <v>144462.07999999999</v>
      </c>
      <c r="P132" t="str">
        <f>IF(AND(TBL_Employees[[#This Row],[Department]]="IT",TBL_Employees[[#This Row],[Gender]]="Female"),"Yes","No")</f>
        <v>No</v>
      </c>
      <c r="Q132" t="str">
        <f>IF(AND(TBL_Employees[[#This Row],[Gender]]="Female",TBL_Employees[[#This Row],[Ethnicity]]="Black"), "Female_Black", "Others")</f>
        <v>Others</v>
      </c>
    </row>
    <row r="133" spans="1:17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7">
        <v>36331</v>
      </c>
      <c r="J133" s="1">
        <v>96997</v>
      </c>
      <c r="K133" s="2">
        <v>0</v>
      </c>
      <c r="L133" t="s">
        <v>52</v>
      </c>
      <c r="M133" t="s">
        <v>53</v>
      </c>
      <c r="N133" s="7" t="s">
        <v>21</v>
      </c>
      <c r="O133" s="1">
        <f>TBL_Employees[[#This Row],[Annual Salary]]+TBL_Employees[[#This Row],[Bonus %]]*TBL_Employees[[#This Row],[Annual Salary]]</f>
        <v>96997</v>
      </c>
      <c r="P133" t="str">
        <f>IF(AND(TBL_Employees[[#This Row],[Department]]="IT",TBL_Employees[[#This Row],[Gender]]="Female"),"Yes","No")</f>
        <v>No</v>
      </c>
      <c r="Q133" t="str">
        <f>IF(AND(TBL_Employees[[#This Row],[Gender]]="Female",TBL_Employees[[#This Row],[Ethnicity]]="Black"), "Female_Black", "Others")</f>
        <v>Others</v>
      </c>
    </row>
    <row r="134" spans="1:17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7">
        <v>43122</v>
      </c>
      <c r="J134" s="1">
        <v>176294</v>
      </c>
      <c r="K134" s="2">
        <v>0.28000000000000003</v>
      </c>
      <c r="L134" t="s">
        <v>19</v>
      </c>
      <c r="M134" t="s">
        <v>25</v>
      </c>
      <c r="N134" s="7" t="s">
        <v>21</v>
      </c>
      <c r="O134" s="1">
        <f>TBL_Employees[[#This Row],[Annual Salary]]+TBL_Employees[[#This Row],[Bonus %]]*TBL_Employees[[#This Row],[Annual Salary]]</f>
        <v>225656.32000000001</v>
      </c>
      <c r="P134" t="str">
        <f>IF(AND(TBL_Employees[[#This Row],[Department]]="IT",TBL_Employees[[#This Row],[Gender]]="Female"),"Yes","No")</f>
        <v>No</v>
      </c>
      <c r="Q134" t="str">
        <f>IF(AND(TBL_Employees[[#This Row],[Gender]]="Female",TBL_Employees[[#This Row],[Ethnicity]]="Black"), "Female_Black", "Others")</f>
        <v>Others</v>
      </c>
    </row>
    <row r="135" spans="1:17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7">
        <v>44241</v>
      </c>
      <c r="J135" s="1">
        <v>48340</v>
      </c>
      <c r="K135" s="2">
        <v>0</v>
      </c>
      <c r="L135" t="s">
        <v>33</v>
      </c>
      <c r="M135" t="s">
        <v>60</v>
      </c>
      <c r="N135" s="7" t="s">
        <v>21</v>
      </c>
      <c r="O135" s="1">
        <f>TBL_Employees[[#This Row],[Annual Salary]]+TBL_Employees[[#This Row],[Bonus %]]*TBL_Employees[[#This Row],[Annual Salary]]</f>
        <v>48340</v>
      </c>
      <c r="P135" t="str">
        <f>IF(AND(TBL_Employees[[#This Row],[Department]]="IT",TBL_Employees[[#This Row],[Gender]]="Female"),"Yes","No")</f>
        <v>No</v>
      </c>
      <c r="Q135" t="str">
        <f>IF(AND(TBL_Employees[[#This Row],[Gender]]="Female",TBL_Employees[[#This Row],[Ethnicity]]="Black"), "Female_Black", "Others")</f>
        <v>Others</v>
      </c>
    </row>
    <row r="136" spans="1:17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7">
        <v>42922</v>
      </c>
      <c r="J136" s="1">
        <v>240488</v>
      </c>
      <c r="K136" s="2">
        <v>0.4</v>
      </c>
      <c r="L136" t="s">
        <v>52</v>
      </c>
      <c r="M136" t="s">
        <v>66</v>
      </c>
      <c r="N136" s="7" t="s">
        <v>21</v>
      </c>
      <c r="O136" s="1">
        <f>TBL_Employees[[#This Row],[Annual Salary]]+TBL_Employees[[#This Row],[Bonus %]]*TBL_Employees[[#This Row],[Annual Salary]]</f>
        <v>336683.2</v>
      </c>
      <c r="P136" t="str">
        <f>IF(AND(TBL_Employees[[#This Row],[Department]]="IT",TBL_Employees[[#This Row],[Gender]]="Female"),"Yes","No")</f>
        <v>No</v>
      </c>
      <c r="Q136" t="str">
        <f>IF(AND(TBL_Employees[[#This Row],[Gender]]="Female",TBL_Employees[[#This Row],[Ethnicity]]="Black"), "Female_Black", "Others")</f>
        <v>Others</v>
      </c>
    </row>
    <row r="137" spans="1:17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7">
        <v>40565</v>
      </c>
      <c r="J137" s="1">
        <v>97339</v>
      </c>
      <c r="K137" s="2">
        <v>0</v>
      </c>
      <c r="L137" t="s">
        <v>19</v>
      </c>
      <c r="M137" t="s">
        <v>25</v>
      </c>
      <c r="N137" s="7" t="s">
        <v>21</v>
      </c>
      <c r="O137" s="1">
        <f>TBL_Employees[[#This Row],[Annual Salary]]+TBL_Employees[[#This Row],[Bonus %]]*TBL_Employees[[#This Row],[Annual Salary]]</f>
        <v>97339</v>
      </c>
      <c r="P137" t="str">
        <f>IF(AND(TBL_Employees[[#This Row],[Department]]="IT",TBL_Employees[[#This Row],[Gender]]="Female"),"Yes","No")</f>
        <v>No</v>
      </c>
      <c r="Q137" t="str">
        <f>IF(AND(TBL_Employees[[#This Row],[Gender]]="Female",TBL_Employees[[#This Row],[Ethnicity]]="Black"), "Female_Black", "Others")</f>
        <v>Others</v>
      </c>
    </row>
    <row r="138" spans="1:17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7">
        <v>37680</v>
      </c>
      <c r="J138" s="1">
        <v>211291</v>
      </c>
      <c r="K138" s="2">
        <v>0.37</v>
      </c>
      <c r="L138" t="s">
        <v>33</v>
      </c>
      <c r="M138" t="s">
        <v>80</v>
      </c>
      <c r="N138" s="7" t="s">
        <v>21</v>
      </c>
      <c r="O138" s="1">
        <f>TBL_Employees[[#This Row],[Annual Salary]]+TBL_Employees[[#This Row],[Bonus %]]*TBL_Employees[[#This Row],[Annual Salary]]</f>
        <v>289468.67</v>
      </c>
      <c r="P138" t="str">
        <f>IF(AND(TBL_Employees[[#This Row],[Department]]="IT",TBL_Employees[[#This Row],[Gender]]="Female"),"Yes","No")</f>
        <v>No</v>
      </c>
      <c r="Q138" t="str">
        <f>IF(AND(TBL_Employees[[#This Row],[Gender]]="Female",TBL_Employees[[#This Row],[Ethnicity]]="Black"), "Female_Black", "Others")</f>
        <v>Others</v>
      </c>
    </row>
    <row r="139" spans="1:17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7">
        <v>40778</v>
      </c>
      <c r="J139" s="1">
        <v>249506</v>
      </c>
      <c r="K139" s="2">
        <v>0.3</v>
      </c>
      <c r="L139" t="s">
        <v>52</v>
      </c>
      <c r="M139" t="s">
        <v>66</v>
      </c>
      <c r="N139" s="7" t="s">
        <v>21</v>
      </c>
      <c r="O139" s="1">
        <f>TBL_Employees[[#This Row],[Annual Salary]]+TBL_Employees[[#This Row],[Bonus %]]*TBL_Employees[[#This Row],[Annual Salary]]</f>
        <v>324357.8</v>
      </c>
      <c r="P139" t="str">
        <f>IF(AND(TBL_Employees[[#This Row],[Department]]="IT",TBL_Employees[[#This Row],[Gender]]="Female"),"Yes","No")</f>
        <v>No</v>
      </c>
      <c r="Q139" t="str">
        <f>IF(AND(TBL_Employees[[#This Row],[Gender]]="Female",TBL_Employees[[#This Row],[Ethnicity]]="Black"), "Female_Black", "Others")</f>
        <v>Others</v>
      </c>
    </row>
    <row r="140" spans="1:17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7">
        <v>37582</v>
      </c>
      <c r="J140" s="1">
        <v>80950</v>
      </c>
      <c r="K140" s="2">
        <v>0</v>
      </c>
      <c r="L140" t="s">
        <v>33</v>
      </c>
      <c r="M140" t="s">
        <v>80</v>
      </c>
      <c r="N140" s="7" t="s">
        <v>21</v>
      </c>
      <c r="O140" s="1">
        <f>TBL_Employees[[#This Row],[Annual Salary]]+TBL_Employees[[#This Row],[Bonus %]]*TBL_Employees[[#This Row],[Annual Salary]]</f>
        <v>80950</v>
      </c>
      <c r="P140" t="str">
        <f>IF(AND(TBL_Employees[[#This Row],[Department]]="IT",TBL_Employees[[#This Row],[Gender]]="Female"),"Yes","No")</f>
        <v>No</v>
      </c>
      <c r="Q140" t="str">
        <f>IF(AND(TBL_Employees[[#This Row],[Gender]]="Female",TBL_Employees[[#This Row],[Ethnicity]]="Black"), "Female_Black", "Others")</f>
        <v>Others</v>
      </c>
    </row>
    <row r="141" spans="1:17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7">
        <v>44206</v>
      </c>
      <c r="J141" s="1">
        <v>86538</v>
      </c>
      <c r="K141" s="2">
        <v>0</v>
      </c>
      <c r="L141" t="s">
        <v>33</v>
      </c>
      <c r="M141" t="s">
        <v>34</v>
      </c>
      <c r="N141" s="7" t="s">
        <v>21</v>
      </c>
      <c r="O141" s="1">
        <f>TBL_Employees[[#This Row],[Annual Salary]]+TBL_Employees[[#This Row],[Bonus %]]*TBL_Employees[[#This Row],[Annual Salary]]</f>
        <v>86538</v>
      </c>
      <c r="P141" t="str">
        <f>IF(AND(TBL_Employees[[#This Row],[Department]]="IT",TBL_Employees[[#This Row],[Gender]]="Female"),"Yes","No")</f>
        <v>No</v>
      </c>
      <c r="Q141" t="str">
        <f>IF(AND(TBL_Employees[[#This Row],[Gender]]="Female",TBL_Employees[[#This Row],[Ethnicity]]="Black"), "Female_Black", "Others")</f>
        <v>Others</v>
      </c>
    </row>
    <row r="142" spans="1:17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7">
        <v>43715</v>
      </c>
      <c r="J142" s="1">
        <v>70992</v>
      </c>
      <c r="K142" s="2">
        <v>0</v>
      </c>
      <c r="L142" t="s">
        <v>19</v>
      </c>
      <c r="M142" t="s">
        <v>25</v>
      </c>
      <c r="N142" s="7" t="s">
        <v>21</v>
      </c>
      <c r="O142" s="1">
        <f>TBL_Employees[[#This Row],[Annual Salary]]+TBL_Employees[[#This Row],[Bonus %]]*TBL_Employees[[#This Row],[Annual Salary]]</f>
        <v>70992</v>
      </c>
      <c r="P142" t="str">
        <f>IF(AND(TBL_Employees[[#This Row],[Department]]="IT",TBL_Employees[[#This Row],[Gender]]="Female"),"Yes","No")</f>
        <v>No</v>
      </c>
      <c r="Q142" t="str">
        <f>IF(AND(TBL_Employees[[#This Row],[Gender]]="Female",TBL_Employees[[#This Row],[Ethnicity]]="Black"), "Female_Black", "Others")</f>
        <v>Others</v>
      </c>
    </row>
    <row r="143" spans="1:17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7">
        <v>42173</v>
      </c>
      <c r="J143" s="1">
        <v>205314</v>
      </c>
      <c r="K143" s="2">
        <v>0.3</v>
      </c>
      <c r="L143" t="s">
        <v>19</v>
      </c>
      <c r="M143" t="s">
        <v>29</v>
      </c>
      <c r="N143" s="7" t="s">
        <v>21</v>
      </c>
      <c r="O143" s="1">
        <f>TBL_Employees[[#This Row],[Annual Salary]]+TBL_Employees[[#This Row],[Bonus %]]*TBL_Employees[[#This Row],[Annual Salary]]</f>
        <v>266908.2</v>
      </c>
      <c r="P143" t="str">
        <f>IF(AND(TBL_Employees[[#This Row],[Department]]="IT",TBL_Employees[[#This Row],[Gender]]="Female"),"Yes","No")</f>
        <v>No</v>
      </c>
      <c r="Q143" t="str">
        <f>IF(AND(TBL_Employees[[#This Row],[Gender]]="Female",TBL_Employees[[#This Row],[Ethnicity]]="Black"), "Female_Black", "Others")</f>
        <v>Others</v>
      </c>
    </row>
    <row r="144" spans="1:17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7">
        <v>42804</v>
      </c>
      <c r="J144" s="1">
        <v>196951</v>
      </c>
      <c r="K144" s="2">
        <v>0.33</v>
      </c>
      <c r="L144" t="s">
        <v>33</v>
      </c>
      <c r="M144" t="s">
        <v>60</v>
      </c>
      <c r="N144" s="7" t="s">
        <v>21</v>
      </c>
      <c r="O144" s="1">
        <f>TBL_Employees[[#This Row],[Annual Salary]]+TBL_Employees[[#This Row],[Bonus %]]*TBL_Employees[[#This Row],[Annual Salary]]</f>
        <v>261944.83000000002</v>
      </c>
      <c r="P144" t="str">
        <f>IF(AND(TBL_Employees[[#This Row],[Department]]="IT",TBL_Employees[[#This Row],[Gender]]="Female"),"Yes","No")</f>
        <v>No</v>
      </c>
      <c r="Q144" t="str">
        <f>IF(AND(TBL_Employees[[#This Row],[Gender]]="Female",TBL_Employees[[#This Row],[Ethnicity]]="Black"), "Female_Black", "Others")</f>
        <v>Others</v>
      </c>
    </row>
    <row r="145" spans="1:17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7">
        <v>38613</v>
      </c>
      <c r="J145" s="1">
        <v>67686</v>
      </c>
      <c r="K145" s="2">
        <v>0</v>
      </c>
      <c r="L145" t="s">
        <v>33</v>
      </c>
      <c r="M145" t="s">
        <v>60</v>
      </c>
      <c r="N145" s="7" t="s">
        <v>21</v>
      </c>
      <c r="O145" s="1">
        <f>TBL_Employees[[#This Row],[Annual Salary]]+TBL_Employees[[#This Row],[Bonus %]]*TBL_Employees[[#This Row],[Annual Salary]]</f>
        <v>67686</v>
      </c>
      <c r="P145" t="str">
        <f>IF(AND(TBL_Employees[[#This Row],[Department]]="IT",TBL_Employees[[#This Row],[Gender]]="Female"),"Yes","No")</f>
        <v>No</v>
      </c>
      <c r="Q145" t="str">
        <f>IF(AND(TBL_Employees[[#This Row],[Gender]]="Female",TBL_Employees[[#This Row],[Ethnicity]]="Black"), "Female_Black", "Others")</f>
        <v>Others</v>
      </c>
    </row>
    <row r="146" spans="1:17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7">
        <v>39553</v>
      </c>
      <c r="J146" s="1">
        <v>86431</v>
      </c>
      <c r="K146" s="2">
        <v>0</v>
      </c>
      <c r="L146" t="s">
        <v>19</v>
      </c>
      <c r="M146" t="s">
        <v>29</v>
      </c>
      <c r="N146" s="7" t="s">
        <v>21</v>
      </c>
      <c r="O146" s="1">
        <f>TBL_Employees[[#This Row],[Annual Salary]]+TBL_Employees[[#This Row],[Bonus %]]*TBL_Employees[[#This Row],[Annual Salary]]</f>
        <v>86431</v>
      </c>
      <c r="P146" t="str">
        <f>IF(AND(TBL_Employees[[#This Row],[Department]]="IT",TBL_Employees[[#This Row],[Gender]]="Female"),"Yes","No")</f>
        <v>No</v>
      </c>
      <c r="Q146" t="str">
        <f>IF(AND(TBL_Employees[[#This Row],[Gender]]="Female",TBL_Employees[[#This Row],[Ethnicity]]="Black"), "Female_Black", "Others")</f>
        <v>Others</v>
      </c>
    </row>
    <row r="147" spans="1:17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7">
        <v>35019</v>
      </c>
      <c r="J147" s="1">
        <v>125936</v>
      </c>
      <c r="K147" s="2">
        <v>0.08</v>
      </c>
      <c r="L147" t="s">
        <v>33</v>
      </c>
      <c r="M147" t="s">
        <v>80</v>
      </c>
      <c r="N147" s="7" t="s">
        <v>21</v>
      </c>
      <c r="O147" s="1">
        <f>TBL_Employees[[#This Row],[Annual Salary]]+TBL_Employees[[#This Row],[Bonus %]]*TBL_Employees[[#This Row],[Annual Salary]]</f>
        <v>136010.88</v>
      </c>
      <c r="P147" t="str">
        <f>IF(AND(TBL_Employees[[#This Row],[Department]]="IT",TBL_Employees[[#This Row],[Gender]]="Female"),"Yes","No")</f>
        <v>No</v>
      </c>
      <c r="Q147" t="str">
        <f>IF(AND(TBL_Employees[[#This Row],[Gender]]="Female",TBL_Employees[[#This Row],[Ethnicity]]="Black"), "Female_Black", "Others")</f>
        <v>Others</v>
      </c>
    </row>
    <row r="148" spans="1:17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7">
        <v>41473</v>
      </c>
      <c r="J148" s="1">
        <v>149712</v>
      </c>
      <c r="K148" s="2">
        <v>0.14000000000000001</v>
      </c>
      <c r="L148" t="s">
        <v>19</v>
      </c>
      <c r="M148" t="s">
        <v>29</v>
      </c>
      <c r="N148" s="7" t="s">
        <v>21</v>
      </c>
      <c r="O148" s="1">
        <f>TBL_Employees[[#This Row],[Annual Salary]]+TBL_Employees[[#This Row],[Bonus %]]*TBL_Employees[[#This Row],[Annual Salary]]</f>
        <v>170671.68</v>
      </c>
      <c r="P148" t="str">
        <f>IF(AND(TBL_Employees[[#This Row],[Department]]="IT",TBL_Employees[[#This Row],[Gender]]="Female"),"Yes","No")</f>
        <v>No</v>
      </c>
      <c r="Q148" t="str">
        <f>IF(AND(TBL_Employees[[#This Row],[Gender]]="Female",TBL_Employees[[#This Row],[Ethnicity]]="Black"), "Female_Black", "Others")</f>
        <v>Others</v>
      </c>
    </row>
    <row r="149" spans="1:17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7">
        <v>44471</v>
      </c>
      <c r="J149" s="1">
        <v>88758</v>
      </c>
      <c r="K149" s="2">
        <v>0</v>
      </c>
      <c r="L149" t="s">
        <v>19</v>
      </c>
      <c r="M149" t="s">
        <v>63</v>
      </c>
      <c r="N149" s="7" t="s">
        <v>21</v>
      </c>
      <c r="O149" s="1">
        <f>TBL_Employees[[#This Row],[Annual Salary]]+TBL_Employees[[#This Row],[Bonus %]]*TBL_Employees[[#This Row],[Annual Salary]]</f>
        <v>88758</v>
      </c>
      <c r="P149" t="str">
        <f>IF(AND(TBL_Employees[[#This Row],[Department]]="IT",TBL_Employees[[#This Row],[Gender]]="Female"),"Yes","No")</f>
        <v>No</v>
      </c>
      <c r="Q149" t="str">
        <f>IF(AND(TBL_Employees[[#This Row],[Gender]]="Female",TBL_Employees[[#This Row],[Ethnicity]]="Black"), "Female_Black", "Others")</f>
        <v>Others</v>
      </c>
    </row>
    <row r="150" spans="1:17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7">
        <v>41468</v>
      </c>
      <c r="J150" s="1">
        <v>83639</v>
      </c>
      <c r="K150" s="2">
        <v>0</v>
      </c>
      <c r="L150" t="s">
        <v>33</v>
      </c>
      <c r="M150" t="s">
        <v>60</v>
      </c>
      <c r="N150" s="7" t="s">
        <v>21</v>
      </c>
      <c r="O150" s="1">
        <f>TBL_Employees[[#This Row],[Annual Salary]]+TBL_Employees[[#This Row],[Bonus %]]*TBL_Employees[[#This Row],[Annual Salary]]</f>
        <v>83639</v>
      </c>
      <c r="P150" t="str">
        <f>IF(AND(TBL_Employees[[#This Row],[Department]]="IT",TBL_Employees[[#This Row],[Gender]]="Female"),"Yes","No")</f>
        <v>No</v>
      </c>
      <c r="Q150" t="str">
        <f>IF(AND(TBL_Employees[[#This Row],[Gender]]="Female",TBL_Employees[[#This Row],[Ethnicity]]="Black"), "Female_Black", "Others")</f>
        <v>Others</v>
      </c>
    </row>
    <row r="151" spans="1:17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7">
        <v>35933</v>
      </c>
      <c r="J151" s="1">
        <v>68268</v>
      </c>
      <c r="K151" s="2">
        <v>0</v>
      </c>
      <c r="L151" t="s">
        <v>19</v>
      </c>
      <c r="M151" t="s">
        <v>39</v>
      </c>
      <c r="N151" s="7" t="s">
        <v>21</v>
      </c>
      <c r="O151" s="1">
        <f>TBL_Employees[[#This Row],[Annual Salary]]+TBL_Employees[[#This Row],[Bonus %]]*TBL_Employees[[#This Row],[Annual Salary]]</f>
        <v>68268</v>
      </c>
      <c r="P151" t="str">
        <f>IF(AND(TBL_Employees[[#This Row],[Department]]="IT",TBL_Employees[[#This Row],[Gender]]="Female"),"Yes","No")</f>
        <v>Yes</v>
      </c>
      <c r="Q151" t="str">
        <f>IF(AND(TBL_Employees[[#This Row],[Gender]]="Female",TBL_Employees[[#This Row],[Ethnicity]]="Black"), "Female_Black", "Others")</f>
        <v>Others</v>
      </c>
    </row>
    <row r="152" spans="1:17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7">
        <v>37313</v>
      </c>
      <c r="J152" s="1">
        <v>75819</v>
      </c>
      <c r="K152" s="2">
        <v>0</v>
      </c>
      <c r="L152" t="s">
        <v>52</v>
      </c>
      <c r="M152" t="s">
        <v>53</v>
      </c>
      <c r="N152" s="7" t="s">
        <v>21</v>
      </c>
      <c r="O152" s="1">
        <f>TBL_Employees[[#This Row],[Annual Salary]]+TBL_Employees[[#This Row],[Bonus %]]*TBL_Employees[[#This Row],[Annual Salary]]</f>
        <v>75819</v>
      </c>
      <c r="P152" t="str">
        <f>IF(AND(TBL_Employees[[#This Row],[Department]]="IT",TBL_Employees[[#This Row],[Gender]]="Female"),"Yes","No")</f>
        <v>No</v>
      </c>
      <c r="Q152" t="str">
        <f>IF(AND(TBL_Employees[[#This Row],[Gender]]="Female",TBL_Employees[[#This Row],[Ethnicity]]="Black"), "Female_Black", "Others")</f>
        <v>Others</v>
      </c>
    </row>
    <row r="153" spans="1:17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7">
        <v>35200</v>
      </c>
      <c r="J153" s="1">
        <v>86658</v>
      </c>
      <c r="K153" s="2">
        <v>0</v>
      </c>
      <c r="L153" t="s">
        <v>19</v>
      </c>
      <c r="M153" t="s">
        <v>39</v>
      </c>
      <c r="N153" s="7" t="s">
        <v>21</v>
      </c>
      <c r="O153" s="1">
        <f>TBL_Employees[[#This Row],[Annual Salary]]+TBL_Employees[[#This Row],[Bonus %]]*TBL_Employees[[#This Row],[Annual Salary]]</f>
        <v>86658</v>
      </c>
      <c r="P153" t="str">
        <f>IF(AND(TBL_Employees[[#This Row],[Department]]="IT",TBL_Employees[[#This Row],[Gender]]="Female"),"Yes","No")</f>
        <v>No</v>
      </c>
      <c r="Q153" t="str">
        <f>IF(AND(TBL_Employees[[#This Row],[Gender]]="Female",TBL_Employees[[#This Row],[Ethnicity]]="Black"), "Female_Black", "Others")</f>
        <v>Others</v>
      </c>
    </row>
    <row r="154" spans="1:17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7">
        <v>41714</v>
      </c>
      <c r="J154" s="1">
        <v>74552</v>
      </c>
      <c r="K154" s="2">
        <v>0</v>
      </c>
      <c r="L154" t="s">
        <v>33</v>
      </c>
      <c r="M154" t="s">
        <v>34</v>
      </c>
      <c r="N154" s="7" t="s">
        <v>21</v>
      </c>
      <c r="O154" s="1">
        <f>TBL_Employees[[#This Row],[Annual Salary]]+TBL_Employees[[#This Row],[Bonus %]]*TBL_Employees[[#This Row],[Annual Salary]]</f>
        <v>74552</v>
      </c>
      <c r="P154" t="str">
        <f>IF(AND(TBL_Employees[[#This Row],[Department]]="IT",TBL_Employees[[#This Row],[Gender]]="Female"),"Yes","No")</f>
        <v>No</v>
      </c>
      <c r="Q154" t="str">
        <f>IF(AND(TBL_Employees[[#This Row],[Gender]]="Female",TBL_Employees[[#This Row],[Ethnicity]]="Black"), "Female_Black", "Others")</f>
        <v>Others</v>
      </c>
    </row>
    <row r="155" spans="1:17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7">
        <v>39887</v>
      </c>
      <c r="J155" s="1">
        <v>82839</v>
      </c>
      <c r="K155" s="2">
        <v>0</v>
      </c>
      <c r="L155" t="s">
        <v>19</v>
      </c>
      <c r="M155" t="s">
        <v>45</v>
      </c>
      <c r="N155" s="7" t="s">
        <v>21</v>
      </c>
      <c r="O155" s="1">
        <f>TBL_Employees[[#This Row],[Annual Salary]]+TBL_Employees[[#This Row],[Bonus %]]*TBL_Employees[[#This Row],[Annual Salary]]</f>
        <v>82839</v>
      </c>
      <c r="P155" t="str">
        <f>IF(AND(TBL_Employees[[#This Row],[Department]]="IT",TBL_Employees[[#This Row],[Gender]]="Female"),"Yes","No")</f>
        <v>Yes</v>
      </c>
      <c r="Q155" t="str">
        <f>IF(AND(TBL_Employees[[#This Row],[Gender]]="Female",TBL_Employees[[#This Row],[Ethnicity]]="Black"), "Female_Black", "Others")</f>
        <v>Others</v>
      </c>
    </row>
    <row r="156" spans="1:17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7">
        <v>44477</v>
      </c>
      <c r="J156" s="1">
        <v>64475</v>
      </c>
      <c r="K156" s="2">
        <v>0</v>
      </c>
      <c r="L156" t="s">
        <v>19</v>
      </c>
      <c r="M156" t="s">
        <v>39</v>
      </c>
      <c r="N156" s="7" t="s">
        <v>21</v>
      </c>
      <c r="O156" s="1">
        <f>TBL_Employees[[#This Row],[Annual Salary]]+TBL_Employees[[#This Row],[Bonus %]]*TBL_Employees[[#This Row],[Annual Salary]]</f>
        <v>64475</v>
      </c>
      <c r="P156" t="str">
        <f>IF(AND(TBL_Employees[[#This Row],[Department]]="IT",TBL_Employees[[#This Row],[Gender]]="Female"),"Yes","No")</f>
        <v>Yes</v>
      </c>
      <c r="Q156" t="str">
        <f>IF(AND(TBL_Employees[[#This Row],[Gender]]="Female",TBL_Employees[[#This Row],[Ethnicity]]="Black"), "Female_Black", "Others")</f>
        <v>Others</v>
      </c>
    </row>
    <row r="157" spans="1:17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7">
        <v>44036</v>
      </c>
      <c r="J157" s="1">
        <v>69453</v>
      </c>
      <c r="K157" s="2">
        <v>0</v>
      </c>
      <c r="L157" t="s">
        <v>33</v>
      </c>
      <c r="M157" t="s">
        <v>34</v>
      </c>
      <c r="N157" s="7" t="s">
        <v>21</v>
      </c>
      <c r="O157" s="1">
        <f>TBL_Employees[[#This Row],[Annual Salary]]+TBL_Employees[[#This Row],[Bonus %]]*TBL_Employees[[#This Row],[Annual Salary]]</f>
        <v>69453</v>
      </c>
      <c r="P157" t="str">
        <f>IF(AND(TBL_Employees[[#This Row],[Department]]="IT",TBL_Employees[[#This Row],[Gender]]="Female"),"Yes","No")</f>
        <v>No</v>
      </c>
      <c r="Q157" t="str">
        <f>IF(AND(TBL_Employees[[#This Row],[Gender]]="Female",TBL_Employees[[#This Row],[Ethnicity]]="Black"), "Female_Black", "Others")</f>
        <v>Others</v>
      </c>
    </row>
    <row r="158" spans="1:17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7">
        <v>41642</v>
      </c>
      <c r="J158" s="1">
        <v>127148</v>
      </c>
      <c r="K158" s="2">
        <v>0.1</v>
      </c>
      <c r="L158" t="s">
        <v>19</v>
      </c>
      <c r="M158" t="s">
        <v>45</v>
      </c>
      <c r="N158" s="7" t="s">
        <v>21</v>
      </c>
      <c r="O158" s="1">
        <f>TBL_Employees[[#This Row],[Annual Salary]]+TBL_Employees[[#This Row],[Bonus %]]*TBL_Employees[[#This Row],[Annual Salary]]</f>
        <v>139862.79999999999</v>
      </c>
      <c r="P158" t="str">
        <f>IF(AND(TBL_Employees[[#This Row],[Department]]="IT",TBL_Employees[[#This Row],[Gender]]="Female"),"Yes","No")</f>
        <v>No</v>
      </c>
      <c r="Q158" t="str">
        <f>IF(AND(TBL_Employees[[#This Row],[Gender]]="Female",TBL_Employees[[#This Row],[Ethnicity]]="Black"), "Female_Black", "Others")</f>
        <v>Others</v>
      </c>
    </row>
    <row r="159" spans="1:17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7">
        <v>43102</v>
      </c>
      <c r="J159" s="1">
        <v>190253</v>
      </c>
      <c r="K159" s="2">
        <v>0.33</v>
      </c>
      <c r="L159" t="s">
        <v>19</v>
      </c>
      <c r="M159" t="s">
        <v>25</v>
      </c>
      <c r="N159" s="7" t="s">
        <v>21</v>
      </c>
      <c r="O159" s="1">
        <f>TBL_Employees[[#This Row],[Annual Salary]]+TBL_Employees[[#This Row],[Bonus %]]*TBL_Employees[[#This Row],[Annual Salary]]</f>
        <v>253036.49</v>
      </c>
      <c r="P159" t="str">
        <f>IF(AND(TBL_Employees[[#This Row],[Department]]="IT",TBL_Employees[[#This Row],[Gender]]="Female"),"Yes","No")</f>
        <v>No</v>
      </c>
      <c r="Q159" t="str">
        <f>IF(AND(TBL_Employees[[#This Row],[Gender]]="Female",TBL_Employees[[#This Row],[Ethnicity]]="Black"), "Female_Black", "Others")</f>
        <v>Others</v>
      </c>
    </row>
    <row r="160" spans="1:17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7">
        <v>36644</v>
      </c>
      <c r="J160" s="1">
        <v>115798</v>
      </c>
      <c r="K160" s="2">
        <v>0.05</v>
      </c>
      <c r="L160" t="s">
        <v>19</v>
      </c>
      <c r="M160" t="s">
        <v>45</v>
      </c>
      <c r="N160" s="7" t="s">
        <v>21</v>
      </c>
      <c r="O160" s="1">
        <f>TBL_Employees[[#This Row],[Annual Salary]]+TBL_Employees[[#This Row],[Bonus %]]*TBL_Employees[[#This Row],[Annual Salary]]</f>
        <v>121587.9</v>
      </c>
      <c r="P160" t="str">
        <f>IF(AND(TBL_Employees[[#This Row],[Department]]="IT",TBL_Employees[[#This Row],[Gender]]="Female"),"Yes","No")</f>
        <v>No</v>
      </c>
      <c r="Q160" t="str">
        <f>IF(AND(TBL_Employees[[#This Row],[Gender]]="Female",TBL_Employees[[#This Row],[Ethnicity]]="Black"), "Female_Black", "Others")</f>
        <v>Others</v>
      </c>
    </row>
    <row r="161" spans="1:17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7">
        <v>34567</v>
      </c>
      <c r="J161" s="1">
        <v>93102</v>
      </c>
      <c r="K161" s="2">
        <v>0</v>
      </c>
      <c r="L161" t="s">
        <v>19</v>
      </c>
      <c r="M161" t="s">
        <v>63</v>
      </c>
      <c r="N161" s="7">
        <v>41621</v>
      </c>
      <c r="O161" s="1">
        <f>TBL_Employees[[#This Row],[Annual Salary]]+TBL_Employees[[#This Row],[Bonus %]]*TBL_Employees[[#This Row],[Annual Salary]]</f>
        <v>93102</v>
      </c>
      <c r="P161" t="str">
        <f>IF(AND(TBL_Employees[[#This Row],[Department]]="IT",TBL_Employees[[#This Row],[Gender]]="Female"),"Yes","No")</f>
        <v>No</v>
      </c>
      <c r="Q161" t="str">
        <f>IF(AND(TBL_Employees[[#This Row],[Gender]]="Female",TBL_Employees[[#This Row],[Ethnicity]]="Black"), "Female_Black", "Others")</f>
        <v>Others</v>
      </c>
    </row>
    <row r="162" spans="1:17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7">
        <v>43055</v>
      </c>
      <c r="J162" s="1">
        <v>110054</v>
      </c>
      <c r="K162" s="2">
        <v>0.15</v>
      </c>
      <c r="L162" t="s">
        <v>19</v>
      </c>
      <c r="M162" t="s">
        <v>45</v>
      </c>
      <c r="N162" s="7" t="s">
        <v>21</v>
      </c>
      <c r="O162" s="1">
        <f>TBL_Employees[[#This Row],[Annual Salary]]+TBL_Employees[[#This Row],[Bonus %]]*TBL_Employees[[#This Row],[Annual Salary]]</f>
        <v>126562.1</v>
      </c>
      <c r="P162" t="str">
        <f>IF(AND(TBL_Employees[[#This Row],[Department]]="IT",TBL_Employees[[#This Row],[Gender]]="Female"),"Yes","No")</f>
        <v>No</v>
      </c>
      <c r="Q162" t="str">
        <f>IF(AND(TBL_Employees[[#This Row],[Gender]]="Female",TBL_Employees[[#This Row],[Ethnicity]]="Black"), "Female_Black", "Others")</f>
        <v>Others</v>
      </c>
    </row>
    <row r="163" spans="1:17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7">
        <v>44224</v>
      </c>
      <c r="J163" s="1">
        <v>95786</v>
      </c>
      <c r="K163" s="2">
        <v>0</v>
      </c>
      <c r="L163" t="s">
        <v>19</v>
      </c>
      <c r="M163" t="s">
        <v>20</v>
      </c>
      <c r="N163" s="7" t="s">
        <v>21</v>
      </c>
      <c r="O163" s="1">
        <f>TBL_Employees[[#This Row],[Annual Salary]]+TBL_Employees[[#This Row],[Bonus %]]*TBL_Employees[[#This Row],[Annual Salary]]</f>
        <v>95786</v>
      </c>
      <c r="P163" t="str">
        <f>IF(AND(TBL_Employees[[#This Row],[Department]]="IT",TBL_Employees[[#This Row],[Gender]]="Female"),"Yes","No")</f>
        <v>No</v>
      </c>
      <c r="Q163" t="str">
        <f>IF(AND(TBL_Employees[[#This Row],[Gender]]="Female",TBL_Employees[[#This Row],[Ethnicity]]="Black"), "Female_Black", "Others")</f>
        <v>Female_Black</v>
      </c>
    </row>
    <row r="164" spans="1:17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7">
        <v>42858</v>
      </c>
      <c r="J164" s="1">
        <v>90855</v>
      </c>
      <c r="K164" s="2">
        <v>0</v>
      </c>
      <c r="L164" t="s">
        <v>52</v>
      </c>
      <c r="M164" t="s">
        <v>53</v>
      </c>
      <c r="N164" s="7" t="s">
        <v>21</v>
      </c>
      <c r="O164" s="1">
        <f>TBL_Employees[[#This Row],[Annual Salary]]+TBL_Employees[[#This Row],[Bonus %]]*TBL_Employees[[#This Row],[Annual Salary]]</f>
        <v>90855</v>
      </c>
      <c r="P164" t="str">
        <f>IF(AND(TBL_Employees[[#This Row],[Department]]="IT",TBL_Employees[[#This Row],[Gender]]="Female"),"Yes","No")</f>
        <v>No</v>
      </c>
      <c r="Q164" t="str">
        <f>IF(AND(TBL_Employees[[#This Row],[Gender]]="Female",TBL_Employees[[#This Row],[Ethnicity]]="Black"), "Female_Black", "Others")</f>
        <v>Others</v>
      </c>
    </row>
    <row r="165" spans="1:17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7">
        <v>36233</v>
      </c>
      <c r="J165" s="1">
        <v>92897</v>
      </c>
      <c r="K165" s="2">
        <v>0</v>
      </c>
      <c r="L165" t="s">
        <v>52</v>
      </c>
      <c r="M165" t="s">
        <v>53</v>
      </c>
      <c r="N165" s="7" t="s">
        <v>21</v>
      </c>
      <c r="O165" s="1">
        <f>TBL_Employees[[#This Row],[Annual Salary]]+TBL_Employees[[#This Row],[Bonus %]]*TBL_Employees[[#This Row],[Annual Salary]]</f>
        <v>92897</v>
      </c>
      <c r="P165" t="str">
        <f>IF(AND(TBL_Employees[[#This Row],[Department]]="IT",TBL_Employees[[#This Row],[Gender]]="Female"),"Yes","No")</f>
        <v>No</v>
      </c>
      <c r="Q165" t="str">
        <f>IF(AND(TBL_Employees[[#This Row],[Gender]]="Female",TBL_Employees[[#This Row],[Ethnicity]]="Black"), "Female_Black", "Others")</f>
        <v>Others</v>
      </c>
    </row>
    <row r="166" spans="1:17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7">
        <v>39872</v>
      </c>
      <c r="J166" s="1">
        <v>242919</v>
      </c>
      <c r="K166" s="2">
        <v>0.31</v>
      </c>
      <c r="L166" t="s">
        <v>33</v>
      </c>
      <c r="M166" t="s">
        <v>80</v>
      </c>
      <c r="N166" s="7" t="s">
        <v>21</v>
      </c>
      <c r="O166" s="1">
        <f>TBL_Employees[[#This Row],[Annual Salary]]+TBL_Employees[[#This Row],[Bonus %]]*TBL_Employees[[#This Row],[Annual Salary]]</f>
        <v>318223.89</v>
      </c>
      <c r="P166" t="str">
        <f>IF(AND(TBL_Employees[[#This Row],[Department]]="IT",TBL_Employees[[#This Row],[Gender]]="Female"),"Yes","No")</f>
        <v>No</v>
      </c>
      <c r="Q166" t="str">
        <f>IF(AND(TBL_Employees[[#This Row],[Gender]]="Female",TBL_Employees[[#This Row],[Ethnicity]]="Black"), "Female_Black", "Others")</f>
        <v>Others</v>
      </c>
    </row>
    <row r="167" spans="1:17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7">
        <v>43240</v>
      </c>
      <c r="J167" s="1">
        <v>184368</v>
      </c>
      <c r="K167" s="2">
        <v>0.28999999999999998</v>
      </c>
      <c r="L167" t="s">
        <v>19</v>
      </c>
      <c r="M167" t="s">
        <v>25</v>
      </c>
      <c r="N167" s="7" t="s">
        <v>21</v>
      </c>
      <c r="O167" s="1">
        <f>TBL_Employees[[#This Row],[Annual Salary]]+TBL_Employees[[#This Row],[Bonus %]]*TBL_Employees[[#This Row],[Annual Salary]]</f>
        <v>237834.72</v>
      </c>
      <c r="P167" t="str">
        <f>IF(AND(TBL_Employees[[#This Row],[Department]]="IT",TBL_Employees[[#This Row],[Gender]]="Female"),"Yes","No")</f>
        <v>No</v>
      </c>
      <c r="Q167" t="str">
        <f>IF(AND(TBL_Employees[[#This Row],[Gender]]="Female",TBL_Employees[[#This Row],[Ethnicity]]="Black"), "Female_Black", "Others")</f>
        <v>Others</v>
      </c>
    </row>
    <row r="168" spans="1:17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7">
        <v>44554</v>
      </c>
      <c r="J168" s="1">
        <v>144754</v>
      </c>
      <c r="K168" s="2">
        <v>0.15</v>
      </c>
      <c r="L168" t="s">
        <v>19</v>
      </c>
      <c r="M168" t="s">
        <v>39</v>
      </c>
      <c r="N168" s="7" t="s">
        <v>21</v>
      </c>
      <c r="O168" s="1">
        <f>TBL_Employees[[#This Row],[Annual Salary]]+TBL_Employees[[#This Row],[Bonus %]]*TBL_Employees[[#This Row],[Annual Salary]]</f>
        <v>166467.1</v>
      </c>
      <c r="P168" t="str">
        <f>IF(AND(TBL_Employees[[#This Row],[Department]]="IT",TBL_Employees[[#This Row],[Gender]]="Female"),"Yes","No")</f>
        <v>No</v>
      </c>
      <c r="Q168" t="str">
        <f>IF(AND(TBL_Employees[[#This Row],[Gender]]="Female",TBL_Employees[[#This Row],[Ethnicity]]="Black"), "Female_Black", "Others")</f>
        <v>Others</v>
      </c>
    </row>
    <row r="169" spans="1:17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7">
        <v>42722</v>
      </c>
      <c r="J169" s="1">
        <v>89458</v>
      </c>
      <c r="K169" s="2">
        <v>0</v>
      </c>
      <c r="L169" t="s">
        <v>19</v>
      </c>
      <c r="M169" t="s">
        <v>25</v>
      </c>
      <c r="N169" s="7" t="s">
        <v>21</v>
      </c>
      <c r="O169" s="1">
        <f>TBL_Employees[[#This Row],[Annual Salary]]+TBL_Employees[[#This Row],[Bonus %]]*TBL_Employees[[#This Row],[Annual Salary]]</f>
        <v>89458</v>
      </c>
      <c r="P169" t="str">
        <f>IF(AND(TBL_Employees[[#This Row],[Department]]="IT",TBL_Employees[[#This Row],[Gender]]="Female"),"Yes","No")</f>
        <v>No</v>
      </c>
      <c r="Q169" t="str">
        <f>IF(AND(TBL_Employees[[#This Row],[Gender]]="Female",TBL_Employees[[#This Row],[Ethnicity]]="Black"), "Female_Black", "Others")</f>
        <v>Others</v>
      </c>
    </row>
    <row r="170" spans="1:17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7">
        <v>41714</v>
      </c>
      <c r="J170" s="1">
        <v>190815</v>
      </c>
      <c r="K170" s="2">
        <v>0.4</v>
      </c>
      <c r="L170" t="s">
        <v>19</v>
      </c>
      <c r="M170" t="s">
        <v>25</v>
      </c>
      <c r="N170" s="7" t="s">
        <v>21</v>
      </c>
      <c r="O170" s="1">
        <f>TBL_Employees[[#This Row],[Annual Salary]]+TBL_Employees[[#This Row],[Bonus %]]*TBL_Employees[[#This Row],[Annual Salary]]</f>
        <v>267141</v>
      </c>
      <c r="P170" t="str">
        <f>IF(AND(TBL_Employees[[#This Row],[Department]]="IT",TBL_Employees[[#This Row],[Gender]]="Female"),"Yes","No")</f>
        <v>No</v>
      </c>
      <c r="Q170" t="str">
        <f>IF(AND(TBL_Employees[[#This Row],[Gender]]="Female",TBL_Employees[[#This Row],[Ethnicity]]="Black"), "Female_Black", "Others")</f>
        <v>Others</v>
      </c>
    </row>
    <row r="171" spans="1:17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7">
        <v>36374</v>
      </c>
      <c r="J171" s="1">
        <v>137995</v>
      </c>
      <c r="K171" s="2">
        <v>0.14000000000000001</v>
      </c>
      <c r="L171" t="s">
        <v>19</v>
      </c>
      <c r="M171" t="s">
        <v>25</v>
      </c>
      <c r="N171" s="7" t="s">
        <v>21</v>
      </c>
      <c r="O171" s="1">
        <f>TBL_Employees[[#This Row],[Annual Salary]]+TBL_Employees[[#This Row],[Bonus %]]*TBL_Employees[[#This Row],[Annual Salary]]</f>
        <v>157314.29999999999</v>
      </c>
      <c r="P171" t="str">
        <f>IF(AND(TBL_Employees[[#This Row],[Department]]="IT",TBL_Employees[[#This Row],[Gender]]="Female"),"Yes","No")</f>
        <v>No</v>
      </c>
      <c r="Q171" t="str">
        <f>IF(AND(TBL_Employees[[#This Row],[Gender]]="Female",TBL_Employees[[#This Row],[Ethnicity]]="Black"), "Female_Black", "Others")</f>
        <v>Others</v>
      </c>
    </row>
    <row r="172" spans="1:17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7">
        <v>39437</v>
      </c>
      <c r="J172" s="1">
        <v>93840</v>
      </c>
      <c r="K172" s="2">
        <v>0</v>
      </c>
      <c r="L172" t="s">
        <v>52</v>
      </c>
      <c r="M172" t="s">
        <v>81</v>
      </c>
      <c r="N172" s="7" t="s">
        <v>21</v>
      </c>
      <c r="O172" s="1">
        <f>TBL_Employees[[#This Row],[Annual Salary]]+TBL_Employees[[#This Row],[Bonus %]]*TBL_Employees[[#This Row],[Annual Salary]]</f>
        <v>93840</v>
      </c>
      <c r="P172" t="str">
        <f>IF(AND(TBL_Employees[[#This Row],[Department]]="IT",TBL_Employees[[#This Row],[Gender]]="Female"),"Yes","No")</f>
        <v>No</v>
      </c>
      <c r="Q172" t="str">
        <f>IF(AND(TBL_Employees[[#This Row],[Gender]]="Female",TBL_Employees[[#This Row],[Ethnicity]]="Black"), "Female_Black", "Others")</f>
        <v>Others</v>
      </c>
    </row>
    <row r="173" spans="1:17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7">
        <v>44495</v>
      </c>
      <c r="J173" s="1">
        <v>94790</v>
      </c>
      <c r="K173" s="2">
        <v>0</v>
      </c>
      <c r="L173" t="s">
        <v>33</v>
      </c>
      <c r="M173" t="s">
        <v>80</v>
      </c>
      <c r="N173" s="7" t="s">
        <v>21</v>
      </c>
      <c r="O173" s="1">
        <f>TBL_Employees[[#This Row],[Annual Salary]]+TBL_Employees[[#This Row],[Bonus %]]*TBL_Employees[[#This Row],[Annual Salary]]</f>
        <v>94790</v>
      </c>
      <c r="P173" t="str">
        <f>IF(AND(TBL_Employees[[#This Row],[Department]]="IT",TBL_Employees[[#This Row],[Gender]]="Female"),"Yes","No")</f>
        <v>No</v>
      </c>
      <c r="Q173" t="str">
        <f>IF(AND(TBL_Employees[[#This Row],[Gender]]="Female",TBL_Employees[[#This Row],[Ethnicity]]="Black"), "Female_Black", "Others")</f>
        <v>Others</v>
      </c>
    </row>
    <row r="174" spans="1:17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7">
        <v>41706</v>
      </c>
      <c r="J174" s="1">
        <v>197367</v>
      </c>
      <c r="K174" s="2">
        <v>0.39</v>
      </c>
      <c r="L174" t="s">
        <v>19</v>
      </c>
      <c r="M174" t="s">
        <v>25</v>
      </c>
      <c r="N174" s="7" t="s">
        <v>21</v>
      </c>
      <c r="O174" s="1">
        <f>TBL_Employees[[#This Row],[Annual Salary]]+TBL_Employees[[#This Row],[Bonus %]]*TBL_Employees[[#This Row],[Annual Salary]]</f>
        <v>274340.13</v>
      </c>
      <c r="P174" t="str">
        <f>IF(AND(TBL_Employees[[#This Row],[Department]]="IT",TBL_Employees[[#This Row],[Gender]]="Female"),"Yes","No")</f>
        <v>No</v>
      </c>
      <c r="Q174" t="str">
        <f>IF(AND(TBL_Employees[[#This Row],[Gender]]="Female",TBL_Employees[[#This Row],[Ethnicity]]="Black"), "Female_Black", "Others")</f>
        <v>Others</v>
      </c>
    </row>
    <row r="175" spans="1:17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7">
        <v>43276</v>
      </c>
      <c r="J175" s="1">
        <v>174097</v>
      </c>
      <c r="K175" s="2">
        <v>0.21</v>
      </c>
      <c r="L175" t="s">
        <v>19</v>
      </c>
      <c r="M175" t="s">
        <v>39</v>
      </c>
      <c r="N175" s="7" t="s">
        <v>21</v>
      </c>
      <c r="O175" s="1">
        <f>TBL_Employees[[#This Row],[Annual Salary]]+TBL_Employees[[#This Row],[Bonus %]]*TBL_Employees[[#This Row],[Annual Salary]]</f>
        <v>210657.37</v>
      </c>
      <c r="P175" t="str">
        <f>IF(AND(TBL_Employees[[#This Row],[Department]]="IT",TBL_Employees[[#This Row],[Gender]]="Female"),"Yes","No")</f>
        <v>No</v>
      </c>
      <c r="Q175" t="str">
        <f>IF(AND(TBL_Employees[[#This Row],[Gender]]="Female",TBL_Employees[[#This Row],[Ethnicity]]="Black"), "Female_Black", "Others")</f>
        <v>Others</v>
      </c>
    </row>
    <row r="176" spans="1:17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7">
        <v>39021</v>
      </c>
      <c r="J176" s="1">
        <v>120128</v>
      </c>
      <c r="K176" s="2">
        <v>0.1</v>
      </c>
      <c r="L176" t="s">
        <v>19</v>
      </c>
      <c r="M176" t="s">
        <v>25</v>
      </c>
      <c r="N176" s="7" t="s">
        <v>21</v>
      </c>
      <c r="O176" s="1">
        <f>TBL_Employees[[#This Row],[Annual Salary]]+TBL_Employees[[#This Row],[Bonus %]]*TBL_Employees[[#This Row],[Annual Salary]]</f>
        <v>132140.79999999999</v>
      </c>
      <c r="P176" t="str">
        <f>IF(AND(TBL_Employees[[#This Row],[Department]]="IT",TBL_Employees[[#This Row],[Gender]]="Female"),"Yes","No")</f>
        <v>No</v>
      </c>
      <c r="Q176" t="str">
        <f>IF(AND(TBL_Employees[[#This Row],[Gender]]="Female",TBL_Employees[[#This Row],[Ethnicity]]="Black"), "Female_Black", "Others")</f>
        <v>Others</v>
      </c>
    </row>
    <row r="177" spans="1:17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7">
        <v>39197</v>
      </c>
      <c r="J177" s="1">
        <v>129708</v>
      </c>
      <c r="K177" s="2">
        <v>0.05</v>
      </c>
      <c r="L177" t="s">
        <v>19</v>
      </c>
      <c r="M177" t="s">
        <v>45</v>
      </c>
      <c r="N177" s="7" t="s">
        <v>21</v>
      </c>
      <c r="O177" s="1">
        <f>TBL_Employees[[#This Row],[Annual Salary]]+TBL_Employees[[#This Row],[Bonus %]]*TBL_Employees[[#This Row],[Annual Salary]]</f>
        <v>136193.4</v>
      </c>
      <c r="P177" t="str">
        <f>IF(AND(TBL_Employees[[#This Row],[Department]]="IT",TBL_Employees[[#This Row],[Gender]]="Female"),"Yes","No")</f>
        <v>No</v>
      </c>
      <c r="Q177" t="str">
        <f>IF(AND(TBL_Employees[[#This Row],[Gender]]="Female",TBL_Employees[[#This Row],[Ethnicity]]="Black"), "Female_Black", "Others")</f>
        <v>Others</v>
      </c>
    </row>
    <row r="178" spans="1:17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7">
        <v>34595</v>
      </c>
      <c r="J178" s="1">
        <v>102270</v>
      </c>
      <c r="K178" s="2">
        <v>0.1</v>
      </c>
      <c r="L178" t="s">
        <v>19</v>
      </c>
      <c r="M178" t="s">
        <v>20</v>
      </c>
      <c r="N178" s="7" t="s">
        <v>21</v>
      </c>
      <c r="O178" s="1">
        <f>TBL_Employees[[#This Row],[Annual Salary]]+TBL_Employees[[#This Row],[Bonus %]]*TBL_Employees[[#This Row],[Annual Salary]]</f>
        <v>112497</v>
      </c>
      <c r="P178" t="str">
        <f>IF(AND(TBL_Employees[[#This Row],[Department]]="IT",TBL_Employees[[#This Row],[Gender]]="Female"),"Yes","No")</f>
        <v>No</v>
      </c>
      <c r="Q178" t="str">
        <f>IF(AND(TBL_Employees[[#This Row],[Gender]]="Female",TBL_Employees[[#This Row],[Ethnicity]]="Black"), "Female_Black", "Others")</f>
        <v>Others</v>
      </c>
    </row>
    <row r="179" spans="1:17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7">
        <v>38564</v>
      </c>
      <c r="J179" s="1">
        <v>249686</v>
      </c>
      <c r="K179" s="2">
        <v>0.31</v>
      </c>
      <c r="L179" t="s">
        <v>33</v>
      </c>
      <c r="M179" t="s">
        <v>80</v>
      </c>
      <c r="N179" s="7" t="s">
        <v>21</v>
      </c>
      <c r="O179" s="1">
        <f>TBL_Employees[[#This Row],[Annual Salary]]+TBL_Employees[[#This Row],[Bonus %]]*TBL_Employees[[#This Row],[Annual Salary]]</f>
        <v>327088.66000000003</v>
      </c>
      <c r="P179" t="str">
        <f>IF(AND(TBL_Employees[[#This Row],[Department]]="IT",TBL_Employees[[#This Row],[Gender]]="Female"),"Yes","No")</f>
        <v>No</v>
      </c>
      <c r="Q179" t="str">
        <f>IF(AND(TBL_Employees[[#This Row],[Gender]]="Female",TBL_Employees[[#This Row],[Ethnicity]]="Black"), "Female_Black", "Others")</f>
        <v>Others</v>
      </c>
    </row>
    <row r="180" spans="1:17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7">
        <v>37343</v>
      </c>
      <c r="J180" s="1">
        <v>50475</v>
      </c>
      <c r="K180" s="2">
        <v>0</v>
      </c>
      <c r="L180" t="s">
        <v>19</v>
      </c>
      <c r="M180" t="s">
        <v>29</v>
      </c>
      <c r="N180" s="7" t="s">
        <v>21</v>
      </c>
      <c r="O180" s="1">
        <f>TBL_Employees[[#This Row],[Annual Salary]]+TBL_Employees[[#This Row],[Bonus %]]*TBL_Employees[[#This Row],[Annual Salary]]</f>
        <v>50475</v>
      </c>
      <c r="P180" t="str">
        <f>IF(AND(TBL_Employees[[#This Row],[Department]]="IT",TBL_Employees[[#This Row],[Gender]]="Female"),"Yes","No")</f>
        <v>No</v>
      </c>
      <c r="Q180" t="str">
        <f>IF(AND(TBL_Employees[[#This Row],[Gender]]="Female",TBL_Employees[[#This Row],[Ethnicity]]="Black"), "Female_Black", "Others")</f>
        <v>Others</v>
      </c>
    </row>
    <row r="181" spans="1:17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7">
        <v>44014</v>
      </c>
      <c r="J181" s="1">
        <v>100099</v>
      </c>
      <c r="K181" s="2">
        <v>0.08</v>
      </c>
      <c r="L181" t="s">
        <v>19</v>
      </c>
      <c r="M181" t="s">
        <v>45</v>
      </c>
      <c r="N181" s="7" t="s">
        <v>21</v>
      </c>
      <c r="O181" s="1">
        <f>TBL_Employees[[#This Row],[Annual Salary]]+TBL_Employees[[#This Row],[Bonus %]]*TBL_Employees[[#This Row],[Annual Salary]]</f>
        <v>108106.92</v>
      </c>
      <c r="P181" t="str">
        <f>IF(AND(TBL_Employees[[#This Row],[Department]]="IT",TBL_Employees[[#This Row],[Gender]]="Female"),"Yes","No")</f>
        <v>No</v>
      </c>
      <c r="Q181" t="str">
        <f>IF(AND(TBL_Employees[[#This Row],[Gender]]="Female",TBL_Employees[[#This Row],[Ethnicity]]="Black"), "Female_Black", "Others")</f>
        <v>Others</v>
      </c>
    </row>
    <row r="182" spans="1:17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7">
        <v>42731</v>
      </c>
      <c r="J182" s="1">
        <v>41673</v>
      </c>
      <c r="K182" s="2">
        <v>0</v>
      </c>
      <c r="L182" t="s">
        <v>19</v>
      </c>
      <c r="M182" t="s">
        <v>45</v>
      </c>
      <c r="N182" s="7" t="s">
        <v>21</v>
      </c>
      <c r="O182" s="1">
        <f>TBL_Employees[[#This Row],[Annual Salary]]+TBL_Employees[[#This Row],[Bonus %]]*TBL_Employees[[#This Row],[Annual Salary]]</f>
        <v>41673</v>
      </c>
      <c r="P182" t="str">
        <f>IF(AND(TBL_Employees[[#This Row],[Department]]="IT",TBL_Employees[[#This Row],[Gender]]="Female"),"Yes","No")</f>
        <v>Yes</v>
      </c>
      <c r="Q182" t="str">
        <f>IF(AND(TBL_Employees[[#This Row],[Gender]]="Female",TBL_Employees[[#This Row],[Ethnicity]]="Black"), "Female_Black", "Others")</f>
        <v>Others</v>
      </c>
    </row>
    <row r="183" spans="1:17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7">
        <v>42928</v>
      </c>
      <c r="J183" s="1">
        <v>70996</v>
      </c>
      <c r="K183" s="2">
        <v>0</v>
      </c>
      <c r="L183" t="s">
        <v>33</v>
      </c>
      <c r="M183" t="s">
        <v>34</v>
      </c>
      <c r="N183" s="7" t="s">
        <v>21</v>
      </c>
      <c r="O183" s="1">
        <f>TBL_Employees[[#This Row],[Annual Salary]]+TBL_Employees[[#This Row],[Bonus %]]*TBL_Employees[[#This Row],[Annual Salary]]</f>
        <v>70996</v>
      </c>
      <c r="P183" t="str">
        <f>IF(AND(TBL_Employees[[#This Row],[Department]]="IT",TBL_Employees[[#This Row],[Gender]]="Female"),"Yes","No")</f>
        <v>No</v>
      </c>
      <c r="Q183" t="str">
        <f>IF(AND(TBL_Employees[[#This Row],[Gender]]="Female",TBL_Employees[[#This Row],[Ethnicity]]="Black"), "Female_Black", "Others")</f>
        <v>Others</v>
      </c>
    </row>
    <row r="184" spans="1:17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7">
        <v>38328</v>
      </c>
      <c r="J184" s="1">
        <v>40752</v>
      </c>
      <c r="K184" s="2">
        <v>0</v>
      </c>
      <c r="L184" t="s">
        <v>19</v>
      </c>
      <c r="M184" t="s">
        <v>39</v>
      </c>
      <c r="N184" s="7" t="s">
        <v>21</v>
      </c>
      <c r="O184" s="1">
        <f>TBL_Employees[[#This Row],[Annual Salary]]+TBL_Employees[[#This Row],[Bonus %]]*TBL_Employees[[#This Row],[Annual Salary]]</f>
        <v>40752</v>
      </c>
      <c r="P184" t="str">
        <f>IF(AND(TBL_Employees[[#This Row],[Department]]="IT",TBL_Employees[[#This Row],[Gender]]="Female"),"Yes","No")</f>
        <v>No</v>
      </c>
      <c r="Q184" t="str">
        <f>IF(AND(TBL_Employees[[#This Row],[Gender]]="Female",TBL_Employees[[#This Row],[Ethnicity]]="Black"), "Female_Black", "Others")</f>
        <v>Others</v>
      </c>
    </row>
    <row r="185" spans="1:17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7">
        <v>36914</v>
      </c>
      <c r="J185" s="1">
        <v>97537</v>
      </c>
      <c r="K185" s="2">
        <v>0</v>
      </c>
      <c r="L185" t="s">
        <v>33</v>
      </c>
      <c r="M185" t="s">
        <v>34</v>
      </c>
      <c r="N185" s="7" t="s">
        <v>21</v>
      </c>
      <c r="O185" s="1">
        <f>TBL_Employees[[#This Row],[Annual Salary]]+TBL_Employees[[#This Row],[Bonus %]]*TBL_Employees[[#This Row],[Annual Salary]]</f>
        <v>97537</v>
      </c>
      <c r="P185" t="str">
        <f>IF(AND(TBL_Employees[[#This Row],[Department]]="IT",TBL_Employees[[#This Row],[Gender]]="Female"),"Yes","No")</f>
        <v>Yes</v>
      </c>
      <c r="Q185" t="str">
        <f>IF(AND(TBL_Employees[[#This Row],[Gender]]="Female",TBL_Employees[[#This Row],[Ethnicity]]="Black"), "Female_Black", "Others")</f>
        <v>Others</v>
      </c>
    </row>
    <row r="186" spans="1:17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7">
        <v>44086</v>
      </c>
      <c r="J186" s="1">
        <v>96567</v>
      </c>
      <c r="K186" s="2">
        <v>0</v>
      </c>
      <c r="L186" t="s">
        <v>33</v>
      </c>
      <c r="M186" t="s">
        <v>74</v>
      </c>
      <c r="N186" s="7" t="s">
        <v>21</v>
      </c>
      <c r="O186" s="1">
        <f>TBL_Employees[[#This Row],[Annual Salary]]+TBL_Employees[[#This Row],[Bonus %]]*TBL_Employees[[#This Row],[Annual Salary]]</f>
        <v>96567</v>
      </c>
      <c r="P186" t="str">
        <f>IF(AND(TBL_Employees[[#This Row],[Department]]="IT",TBL_Employees[[#This Row],[Gender]]="Female"),"Yes","No")</f>
        <v>No</v>
      </c>
      <c r="Q186" t="str">
        <f>IF(AND(TBL_Employees[[#This Row],[Gender]]="Female",TBL_Employees[[#This Row],[Ethnicity]]="Black"), "Female_Black", "Others")</f>
        <v>Others</v>
      </c>
    </row>
    <row r="187" spans="1:17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7">
        <v>36229</v>
      </c>
      <c r="J187" s="1">
        <v>49404</v>
      </c>
      <c r="K187" s="2">
        <v>0</v>
      </c>
      <c r="L187" t="s">
        <v>33</v>
      </c>
      <c r="M187" t="s">
        <v>60</v>
      </c>
      <c r="N187" s="7" t="s">
        <v>21</v>
      </c>
      <c r="O187" s="1">
        <f>TBL_Employees[[#This Row],[Annual Salary]]+TBL_Employees[[#This Row],[Bonus %]]*TBL_Employees[[#This Row],[Annual Salary]]</f>
        <v>49404</v>
      </c>
      <c r="P187" t="str">
        <f>IF(AND(TBL_Employees[[#This Row],[Department]]="IT",TBL_Employees[[#This Row],[Gender]]="Female"),"Yes","No")</f>
        <v>No</v>
      </c>
      <c r="Q187" t="str">
        <f>IF(AND(TBL_Employees[[#This Row],[Gender]]="Female",TBL_Employees[[#This Row],[Ethnicity]]="Black"), "Female_Black", "Others")</f>
        <v>Others</v>
      </c>
    </row>
    <row r="188" spans="1:17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7">
        <v>43753</v>
      </c>
      <c r="J188" s="1">
        <v>66819</v>
      </c>
      <c r="K188" s="2">
        <v>0</v>
      </c>
      <c r="L188" t="s">
        <v>52</v>
      </c>
      <c r="M188" t="s">
        <v>66</v>
      </c>
      <c r="N188" s="7" t="s">
        <v>21</v>
      </c>
      <c r="O188" s="1">
        <f>TBL_Employees[[#This Row],[Annual Salary]]+TBL_Employees[[#This Row],[Bonus %]]*TBL_Employees[[#This Row],[Annual Salary]]</f>
        <v>66819</v>
      </c>
      <c r="P188" t="str">
        <f>IF(AND(TBL_Employees[[#This Row],[Department]]="IT",TBL_Employees[[#This Row],[Gender]]="Female"),"Yes","No")</f>
        <v>No</v>
      </c>
      <c r="Q188" t="str">
        <f>IF(AND(TBL_Employees[[#This Row],[Gender]]="Female",TBL_Employees[[#This Row],[Ethnicity]]="Black"), "Female_Black", "Others")</f>
        <v>Others</v>
      </c>
    </row>
    <row r="189" spans="1:17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7">
        <v>42492</v>
      </c>
      <c r="J189" s="1">
        <v>50784</v>
      </c>
      <c r="K189" s="2">
        <v>0</v>
      </c>
      <c r="L189" t="s">
        <v>52</v>
      </c>
      <c r="M189" t="s">
        <v>66</v>
      </c>
      <c r="N189" s="7" t="s">
        <v>21</v>
      </c>
      <c r="O189" s="1">
        <f>TBL_Employees[[#This Row],[Annual Salary]]+TBL_Employees[[#This Row],[Bonus %]]*TBL_Employees[[#This Row],[Annual Salary]]</f>
        <v>50784</v>
      </c>
      <c r="P189" t="str">
        <f>IF(AND(TBL_Employees[[#This Row],[Department]]="IT",TBL_Employees[[#This Row],[Gender]]="Female"),"Yes","No")</f>
        <v>No</v>
      </c>
      <c r="Q189" t="str">
        <f>IF(AND(TBL_Employees[[#This Row],[Gender]]="Female",TBL_Employees[[#This Row],[Ethnicity]]="Black"), "Female_Black", "Others")</f>
        <v>Others</v>
      </c>
    </row>
    <row r="190" spans="1:17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7">
        <v>43594</v>
      </c>
      <c r="J190" s="1">
        <v>125828</v>
      </c>
      <c r="K190" s="2">
        <v>0.15</v>
      </c>
      <c r="L190" t="s">
        <v>52</v>
      </c>
      <c r="M190" t="s">
        <v>53</v>
      </c>
      <c r="N190" s="7" t="s">
        <v>21</v>
      </c>
      <c r="O190" s="1">
        <f>TBL_Employees[[#This Row],[Annual Salary]]+TBL_Employees[[#This Row],[Bonus %]]*TBL_Employees[[#This Row],[Annual Salary]]</f>
        <v>144702.20000000001</v>
      </c>
      <c r="P190" t="str">
        <f>IF(AND(TBL_Employees[[#This Row],[Department]]="IT",TBL_Employees[[#This Row],[Gender]]="Female"),"Yes","No")</f>
        <v>No</v>
      </c>
      <c r="Q190" t="str">
        <f>IF(AND(TBL_Employees[[#This Row],[Gender]]="Female",TBL_Employees[[#This Row],[Ethnicity]]="Black"), "Female_Black", "Others")</f>
        <v>Others</v>
      </c>
    </row>
    <row r="191" spans="1:17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7">
        <v>42951</v>
      </c>
      <c r="J191" s="1">
        <v>92610</v>
      </c>
      <c r="K191" s="2">
        <v>0</v>
      </c>
      <c r="L191" t="s">
        <v>19</v>
      </c>
      <c r="M191" t="s">
        <v>29</v>
      </c>
      <c r="N191" s="7" t="s">
        <v>21</v>
      </c>
      <c r="O191" s="1">
        <f>TBL_Employees[[#This Row],[Annual Salary]]+TBL_Employees[[#This Row],[Bonus %]]*TBL_Employees[[#This Row],[Annual Salary]]</f>
        <v>92610</v>
      </c>
      <c r="P191" t="str">
        <f>IF(AND(TBL_Employees[[#This Row],[Department]]="IT",TBL_Employees[[#This Row],[Gender]]="Female"),"Yes","No")</f>
        <v>No</v>
      </c>
      <c r="Q191" t="str">
        <f>IF(AND(TBL_Employees[[#This Row],[Gender]]="Female",TBL_Employees[[#This Row],[Ethnicity]]="Black"), "Female_Black", "Others")</f>
        <v>Others</v>
      </c>
    </row>
    <row r="192" spans="1:17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7">
        <v>37705</v>
      </c>
      <c r="J192" s="1">
        <v>123405</v>
      </c>
      <c r="K192" s="2">
        <v>0.13</v>
      </c>
      <c r="L192" t="s">
        <v>19</v>
      </c>
      <c r="M192" t="s">
        <v>29</v>
      </c>
      <c r="N192" s="7" t="s">
        <v>21</v>
      </c>
      <c r="O192" s="1">
        <f>TBL_Employees[[#This Row],[Annual Salary]]+TBL_Employees[[#This Row],[Bonus %]]*TBL_Employees[[#This Row],[Annual Salary]]</f>
        <v>139447.65</v>
      </c>
      <c r="P192" t="str">
        <f>IF(AND(TBL_Employees[[#This Row],[Department]]="IT",TBL_Employees[[#This Row],[Gender]]="Female"),"Yes","No")</f>
        <v>No</v>
      </c>
      <c r="Q192" t="str">
        <f>IF(AND(TBL_Employees[[#This Row],[Gender]]="Female",TBL_Employees[[#This Row],[Ethnicity]]="Black"), "Female_Black", "Others")</f>
        <v>Others</v>
      </c>
    </row>
    <row r="193" spans="1:17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7">
        <v>38066</v>
      </c>
      <c r="J193" s="1">
        <v>73004</v>
      </c>
      <c r="K193" s="2">
        <v>0</v>
      </c>
      <c r="L193" t="s">
        <v>33</v>
      </c>
      <c r="M193" t="s">
        <v>60</v>
      </c>
      <c r="N193" s="7" t="s">
        <v>21</v>
      </c>
      <c r="O193" s="1">
        <f>TBL_Employees[[#This Row],[Annual Salary]]+TBL_Employees[[#This Row],[Bonus %]]*TBL_Employees[[#This Row],[Annual Salary]]</f>
        <v>73004</v>
      </c>
      <c r="P193" t="str">
        <f>IF(AND(TBL_Employees[[#This Row],[Department]]="IT",TBL_Employees[[#This Row],[Gender]]="Female"),"Yes","No")</f>
        <v>No</v>
      </c>
      <c r="Q193" t="str">
        <f>IF(AND(TBL_Employees[[#This Row],[Gender]]="Female",TBL_Employees[[#This Row],[Ethnicity]]="Black"), "Female_Black", "Others")</f>
        <v>Others</v>
      </c>
    </row>
    <row r="194" spans="1:17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7">
        <v>36275</v>
      </c>
      <c r="J194" s="1">
        <v>95061</v>
      </c>
      <c r="K194" s="2">
        <v>0.1</v>
      </c>
      <c r="L194" t="s">
        <v>33</v>
      </c>
      <c r="M194" t="s">
        <v>74</v>
      </c>
      <c r="N194" s="7" t="s">
        <v>21</v>
      </c>
      <c r="O194" s="1">
        <f>TBL_Employees[[#This Row],[Annual Salary]]+TBL_Employees[[#This Row],[Bonus %]]*TBL_Employees[[#This Row],[Annual Salary]]</f>
        <v>104567.1</v>
      </c>
      <c r="P194" t="str">
        <f>IF(AND(TBL_Employees[[#This Row],[Department]]="IT",TBL_Employees[[#This Row],[Gender]]="Female"),"Yes","No")</f>
        <v>No</v>
      </c>
      <c r="Q194" t="str">
        <f>IF(AND(TBL_Employees[[#This Row],[Gender]]="Female",TBL_Employees[[#This Row],[Ethnicity]]="Black"), "Female_Black", "Others")</f>
        <v>Others</v>
      </c>
    </row>
    <row r="195" spans="1:17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7">
        <v>35887</v>
      </c>
      <c r="J195" s="1">
        <v>160832</v>
      </c>
      <c r="K195" s="2">
        <v>0.3</v>
      </c>
      <c r="L195" t="s">
        <v>19</v>
      </c>
      <c r="M195" t="s">
        <v>39</v>
      </c>
      <c r="N195" s="7" t="s">
        <v>21</v>
      </c>
      <c r="O195" s="1">
        <f>TBL_Employees[[#This Row],[Annual Salary]]+TBL_Employees[[#This Row],[Bonus %]]*TBL_Employees[[#This Row],[Annual Salary]]</f>
        <v>209081.60000000001</v>
      </c>
      <c r="P195" t="str">
        <f>IF(AND(TBL_Employees[[#This Row],[Department]]="IT",TBL_Employees[[#This Row],[Gender]]="Female"),"Yes","No")</f>
        <v>No</v>
      </c>
      <c r="Q195" t="str">
        <f>IF(AND(TBL_Employees[[#This Row],[Gender]]="Female",TBL_Employees[[#This Row],[Ethnicity]]="Black"), "Female_Black", "Others")</f>
        <v>Others</v>
      </c>
    </row>
    <row r="196" spans="1:17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7">
        <v>40540</v>
      </c>
      <c r="J196" s="1">
        <v>64417</v>
      </c>
      <c r="K196" s="2">
        <v>0</v>
      </c>
      <c r="L196" t="s">
        <v>19</v>
      </c>
      <c r="M196" t="s">
        <v>29</v>
      </c>
      <c r="N196" s="7" t="s">
        <v>21</v>
      </c>
      <c r="O196" s="1">
        <f>TBL_Employees[[#This Row],[Annual Salary]]+TBL_Employees[[#This Row],[Bonus %]]*TBL_Employees[[#This Row],[Annual Salary]]</f>
        <v>64417</v>
      </c>
      <c r="P196" t="str">
        <f>IF(AND(TBL_Employees[[#This Row],[Department]]="IT",TBL_Employees[[#This Row],[Gender]]="Female"),"Yes","No")</f>
        <v>No</v>
      </c>
      <c r="Q196" t="str">
        <f>IF(AND(TBL_Employees[[#This Row],[Gender]]="Female",TBL_Employees[[#This Row],[Ethnicity]]="Black"), "Female_Black", "Others")</f>
        <v>Others</v>
      </c>
    </row>
    <row r="197" spans="1:17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7">
        <v>44274</v>
      </c>
      <c r="J197" s="1">
        <v>127543</v>
      </c>
      <c r="K197" s="2">
        <v>0.06</v>
      </c>
      <c r="L197" t="s">
        <v>33</v>
      </c>
      <c r="M197" t="s">
        <v>74</v>
      </c>
      <c r="N197" s="7" t="s">
        <v>21</v>
      </c>
      <c r="O197" s="1">
        <f>TBL_Employees[[#This Row],[Annual Salary]]+TBL_Employees[[#This Row],[Bonus %]]*TBL_Employees[[#This Row],[Annual Salary]]</f>
        <v>135195.57999999999</v>
      </c>
      <c r="P197" t="str">
        <f>IF(AND(TBL_Employees[[#This Row],[Department]]="IT",TBL_Employees[[#This Row],[Gender]]="Female"),"Yes","No")</f>
        <v>No</v>
      </c>
      <c r="Q197" t="str">
        <f>IF(AND(TBL_Employees[[#This Row],[Gender]]="Female",TBL_Employees[[#This Row],[Ethnicity]]="Black"), "Female_Black", "Others")</f>
        <v>Others</v>
      </c>
    </row>
    <row r="198" spans="1:17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7">
        <v>43272</v>
      </c>
      <c r="J198" s="1">
        <v>56154</v>
      </c>
      <c r="K198" s="2">
        <v>0</v>
      </c>
      <c r="L198" t="s">
        <v>52</v>
      </c>
      <c r="M198" t="s">
        <v>53</v>
      </c>
      <c r="N198" s="7" t="s">
        <v>21</v>
      </c>
      <c r="O198" s="1">
        <f>TBL_Employees[[#This Row],[Annual Salary]]+TBL_Employees[[#This Row],[Bonus %]]*TBL_Employees[[#This Row],[Annual Salary]]</f>
        <v>56154</v>
      </c>
      <c r="P198" t="str">
        <f>IF(AND(TBL_Employees[[#This Row],[Department]]="IT",TBL_Employees[[#This Row],[Gender]]="Female"),"Yes","No")</f>
        <v>No</v>
      </c>
      <c r="Q198" t="str">
        <f>IF(AND(TBL_Employees[[#This Row],[Gender]]="Female",TBL_Employees[[#This Row],[Ethnicity]]="Black"), "Female_Black", "Others")</f>
        <v>Others</v>
      </c>
    </row>
    <row r="199" spans="1:17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7">
        <v>41692</v>
      </c>
      <c r="J199" s="1">
        <v>218530</v>
      </c>
      <c r="K199" s="2">
        <v>0.3</v>
      </c>
      <c r="L199" t="s">
        <v>33</v>
      </c>
      <c r="M199" t="s">
        <v>74</v>
      </c>
      <c r="N199" s="7" t="s">
        <v>21</v>
      </c>
      <c r="O199" s="1">
        <f>TBL_Employees[[#This Row],[Annual Salary]]+TBL_Employees[[#This Row],[Bonus %]]*TBL_Employees[[#This Row],[Annual Salary]]</f>
        <v>284089</v>
      </c>
      <c r="P199" t="str">
        <f>IF(AND(TBL_Employees[[#This Row],[Department]]="IT",TBL_Employees[[#This Row],[Gender]]="Female"),"Yes","No")</f>
        <v>No</v>
      </c>
      <c r="Q199" t="str">
        <f>IF(AND(TBL_Employees[[#This Row],[Gender]]="Female",TBL_Employees[[#This Row],[Ethnicity]]="Black"), "Female_Black", "Others")</f>
        <v>Others</v>
      </c>
    </row>
    <row r="200" spans="1:17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7">
        <v>43818</v>
      </c>
      <c r="J200" s="1">
        <v>91954</v>
      </c>
      <c r="K200" s="2">
        <v>0</v>
      </c>
      <c r="L200" t="s">
        <v>19</v>
      </c>
      <c r="M200" t="s">
        <v>29</v>
      </c>
      <c r="N200" s="7" t="s">
        <v>21</v>
      </c>
      <c r="O200" s="1">
        <f>TBL_Employees[[#This Row],[Annual Salary]]+TBL_Employees[[#This Row],[Bonus %]]*TBL_Employees[[#This Row],[Annual Salary]]</f>
        <v>91954</v>
      </c>
      <c r="P200" t="str">
        <f>IF(AND(TBL_Employees[[#This Row],[Department]]="IT",TBL_Employees[[#This Row],[Gender]]="Female"),"Yes","No")</f>
        <v>Yes</v>
      </c>
      <c r="Q200" t="str">
        <f>IF(AND(TBL_Employees[[#This Row],[Gender]]="Female",TBL_Employees[[#This Row],[Ethnicity]]="Black"), "Female_Black", "Others")</f>
        <v>Others</v>
      </c>
    </row>
    <row r="201" spans="1:17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7">
        <v>42634</v>
      </c>
      <c r="J201" s="1">
        <v>221217</v>
      </c>
      <c r="K201" s="2">
        <v>0.32</v>
      </c>
      <c r="L201" t="s">
        <v>19</v>
      </c>
      <c r="M201" t="s">
        <v>29</v>
      </c>
      <c r="N201" s="7">
        <v>43003</v>
      </c>
      <c r="O201" s="1">
        <f>TBL_Employees[[#This Row],[Annual Salary]]+TBL_Employees[[#This Row],[Bonus %]]*TBL_Employees[[#This Row],[Annual Salary]]</f>
        <v>292006.44</v>
      </c>
      <c r="P201" t="str">
        <f>IF(AND(TBL_Employees[[#This Row],[Department]]="IT",TBL_Employees[[#This Row],[Gender]]="Female"),"Yes","No")</f>
        <v>No</v>
      </c>
      <c r="Q201" t="str">
        <f>IF(AND(TBL_Employees[[#This Row],[Gender]]="Female",TBL_Employees[[#This Row],[Ethnicity]]="Black"), "Female_Black", "Others")</f>
        <v>Female_Black</v>
      </c>
    </row>
    <row r="202" spans="1:17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7">
        <v>42866</v>
      </c>
      <c r="J202" s="1">
        <v>87536</v>
      </c>
      <c r="K202" s="2">
        <v>0</v>
      </c>
      <c r="L202" t="s">
        <v>19</v>
      </c>
      <c r="M202" t="s">
        <v>63</v>
      </c>
      <c r="N202" s="7" t="s">
        <v>21</v>
      </c>
      <c r="O202" s="1">
        <f>TBL_Employees[[#This Row],[Annual Salary]]+TBL_Employees[[#This Row],[Bonus %]]*TBL_Employees[[#This Row],[Annual Salary]]</f>
        <v>87536</v>
      </c>
      <c r="P202" t="str">
        <f>IF(AND(TBL_Employees[[#This Row],[Department]]="IT",TBL_Employees[[#This Row],[Gender]]="Female"),"Yes","No")</f>
        <v>No</v>
      </c>
      <c r="Q202" t="str">
        <f>IF(AND(TBL_Employees[[#This Row],[Gender]]="Female",TBL_Employees[[#This Row],[Ethnicity]]="Black"), "Female_Black", "Others")</f>
        <v>Others</v>
      </c>
    </row>
    <row r="203" spans="1:17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7">
        <v>42164</v>
      </c>
      <c r="J203" s="1">
        <v>41429</v>
      </c>
      <c r="K203" s="2">
        <v>0</v>
      </c>
      <c r="L203" t="s">
        <v>19</v>
      </c>
      <c r="M203" t="s">
        <v>63</v>
      </c>
      <c r="N203" s="7" t="s">
        <v>21</v>
      </c>
      <c r="O203" s="1">
        <f>TBL_Employees[[#This Row],[Annual Salary]]+TBL_Employees[[#This Row],[Bonus %]]*TBL_Employees[[#This Row],[Annual Salary]]</f>
        <v>41429</v>
      </c>
      <c r="P203" t="str">
        <f>IF(AND(TBL_Employees[[#This Row],[Department]]="IT",TBL_Employees[[#This Row],[Gender]]="Female"),"Yes","No")</f>
        <v>No</v>
      </c>
      <c r="Q203" t="str">
        <f>IF(AND(TBL_Employees[[#This Row],[Gender]]="Female",TBL_Employees[[#This Row],[Ethnicity]]="Black"), "Female_Black", "Others")</f>
        <v>Others</v>
      </c>
    </row>
    <row r="204" spans="1:17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7">
        <v>40826</v>
      </c>
      <c r="J204" s="1">
        <v>245482</v>
      </c>
      <c r="K204" s="2">
        <v>0.39</v>
      </c>
      <c r="L204" t="s">
        <v>19</v>
      </c>
      <c r="M204" t="s">
        <v>63</v>
      </c>
      <c r="N204" s="7" t="s">
        <v>21</v>
      </c>
      <c r="O204" s="1">
        <f>TBL_Employees[[#This Row],[Annual Salary]]+TBL_Employees[[#This Row],[Bonus %]]*TBL_Employees[[#This Row],[Annual Salary]]</f>
        <v>341219.98</v>
      </c>
      <c r="P204" t="str">
        <f>IF(AND(TBL_Employees[[#This Row],[Department]]="IT",TBL_Employees[[#This Row],[Gender]]="Female"),"Yes","No")</f>
        <v>No</v>
      </c>
      <c r="Q204" t="str">
        <f>IF(AND(TBL_Employees[[#This Row],[Gender]]="Female",TBL_Employees[[#This Row],[Ethnicity]]="Black"), "Female_Black", "Others")</f>
        <v>Others</v>
      </c>
    </row>
    <row r="205" spans="1:17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7">
        <v>43850</v>
      </c>
      <c r="J205" s="1">
        <v>71359</v>
      </c>
      <c r="K205" s="2">
        <v>0</v>
      </c>
      <c r="L205" t="s">
        <v>19</v>
      </c>
      <c r="M205" t="s">
        <v>39</v>
      </c>
      <c r="N205" s="7" t="s">
        <v>21</v>
      </c>
      <c r="O205" s="1">
        <f>TBL_Employees[[#This Row],[Annual Salary]]+TBL_Employees[[#This Row],[Bonus %]]*TBL_Employees[[#This Row],[Annual Salary]]</f>
        <v>71359</v>
      </c>
      <c r="P205" t="str">
        <f>IF(AND(TBL_Employees[[#This Row],[Department]]="IT",TBL_Employees[[#This Row],[Gender]]="Female"),"Yes","No")</f>
        <v>No</v>
      </c>
      <c r="Q205" t="str">
        <f>IF(AND(TBL_Employees[[#This Row],[Gender]]="Female",TBL_Employees[[#This Row],[Ethnicity]]="Black"), "Female_Black", "Others")</f>
        <v>Others</v>
      </c>
    </row>
    <row r="206" spans="1:17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7">
        <v>41879</v>
      </c>
      <c r="J206" s="1">
        <v>183161</v>
      </c>
      <c r="K206" s="2">
        <v>0.22</v>
      </c>
      <c r="L206" t="s">
        <v>19</v>
      </c>
      <c r="M206" t="s">
        <v>45</v>
      </c>
      <c r="N206" s="7" t="s">
        <v>21</v>
      </c>
      <c r="O206" s="1">
        <f>TBL_Employees[[#This Row],[Annual Salary]]+TBL_Employees[[#This Row],[Bonus %]]*TBL_Employees[[#This Row],[Annual Salary]]</f>
        <v>223456.41999999998</v>
      </c>
      <c r="P206" t="str">
        <f>IF(AND(TBL_Employees[[#This Row],[Department]]="IT",TBL_Employees[[#This Row],[Gender]]="Female"),"Yes","No")</f>
        <v>No</v>
      </c>
      <c r="Q206" t="str">
        <f>IF(AND(TBL_Employees[[#This Row],[Gender]]="Female",TBL_Employees[[#This Row],[Ethnicity]]="Black"), "Female_Black", "Others")</f>
        <v>Others</v>
      </c>
    </row>
    <row r="207" spans="1:17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7">
        <v>34176</v>
      </c>
      <c r="J207" s="1">
        <v>69260</v>
      </c>
      <c r="K207" s="2">
        <v>0</v>
      </c>
      <c r="L207" t="s">
        <v>19</v>
      </c>
      <c r="M207" t="s">
        <v>39</v>
      </c>
      <c r="N207" s="7" t="s">
        <v>21</v>
      </c>
      <c r="O207" s="1">
        <f>TBL_Employees[[#This Row],[Annual Salary]]+TBL_Employees[[#This Row],[Bonus %]]*TBL_Employees[[#This Row],[Annual Salary]]</f>
        <v>69260</v>
      </c>
      <c r="P207" t="str">
        <f>IF(AND(TBL_Employees[[#This Row],[Department]]="IT",TBL_Employees[[#This Row],[Gender]]="Female"),"Yes","No")</f>
        <v>No</v>
      </c>
      <c r="Q207" t="str">
        <f>IF(AND(TBL_Employees[[#This Row],[Gender]]="Female",TBL_Employees[[#This Row],[Ethnicity]]="Black"), "Female_Black", "Others")</f>
        <v>Others</v>
      </c>
    </row>
    <row r="208" spans="1:17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7">
        <v>36442</v>
      </c>
      <c r="J208" s="1">
        <v>95639</v>
      </c>
      <c r="K208" s="2">
        <v>0</v>
      </c>
      <c r="L208" t="s">
        <v>19</v>
      </c>
      <c r="M208" t="s">
        <v>25</v>
      </c>
      <c r="N208" s="7" t="s">
        <v>21</v>
      </c>
      <c r="O208" s="1">
        <f>TBL_Employees[[#This Row],[Annual Salary]]+TBL_Employees[[#This Row],[Bonus %]]*TBL_Employees[[#This Row],[Annual Salary]]</f>
        <v>95639</v>
      </c>
      <c r="P208" t="str">
        <f>IF(AND(TBL_Employees[[#This Row],[Department]]="IT",TBL_Employees[[#This Row],[Gender]]="Female"),"Yes","No")</f>
        <v>No</v>
      </c>
      <c r="Q208" t="str">
        <f>IF(AND(TBL_Employees[[#This Row],[Gender]]="Female",TBL_Employees[[#This Row],[Ethnicity]]="Black"), "Female_Black", "Others")</f>
        <v>Others</v>
      </c>
    </row>
    <row r="209" spans="1:17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7">
        <v>38168</v>
      </c>
      <c r="J209" s="1">
        <v>120660</v>
      </c>
      <c r="K209" s="2">
        <v>7.0000000000000007E-2</v>
      </c>
      <c r="L209" t="s">
        <v>33</v>
      </c>
      <c r="M209" t="s">
        <v>34</v>
      </c>
      <c r="N209" s="7" t="s">
        <v>21</v>
      </c>
      <c r="O209" s="1">
        <f>TBL_Employees[[#This Row],[Annual Salary]]+TBL_Employees[[#This Row],[Bonus %]]*TBL_Employees[[#This Row],[Annual Salary]]</f>
        <v>129106.2</v>
      </c>
      <c r="P209" t="str">
        <f>IF(AND(TBL_Employees[[#This Row],[Department]]="IT",TBL_Employees[[#This Row],[Gender]]="Female"),"Yes","No")</f>
        <v>No</v>
      </c>
      <c r="Q209" t="str">
        <f>IF(AND(TBL_Employees[[#This Row],[Gender]]="Female",TBL_Employees[[#This Row],[Ethnicity]]="Black"), "Female_Black", "Others")</f>
        <v>Others</v>
      </c>
    </row>
    <row r="210" spans="1:17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7">
        <v>44556</v>
      </c>
      <c r="J210" s="1">
        <v>75119</v>
      </c>
      <c r="K210" s="2">
        <v>0</v>
      </c>
      <c r="L210" t="s">
        <v>19</v>
      </c>
      <c r="M210" t="s">
        <v>20</v>
      </c>
      <c r="N210" s="7" t="s">
        <v>21</v>
      </c>
      <c r="O210" s="1">
        <f>TBL_Employees[[#This Row],[Annual Salary]]+TBL_Employees[[#This Row],[Bonus %]]*TBL_Employees[[#This Row],[Annual Salary]]</f>
        <v>75119</v>
      </c>
      <c r="P210" t="str">
        <f>IF(AND(TBL_Employees[[#This Row],[Department]]="IT",TBL_Employees[[#This Row],[Gender]]="Female"),"Yes","No")</f>
        <v>No</v>
      </c>
      <c r="Q210" t="str">
        <f>IF(AND(TBL_Employees[[#This Row],[Gender]]="Female",TBL_Employees[[#This Row],[Ethnicity]]="Black"), "Female_Black", "Others")</f>
        <v>Others</v>
      </c>
    </row>
    <row r="211" spans="1:17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7">
        <v>40681</v>
      </c>
      <c r="J211" s="1">
        <v>192213</v>
      </c>
      <c r="K211" s="2">
        <v>0.4</v>
      </c>
      <c r="L211" t="s">
        <v>19</v>
      </c>
      <c r="M211" t="s">
        <v>20</v>
      </c>
      <c r="N211" s="7" t="s">
        <v>21</v>
      </c>
      <c r="O211" s="1">
        <f>TBL_Employees[[#This Row],[Annual Salary]]+TBL_Employees[[#This Row],[Bonus %]]*TBL_Employees[[#This Row],[Annual Salary]]</f>
        <v>269098.2</v>
      </c>
      <c r="P211" t="str">
        <f>IF(AND(TBL_Employees[[#This Row],[Department]]="IT",TBL_Employees[[#This Row],[Gender]]="Female"),"Yes","No")</f>
        <v>No</v>
      </c>
      <c r="Q211" t="str">
        <f>IF(AND(TBL_Employees[[#This Row],[Gender]]="Female",TBL_Employees[[#This Row],[Ethnicity]]="Black"), "Female_Black", "Others")</f>
        <v>Others</v>
      </c>
    </row>
    <row r="212" spans="1:17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7">
        <v>41769</v>
      </c>
      <c r="J212" s="1">
        <v>65047</v>
      </c>
      <c r="K212" s="2">
        <v>0</v>
      </c>
      <c r="L212" t="s">
        <v>52</v>
      </c>
      <c r="M212" t="s">
        <v>53</v>
      </c>
      <c r="N212" s="7" t="s">
        <v>21</v>
      </c>
      <c r="O212" s="1">
        <f>TBL_Employees[[#This Row],[Annual Salary]]+TBL_Employees[[#This Row],[Bonus %]]*TBL_Employees[[#This Row],[Annual Salary]]</f>
        <v>65047</v>
      </c>
      <c r="P212" t="str">
        <f>IF(AND(TBL_Employees[[#This Row],[Department]]="IT",TBL_Employees[[#This Row],[Gender]]="Female"),"Yes","No")</f>
        <v>No</v>
      </c>
      <c r="Q212" t="str">
        <f>IF(AND(TBL_Employees[[#This Row],[Gender]]="Female",TBL_Employees[[#This Row],[Ethnicity]]="Black"), "Female_Black", "Others")</f>
        <v>Others</v>
      </c>
    </row>
    <row r="213" spans="1:17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7">
        <v>42810</v>
      </c>
      <c r="J213" s="1">
        <v>151413</v>
      </c>
      <c r="K213" s="2">
        <v>0.15</v>
      </c>
      <c r="L213" t="s">
        <v>19</v>
      </c>
      <c r="M213" t="s">
        <v>63</v>
      </c>
      <c r="N213" s="7" t="s">
        <v>21</v>
      </c>
      <c r="O213" s="1">
        <f>TBL_Employees[[#This Row],[Annual Salary]]+TBL_Employees[[#This Row],[Bonus %]]*TBL_Employees[[#This Row],[Annual Salary]]</f>
        <v>174124.95</v>
      </c>
      <c r="P213" t="str">
        <f>IF(AND(TBL_Employees[[#This Row],[Department]]="IT",TBL_Employees[[#This Row],[Gender]]="Female"),"Yes","No")</f>
        <v>No</v>
      </c>
      <c r="Q213" t="str">
        <f>IF(AND(TBL_Employees[[#This Row],[Gender]]="Female",TBL_Employees[[#This Row],[Ethnicity]]="Black"), "Female_Black", "Others")</f>
        <v>Others</v>
      </c>
    </row>
    <row r="214" spans="1:17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7">
        <v>37733</v>
      </c>
      <c r="J214" s="1">
        <v>76906</v>
      </c>
      <c r="K214" s="2">
        <v>0</v>
      </c>
      <c r="L214" t="s">
        <v>19</v>
      </c>
      <c r="M214" t="s">
        <v>63</v>
      </c>
      <c r="N214" s="7" t="s">
        <v>21</v>
      </c>
      <c r="O214" s="1">
        <f>TBL_Employees[[#This Row],[Annual Salary]]+TBL_Employees[[#This Row],[Bonus %]]*TBL_Employees[[#This Row],[Annual Salary]]</f>
        <v>76906</v>
      </c>
      <c r="P214" t="str">
        <f>IF(AND(TBL_Employees[[#This Row],[Department]]="IT",TBL_Employees[[#This Row],[Gender]]="Female"),"Yes","No")</f>
        <v>No</v>
      </c>
      <c r="Q214" t="str">
        <f>IF(AND(TBL_Employees[[#This Row],[Gender]]="Female",TBL_Employees[[#This Row],[Ethnicity]]="Black"), "Female_Black", "Others")</f>
        <v>Others</v>
      </c>
    </row>
    <row r="215" spans="1:17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7">
        <v>34388</v>
      </c>
      <c r="J215" s="1">
        <v>122802</v>
      </c>
      <c r="K215" s="2">
        <v>0.05</v>
      </c>
      <c r="L215" t="s">
        <v>33</v>
      </c>
      <c r="M215" t="s">
        <v>74</v>
      </c>
      <c r="N215" s="7" t="s">
        <v>21</v>
      </c>
      <c r="O215" s="1">
        <f>TBL_Employees[[#This Row],[Annual Salary]]+TBL_Employees[[#This Row],[Bonus %]]*TBL_Employees[[#This Row],[Annual Salary]]</f>
        <v>128942.1</v>
      </c>
      <c r="P215" t="str">
        <f>IF(AND(TBL_Employees[[#This Row],[Department]]="IT",TBL_Employees[[#This Row],[Gender]]="Female"),"Yes","No")</f>
        <v>No</v>
      </c>
      <c r="Q215" t="str">
        <f>IF(AND(TBL_Employees[[#This Row],[Gender]]="Female",TBL_Employees[[#This Row],[Ethnicity]]="Black"), "Female_Black", "Others")</f>
        <v>Others</v>
      </c>
    </row>
    <row r="216" spans="1:17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7">
        <v>35990</v>
      </c>
      <c r="J216" s="1">
        <v>99091</v>
      </c>
      <c r="K216" s="2">
        <v>0</v>
      </c>
      <c r="L216" t="s">
        <v>19</v>
      </c>
      <c r="M216" t="s">
        <v>25</v>
      </c>
      <c r="N216" s="7" t="s">
        <v>21</v>
      </c>
      <c r="O216" s="1">
        <f>TBL_Employees[[#This Row],[Annual Salary]]+TBL_Employees[[#This Row],[Bonus %]]*TBL_Employees[[#This Row],[Annual Salary]]</f>
        <v>99091</v>
      </c>
      <c r="P216" t="str">
        <f>IF(AND(TBL_Employees[[#This Row],[Department]]="IT",TBL_Employees[[#This Row],[Gender]]="Female"),"Yes","No")</f>
        <v>No</v>
      </c>
      <c r="Q216" t="str">
        <f>IF(AND(TBL_Employees[[#This Row],[Gender]]="Female",TBL_Employees[[#This Row],[Ethnicity]]="Black"), "Female_Black", "Others")</f>
        <v>Others</v>
      </c>
    </row>
    <row r="217" spans="1:17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7">
        <v>39506</v>
      </c>
      <c r="J217" s="1">
        <v>113987</v>
      </c>
      <c r="K217" s="2">
        <v>0</v>
      </c>
      <c r="L217" t="s">
        <v>52</v>
      </c>
      <c r="M217" t="s">
        <v>81</v>
      </c>
      <c r="N217" s="7" t="s">
        <v>21</v>
      </c>
      <c r="O217" s="1">
        <f>TBL_Employees[[#This Row],[Annual Salary]]+TBL_Employees[[#This Row],[Bonus %]]*TBL_Employees[[#This Row],[Annual Salary]]</f>
        <v>113987</v>
      </c>
      <c r="P217" t="str">
        <f>IF(AND(TBL_Employees[[#This Row],[Department]]="IT",TBL_Employees[[#This Row],[Gender]]="Female"),"Yes","No")</f>
        <v>No</v>
      </c>
      <c r="Q217" t="str">
        <f>IF(AND(TBL_Employees[[#This Row],[Gender]]="Female",TBL_Employees[[#This Row],[Ethnicity]]="Black"), "Female_Black", "Others")</f>
        <v>Others</v>
      </c>
    </row>
    <row r="218" spans="1:17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7">
        <v>44078</v>
      </c>
      <c r="J218" s="1">
        <v>95045</v>
      </c>
      <c r="K218" s="2">
        <v>0</v>
      </c>
      <c r="L218" t="s">
        <v>19</v>
      </c>
      <c r="M218" t="s">
        <v>20</v>
      </c>
      <c r="N218" s="7" t="s">
        <v>21</v>
      </c>
      <c r="O218" s="1">
        <f>TBL_Employees[[#This Row],[Annual Salary]]+TBL_Employees[[#This Row],[Bonus %]]*TBL_Employees[[#This Row],[Annual Salary]]</f>
        <v>95045</v>
      </c>
      <c r="P218" t="str">
        <f>IF(AND(TBL_Employees[[#This Row],[Department]]="IT",TBL_Employees[[#This Row],[Gender]]="Female"),"Yes","No")</f>
        <v>No</v>
      </c>
      <c r="Q218" t="str">
        <f>IF(AND(TBL_Employees[[#This Row],[Gender]]="Female",TBL_Employees[[#This Row],[Ethnicity]]="Black"), "Female_Black", "Others")</f>
        <v>Others</v>
      </c>
    </row>
    <row r="219" spans="1:17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7">
        <v>42740</v>
      </c>
      <c r="J219" s="1">
        <v>190401</v>
      </c>
      <c r="K219" s="2">
        <v>0.37</v>
      </c>
      <c r="L219" t="s">
        <v>19</v>
      </c>
      <c r="M219" t="s">
        <v>29</v>
      </c>
      <c r="N219" s="7" t="s">
        <v>21</v>
      </c>
      <c r="O219" s="1">
        <f>TBL_Employees[[#This Row],[Annual Salary]]+TBL_Employees[[#This Row],[Bonus %]]*TBL_Employees[[#This Row],[Annual Salary]]</f>
        <v>260849.37</v>
      </c>
      <c r="P219" t="str">
        <f>IF(AND(TBL_Employees[[#This Row],[Department]]="IT",TBL_Employees[[#This Row],[Gender]]="Female"),"Yes","No")</f>
        <v>No</v>
      </c>
      <c r="Q219" t="str">
        <f>IF(AND(TBL_Employees[[#This Row],[Gender]]="Female",TBL_Employees[[#This Row],[Ethnicity]]="Black"), "Female_Black", "Others")</f>
        <v>Others</v>
      </c>
    </row>
    <row r="220" spans="1:17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7">
        <v>41294</v>
      </c>
      <c r="J220" s="1">
        <v>86061</v>
      </c>
      <c r="K220" s="2">
        <v>0</v>
      </c>
      <c r="L220" t="s">
        <v>52</v>
      </c>
      <c r="M220" t="s">
        <v>66</v>
      </c>
      <c r="N220" s="7" t="s">
        <v>21</v>
      </c>
      <c r="O220" s="1">
        <f>TBL_Employees[[#This Row],[Annual Salary]]+TBL_Employees[[#This Row],[Bonus %]]*TBL_Employees[[#This Row],[Annual Salary]]</f>
        <v>86061</v>
      </c>
      <c r="P220" t="str">
        <f>IF(AND(TBL_Employees[[#This Row],[Department]]="IT",TBL_Employees[[#This Row],[Gender]]="Female"),"Yes","No")</f>
        <v>No</v>
      </c>
      <c r="Q220" t="str">
        <f>IF(AND(TBL_Employees[[#This Row],[Gender]]="Female",TBL_Employees[[#This Row],[Ethnicity]]="Black"), "Female_Black", "Others")</f>
        <v>Others</v>
      </c>
    </row>
    <row r="221" spans="1:17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7">
        <v>44237</v>
      </c>
      <c r="J221" s="1">
        <v>79882</v>
      </c>
      <c r="K221" s="2">
        <v>0</v>
      </c>
      <c r="L221" t="s">
        <v>19</v>
      </c>
      <c r="M221" t="s">
        <v>39</v>
      </c>
      <c r="N221" s="7" t="s">
        <v>21</v>
      </c>
      <c r="O221" s="1">
        <f>TBL_Employees[[#This Row],[Annual Salary]]+TBL_Employees[[#This Row],[Bonus %]]*TBL_Employees[[#This Row],[Annual Salary]]</f>
        <v>79882</v>
      </c>
      <c r="P221" t="str">
        <f>IF(AND(TBL_Employees[[#This Row],[Department]]="IT",TBL_Employees[[#This Row],[Gender]]="Female"),"Yes","No")</f>
        <v>No</v>
      </c>
      <c r="Q221" t="str">
        <f>IF(AND(TBL_Employees[[#This Row],[Gender]]="Female",TBL_Employees[[#This Row],[Ethnicity]]="Black"), "Female_Black", "Others")</f>
        <v>Others</v>
      </c>
    </row>
    <row r="222" spans="1:17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7">
        <v>43165</v>
      </c>
      <c r="J222" s="1">
        <v>255431</v>
      </c>
      <c r="K222" s="2">
        <v>0.36</v>
      </c>
      <c r="L222" t="s">
        <v>19</v>
      </c>
      <c r="M222" t="s">
        <v>29</v>
      </c>
      <c r="N222" s="7" t="s">
        <v>21</v>
      </c>
      <c r="O222" s="1">
        <f>TBL_Employees[[#This Row],[Annual Salary]]+TBL_Employees[[#This Row],[Bonus %]]*TBL_Employees[[#This Row],[Annual Salary]]</f>
        <v>347386.16000000003</v>
      </c>
      <c r="P222" t="str">
        <f>IF(AND(TBL_Employees[[#This Row],[Department]]="IT",TBL_Employees[[#This Row],[Gender]]="Female"),"Yes","No")</f>
        <v>No</v>
      </c>
      <c r="Q222" t="str">
        <f>IF(AND(TBL_Employees[[#This Row],[Gender]]="Female",TBL_Employees[[#This Row],[Ethnicity]]="Black"), "Female_Black", "Others")</f>
        <v>Others</v>
      </c>
    </row>
    <row r="223" spans="1:17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7">
        <v>37855</v>
      </c>
      <c r="J223" s="1">
        <v>82017</v>
      </c>
      <c r="K223" s="2">
        <v>0</v>
      </c>
      <c r="L223" t="s">
        <v>33</v>
      </c>
      <c r="M223" t="s">
        <v>60</v>
      </c>
      <c r="N223" s="7" t="s">
        <v>21</v>
      </c>
      <c r="O223" s="1">
        <f>TBL_Employees[[#This Row],[Annual Salary]]+TBL_Employees[[#This Row],[Bonus %]]*TBL_Employees[[#This Row],[Annual Salary]]</f>
        <v>82017</v>
      </c>
      <c r="P223" t="str">
        <f>IF(AND(TBL_Employees[[#This Row],[Department]]="IT",TBL_Employees[[#This Row],[Gender]]="Female"),"Yes","No")</f>
        <v>Yes</v>
      </c>
      <c r="Q223" t="str">
        <f>IF(AND(TBL_Employees[[#This Row],[Gender]]="Female",TBL_Employees[[#This Row],[Ethnicity]]="Black"), "Female_Black", "Others")</f>
        <v>Others</v>
      </c>
    </row>
    <row r="224" spans="1:17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7">
        <v>42753</v>
      </c>
      <c r="J224" s="1">
        <v>53799</v>
      </c>
      <c r="K224" s="2">
        <v>0</v>
      </c>
      <c r="L224" t="s">
        <v>19</v>
      </c>
      <c r="M224" t="s">
        <v>29</v>
      </c>
      <c r="N224" s="7" t="s">
        <v>21</v>
      </c>
      <c r="O224" s="1">
        <f>TBL_Employees[[#This Row],[Annual Salary]]+TBL_Employees[[#This Row],[Bonus %]]*TBL_Employees[[#This Row],[Annual Salary]]</f>
        <v>53799</v>
      </c>
      <c r="P224" t="str">
        <f>IF(AND(TBL_Employees[[#This Row],[Department]]="IT",TBL_Employees[[#This Row],[Gender]]="Female"),"Yes","No")</f>
        <v>No</v>
      </c>
      <c r="Q224" t="str">
        <f>IF(AND(TBL_Employees[[#This Row],[Gender]]="Female",TBL_Employees[[#This Row],[Ethnicity]]="Black"), "Female_Black", "Others")</f>
        <v>Others</v>
      </c>
    </row>
    <row r="225" spans="1:17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7">
        <v>44380</v>
      </c>
      <c r="J225" s="1">
        <v>82739</v>
      </c>
      <c r="K225" s="2">
        <v>0</v>
      </c>
      <c r="L225" t="s">
        <v>19</v>
      </c>
      <c r="M225" t="s">
        <v>39</v>
      </c>
      <c r="N225" s="7" t="s">
        <v>21</v>
      </c>
      <c r="O225" s="1">
        <f>TBL_Employees[[#This Row],[Annual Salary]]+TBL_Employees[[#This Row],[Bonus %]]*TBL_Employees[[#This Row],[Annual Salary]]</f>
        <v>82739</v>
      </c>
      <c r="P225" t="str">
        <f>IF(AND(TBL_Employees[[#This Row],[Department]]="IT",TBL_Employees[[#This Row],[Gender]]="Female"),"Yes","No")</f>
        <v>No</v>
      </c>
      <c r="Q225" t="str">
        <f>IF(AND(TBL_Employees[[#This Row],[Gender]]="Female",TBL_Employees[[#This Row],[Ethnicity]]="Black"), "Female_Black", "Others")</f>
        <v>Others</v>
      </c>
    </row>
    <row r="226" spans="1:17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7">
        <v>41789</v>
      </c>
      <c r="J226" s="1">
        <v>99080</v>
      </c>
      <c r="K226" s="2">
        <v>0</v>
      </c>
      <c r="L226" t="s">
        <v>19</v>
      </c>
      <c r="M226" t="s">
        <v>20</v>
      </c>
      <c r="N226" s="7" t="s">
        <v>21</v>
      </c>
      <c r="O226" s="1">
        <f>TBL_Employees[[#This Row],[Annual Salary]]+TBL_Employees[[#This Row],[Bonus %]]*TBL_Employees[[#This Row],[Annual Salary]]</f>
        <v>99080</v>
      </c>
      <c r="P226" t="str">
        <f>IF(AND(TBL_Employees[[#This Row],[Department]]="IT",TBL_Employees[[#This Row],[Gender]]="Female"),"Yes","No")</f>
        <v>Yes</v>
      </c>
      <c r="Q226" t="str">
        <f>IF(AND(TBL_Employees[[#This Row],[Gender]]="Female",TBL_Employees[[#This Row],[Ethnicity]]="Black"), "Female_Black", "Others")</f>
        <v>Others</v>
      </c>
    </row>
    <row r="227" spans="1:17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7">
        <v>40563</v>
      </c>
      <c r="J227" s="1">
        <v>96719</v>
      </c>
      <c r="K227" s="2">
        <v>0</v>
      </c>
      <c r="L227" t="s">
        <v>33</v>
      </c>
      <c r="M227" t="s">
        <v>34</v>
      </c>
      <c r="N227" s="7" t="s">
        <v>21</v>
      </c>
      <c r="O227" s="1">
        <f>TBL_Employees[[#This Row],[Annual Salary]]+TBL_Employees[[#This Row],[Bonus %]]*TBL_Employees[[#This Row],[Annual Salary]]</f>
        <v>96719</v>
      </c>
      <c r="P227" t="str">
        <f>IF(AND(TBL_Employees[[#This Row],[Department]]="IT",TBL_Employees[[#This Row],[Gender]]="Female"),"Yes","No")</f>
        <v>No</v>
      </c>
      <c r="Q227" t="str">
        <f>IF(AND(TBL_Employees[[#This Row],[Gender]]="Female",TBL_Employees[[#This Row],[Ethnicity]]="Black"), "Female_Black", "Others")</f>
        <v>Others</v>
      </c>
    </row>
    <row r="228" spans="1:17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7">
        <v>44283</v>
      </c>
      <c r="J228" s="1">
        <v>180687</v>
      </c>
      <c r="K228" s="2">
        <v>0.19</v>
      </c>
      <c r="L228" t="s">
        <v>19</v>
      </c>
      <c r="M228" t="s">
        <v>39</v>
      </c>
      <c r="N228" s="7" t="s">
        <v>21</v>
      </c>
      <c r="O228" s="1">
        <f>TBL_Employees[[#This Row],[Annual Salary]]+TBL_Employees[[#This Row],[Bonus %]]*TBL_Employees[[#This Row],[Annual Salary]]</f>
        <v>215017.53</v>
      </c>
      <c r="P228" t="str">
        <f>IF(AND(TBL_Employees[[#This Row],[Department]]="IT",TBL_Employees[[#This Row],[Gender]]="Female"),"Yes","No")</f>
        <v>No</v>
      </c>
      <c r="Q228" t="str">
        <f>IF(AND(TBL_Employees[[#This Row],[Gender]]="Female",TBL_Employees[[#This Row],[Ethnicity]]="Black"), "Female_Black", "Others")</f>
        <v>Others</v>
      </c>
    </row>
    <row r="229" spans="1:17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7">
        <v>36993</v>
      </c>
      <c r="J229" s="1">
        <v>95743</v>
      </c>
      <c r="K229" s="2">
        <v>0.15</v>
      </c>
      <c r="L229" t="s">
        <v>19</v>
      </c>
      <c r="M229" t="s">
        <v>25</v>
      </c>
      <c r="N229" s="7">
        <v>40193</v>
      </c>
      <c r="O229" s="1">
        <f>TBL_Employees[[#This Row],[Annual Salary]]+TBL_Employees[[#This Row],[Bonus %]]*TBL_Employees[[#This Row],[Annual Salary]]</f>
        <v>110104.45</v>
      </c>
      <c r="P229" t="str">
        <f>IF(AND(TBL_Employees[[#This Row],[Department]]="IT",TBL_Employees[[#This Row],[Gender]]="Female"),"Yes","No")</f>
        <v>No</v>
      </c>
      <c r="Q229" t="str">
        <f>IF(AND(TBL_Employees[[#This Row],[Gender]]="Female",TBL_Employees[[#This Row],[Ethnicity]]="Black"), "Female_Black", "Others")</f>
        <v>Others</v>
      </c>
    </row>
    <row r="230" spans="1:17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7">
        <v>40060</v>
      </c>
      <c r="J230" s="1">
        <v>89695</v>
      </c>
      <c r="K230" s="2">
        <v>0</v>
      </c>
      <c r="L230" t="s">
        <v>19</v>
      </c>
      <c r="M230" t="s">
        <v>25</v>
      </c>
      <c r="N230" s="7" t="s">
        <v>21</v>
      </c>
      <c r="O230" s="1">
        <f>TBL_Employees[[#This Row],[Annual Salary]]+TBL_Employees[[#This Row],[Bonus %]]*TBL_Employees[[#This Row],[Annual Salary]]</f>
        <v>89695</v>
      </c>
      <c r="P230" t="str">
        <f>IF(AND(TBL_Employees[[#This Row],[Department]]="IT",TBL_Employees[[#This Row],[Gender]]="Female"),"Yes","No")</f>
        <v>No</v>
      </c>
      <c r="Q230" t="str">
        <f>IF(AND(TBL_Employees[[#This Row],[Gender]]="Female",TBL_Employees[[#This Row],[Ethnicity]]="Black"), "Female_Black", "Others")</f>
        <v>Others</v>
      </c>
    </row>
    <row r="231" spans="1:17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7">
        <v>35996</v>
      </c>
      <c r="J231" s="1">
        <v>122753</v>
      </c>
      <c r="K231" s="2">
        <v>0.09</v>
      </c>
      <c r="L231" t="s">
        <v>33</v>
      </c>
      <c r="M231" t="s">
        <v>80</v>
      </c>
      <c r="N231" s="7" t="s">
        <v>21</v>
      </c>
      <c r="O231" s="1">
        <f>TBL_Employees[[#This Row],[Annual Salary]]+TBL_Employees[[#This Row],[Bonus %]]*TBL_Employees[[#This Row],[Annual Salary]]</f>
        <v>133800.76999999999</v>
      </c>
      <c r="P231" t="str">
        <f>IF(AND(TBL_Employees[[#This Row],[Department]]="IT",TBL_Employees[[#This Row],[Gender]]="Female"),"Yes","No")</f>
        <v>No</v>
      </c>
      <c r="Q231" t="str">
        <f>IF(AND(TBL_Employees[[#This Row],[Gender]]="Female",TBL_Employees[[#This Row],[Ethnicity]]="Black"), "Female_Black", "Others")</f>
        <v>Others</v>
      </c>
    </row>
    <row r="232" spans="1:17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7">
        <v>42078</v>
      </c>
      <c r="J232" s="1">
        <v>93734</v>
      </c>
      <c r="K232" s="2">
        <v>0</v>
      </c>
      <c r="L232" t="s">
        <v>19</v>
      </c>
      <c r="M232" t="s">
        <v>39</v>
      </c>
      <c r="N232" s="7" t="s">
        <v>21</v>
      </c>
      <c r="O232" s="1">
        <f>TBL_Employees[[#This Row],[Annual Salary]]+TBL_Employees[[#This Row],[Bonus %]]*TBL_Employees[[#This Row],[Annual Salary]]</f>
        <v>93734</v>
      </c>
      <c r="P232" t="str">
        <f>IF(AND(TBL_Employees[[#This Row],[Department]]="IT",TBL_Employees[[#This Row],[Gender]]="Female"),"Yes","No")</f>
        <v>No</v>
      </c>
      <c r="Q232" t="str">
        <f>IF(AND(TBL_Employees[[#This Row],[Gender]]="Female",TBL_Employees[[#This Row],[Ethnicity]]="Black"), "Female_Black", "Others")</f>
        <v>Others</v>
      </c>
    </row>
    <row r="233" spans="1:17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7">
        <v>42867</v>
      </c>
      <c r="J233" s="1">
        <v>52069</v>
      </c>
      <c r="K233" s="2">
        <v>0</v>
      </c>
      <c r="L233" t="s">
        <v>33</v>
      </c>
      <c r="M233" t="s">
        <v>80</v>
      </c>
      <c r="N233" s="7" t="s">
        <v>21</v>
      </c>
      <c r="O233" s="1">
        <f>TBL_Employees[[#This Row],[Annual Salary]]+TBL_Employees[[#This Row],[Bonus %]]*TBL_Employees[[#This Row],[Annual Salary]]</f>
        <v>52069</v>
      </c>
      <c r="P233" t="str">
        <f>IF(AND(TBL_Employees[[#This Row],[Department]]="IT",TBL_Employees[[#This Row],[Gender]]="Female"),"Yes","No")</f>
        <v>No</v>
      </c>
      <c r="Q233" t="str">
        <f>IF(AND(TBL_Employees[[#This Row],[Gender]]="Female",TBL_Employees[[#This Row],[Ethnicity]]="Black"), "Female_Black", "Others")</f>
        <v>Others</v>
      </c>
    </row>
    <row r="234" spans="1:17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7">
        <v>44181</v>
      </c>
      <c r="J234" s="1">
        <v>258426</v>
      </c>
      <c r="K234" s="2">
        <v>0.4</v>
      </c>
      <c r="L234" t="s">
        <v>52</v>
      </c>
      <c r="M234" t="s">
        <v>66</v>
      </c>
      <c r="N234" s="7" t="s">
        <v>21</v>
      </c>
      <c r="O234" s="1">
        <f>TBL_Employees[[#This Row],[Annual Salary]]+TBL_Employees[[#This Row],[Bonus %]]*TBL_Employees[[#This Row],[Annual Salary]]</f>
        <v>361796.4</v>
      </c>
      <c r="P234" t="str">
        <f>IF(AND(TBL_Employees[[#This Row],[Department]]="IT",TBL_Employees[[#This Row],[Gender]]="Female"),"Yes","No")</f>
        <v>No</v>
      </c>
      <c r="Q234" t="str">
        <f>IF(AND(TBL_Employees[[#This Row],[Gender]]="Female",TBL_Employees[[#This Row],[Ethnicity]]="Black"), "Female_Black", "Others")</f>
        <v>Others</v>
      </c>
    </row>
    <row r="235" spans="1:17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7">
        <v>34746</v>
      </c>
      <c r="J235" s="1">
        <v>125375</v>
      </c>
      <c r="K235" s="2">
        <v>0.09</v>
      </c>
      <c r="L235" t="s">
        <v>19</v>
      </c>
      <c r="M235" t="s">
        <v>20</v>
      </c>
      <c r="N235" s="7" t="s">
        <v>21</v>
      </c>
      <c r="O235" s="1">
        <f>TBL_Employees[[#This Row],[Annual Salary]]+TBL_Employees[[#This Row],[Bonus %]]*TBL_Employees[[#This Row],[Annual Salary]]</f>
        <v>136658.75</v>
      </c>
      <c r="P235" t="str">
        <f>IF(AND(TBL_Employees[[#This Row],[Department]]="IT",TBL_Employees[[#This Row],[Gender]]="Female"),"Yes","No")</f>
        <v>No</v>
      </c>
      <c r="Q235" t="str">
        <f>IF(AND(TBL_Employees[[#This Row],[Gender]]="Female",TBL_Employees[[#This Row],[Ethnicity]]="Black"), "Female_Black", "Others")</f>
        <v>Others</v>
      </c>
    </row>
    <row r="236" spans="1:17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7">
        <v>44235</v>
      </c>
      <c r="J236" s="1">
        <v>198243</v>
      </c>
      <c r="K236" s="2">
        <v>0.31</v>
      </c>
      <c r="L236" t="s">
        <v>19</v>
      </c>
      <c r="M236" t="s">
        <v>45</v>
      </c>
      <c r="N236" s="7" t="s">
        <v>21</v>
      </c>
      <c r="O236" s="1">
        <f>TBL_Employees[[#This Row],[Annual Salary]]+TBL_Employees[[#This Row],[Bonus %]]*TBL_Employees[[#This Row],[Annual Salary]]</f>
        <v>259698.33000000002</v>
      </c>
      <c r="P236" t="str">
        <f>IF(AND(TBL_Employees[[#This Row],[Department]]="IT",TBL_Employees[[#This Row],[Gender]]="Female"),"Yes","No")</f>
        <v>No</v>
      </c>
      <c r="Q236" t="str">
        <f>IF(AND(TBL_Employees[[#This Row],[Gender]]="Female",TBL_Employees[[#This Row],[Ethnicity]]="Black"), "Female_Black", "Others")</f>
        <v>Others</v>
      </c>
    </row>
    <row r="237" spans="1:17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7">
        <v>43062</v>
      </c>
      <c r="J237" s="1">
        <v>96023</v>
      </c>
      <c r="K237" s="2">
        <v>0</v>
      </c>
      <c r="L237" t="s">
        <v>19</v>
      </c>
      <c r="M237" t="s">
        <v>45</v>
      </c>
      <c r="N237" s="7" t="s">
        <v>21</v>
      </c>
      <c r="O237" s="1">
        <f>TBL_Employees[[#This Row],[Annual Salary]]+TBL_Employees[[#This Row],[Bonus %]]*TBL_Employees[[#This Row],[Annual Salary]]</f>
        <v>96023</v>
      </c>
      <c r="P237" t="str">
        <f>IF(AND(TBL_Employees[[#This Row],[Department]]="IT",TBL_Employees[[#This Row],[Gender]]="Female"),"Yes","No")</f>
        <v>No</v>
      </c>
      <c r="Q237" t="str">
        <f>IF(AND(TBL_Employees[[#This Row],[Gender]]="Female",TBL_Employees[[#This Row],[Ethnicity]]="Black"), "Female_Black", "Others")</f>
        <v>Others</v>
      </c>
    </row>
    <row r="238" spans="1:17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7">
        <v>41085</v>
      </c>
      <c r="J238" s="1">
        <v>83066</v>
      </c>
      <c r="K238" s="2">
        <v>0</v>
      </c>
      <c r="L238" t="s">
        <v>19</v>
      </c>
      <c r="M238" t="s">
        <v>20</v>
      </c>
      <c r="N238" s="7">
        <v>41430</v>
      </c>
      <c r="O238" s="1">
        <f>TBL_Employees[[#This Row],[Annual Salary]]+TBL_Employees[[#This Row],[Bonus %]]*TBL_Employees[[#This Row],[Annual Salary]]</f>
        <v>83066</v>
      </c>
      <c r="P238" t="str">
        <f>IF(AND(TBL_Employees[[#This Row],[Department]]="IT",TBL_Employees[[#This Row],[Gender]]="Female"),"Yes","No")</f>
        <v>No</v>
      </c>
      <c r="Q238" t="str">
        <f>IF(AND(TBL_Employees[[#This Row],[Gender]]="Female",TBL_Employees[[#This Row],[Ethnicity]]="Black"), "Female_Black", "Others")</f>
        <v>Others</v>
      </c>
    </row>
    <row r="239" spans="1:17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7">
        <v>41773</v>
      </c>
      <c r="J239" s="1">
        <v>61216</v>
      </c>
      <c r="K239" s="2">
        <v>0</v>
      </c>
      <c r="L239" t="s">
        <v>19</v>
      </c>
      <c r="M239" t="s">
        <v>63</v>
      </c>
      <c r="N239" s="7" t="s">
        <v>21</v>
      </c>
      <c r="O239" s="1">
        <f>TBL_Employees[[#This Row],[Annual Salary]]+TBL_Employees[[#This Row],[Bonus %]]*TBL_Employees[[#This Row],[Annual Salary]]</f>
        <v>61216</v>
      </c>
      <c r="P239" t="str">
        <f>IF(AND(TBL_Employees[[#This Row],[Department]]="IT",TBL_Employees[[#This Row],[Gender]]="Female"),"Yes","No")</f>
        <v>No</v>
      </c>
      <c r="Q239" t="str">
        <f>IF(AND(TBL_Employees[[#This Row],[Gender]]="Female",TBL_Employees[[#This Row],[Ethnicity]]="Black"), "Female_Black", "Others")</f>
        <v>Others</v>
      </c>
    </row>
    <row r="240" spans="1:17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7">
        <v>41315</v>
      </c>
      <c r="J240" s="1">
        <v>144231</v>
      </c>
      <c r="K240" s="2">
        <v>0.14000000000000001</v>
      </c>
      <c r="L240" t="s">
        <v>19</v>
      </c>
      <c r="M240" t="s">
        <v>29</v>
      </c>
      <c r="N240" s="7">
        <v>44029</v>
      </c>
      <c r="O240" s="1">
        <f>TBL_Employees[[#This Row],[Annual Salary]]+TBL_Employees[[#This Row],[Bonus %]]*TBL_Employees[[#This Row],[Annual Salary]]</f>
        <v>164423.34</v>
      </c>
      <c r="P240" t="str">
        <f>IF(AND(TBL_Employees[[#This Row],[Department]]="IT",TBL_Employees[[#This Row],[Gender]]="Female"),"Yes","No")</f>
        <v>No</v>
      </c>
      <c r="Q240" t="str">
        <f>IF(AND(TBL_Employees[[#This Row],[Gender]]="Female",TBL_Employees[[#This Row],[Ethnicity]]="Black"), "Female_Black", "Others")</f>
        <v>Others</v>
      </c>
    </row>
    <row r="241" spans="1:17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7">
        <v>39379</v>
      </c>
      <c r="J241" s="1">
        <v>51630</v>
      </c>
      <c r="K241" s="2">
        <v>0</v>
      </c>
      <c r="L241" t="s">
        <v>33</v>
      </c>
      <c r="M241" t="s">
        <v>60</v>
      </c>
      <c r="N241" s="7" t="s">
        <v>21</v>
      </c>
      <c r="O241" s="1">
        <f>TBL_Employees[[#This Row],[Annual Salary]]+TBL_Employees[[#This Row],[Bonus %]]*TBL_Employees[[#This Row],[Annual Salary]]</f>
        <v>51630</v>
      </c>
      <c r="P241" t="str">
        <f>IF(AND(TBL_Employees[[#This Row],[Department]]="IT",TBL_Employees[[#This Row],[Gender]]="Female"),"Yes","No")</f>
        <v>No</v>
      </c>
      <c r="Q241" t="str">
        <f>IF(AND(TBL_Employees[[#This Row],[Gender]]="Female",TBL_Employees[[#This Row],[Ethnicity]]="Black"), "Female_Black", "Others")</f>
        <v>Others</v>
      </c>
    </row>
    <row r="242" spans="1:17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7">
        <v>41594</v>
      </c>
      <c r="J242" s="1">
        <v>124129</v>
      </c>
      <c r="K242" s="2">
        <v>0.15</v>
      </c>
      <c r="L242" t="s">
        <v>52</v>
      </c>
      <c r="M242" t="s">
        <v>53</v>
      </c>
      <c r="N242" s="7" t="s">
        <v>21</v>
      </c>
      <c r="O242" s="1">
        <f>TBL_Employees[[#This Row],[Annual Salary]]+TBL_Employees[[#This Row],[Bonus %]]*TBL_Employees[[#This Row],[Annual Salary]]</f>
        <v>142748.35</v>
      </c>
      <c r="P242" t="str">
        <f>IF(AND(TBL_Employees[[#This Row],[Department]]="IT",TBL_Employees[[#This Row],[Gender]]="Female"),"Yes","No")</f>
        <v>No</v>
      </c>
      <c r="Q242" t="str">
        <f>IF(AND(TBL_Employees[[#This Row],[Gender]]="Female",TBL_Employees[[#This Row],[Ethnicity]]="Black"), "Female_Black", "Others")</f>
        <v>Others</v>
      </c>
    </row>
    <row r="243" spans="1:17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7">
        <v>39912</v>
      </c>
      <c r="J243" s="1">
        <v>60055</v>
      </c>
      <c r="K243" s="2">
        <v>0</v>
      </c>
      <c r="L243" t="s">
        <v>19</v>
      </c>
      <c r="M243" t="s">
        <v>63</v>
      </c>
      <c r="N243" s="7" t="s">
        <v>21</v>
      </c>
      <c r="O243" s="1">
        <f>TBL_Employees[[#This Row],[Annual Salary]]+TBL_Employees[[#This Row],[Bonus %]]*TBL_Employees[[#This Row],[Annual Salary]]</f>
        <v>60055</v>
      </c>
      <c r="P243" t="str">
        <f>IF(AND(TBL_Employees[[#This Row],[Department]]="IT",TBL_Employees[[#This Row],[Gender]]="Female"),"Yes","No")</f>
        <v>No</v>
      </c>
      <c r="Q243" t="str">
        <f>IF(AND(TBL_Employees[[#This Row],[Gender]]="Female",TBL_Employees[[#This Row],[Ethnicity]]="Black"), "Female_Black", "Others")</f>
        <v>Others</v>
      </c>
    </row>
    <row r="244" spans="1:17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7">
        <v>44069</v>
      </c>
      <c r="J244" s="1">
        <v>189290</v>
      </c>
      <c r="K244" s="2">
        <v>0.22</v>
      </c>
      <c r="L244" t="s">
        <v>52</v>
      </c>
      <c r="M244" t="s">
        <v>53</v>
      </c>
      <c r="N244" s="7">
        <v>44099</v>
      </c>
      <c r="O244" s="1">
        <f>TBL_Employees[[#This Row],[Annual Salary]]+TBL_Employees[[#This Row],[Bonus %]]*TBL_Employees[[#This Row],[Annual Salary]]</f>
        <v>230933.8</v>
      </c>
      <c r="P244" t="str">
        <f>IF(AND(TBL_Employees[[#This Row],[Department]]="IT",TBL_Employees[[#This Row],[Gender]]="Female"),"Yes","No")</f>
        <v>No</v>
      </c>
      <c r="Q244" t="str">
        <f>IF(AND(TBL_Employees[[#This Row],[Gender]]="Female",TBL_Employees[[#This Row],[Ethnicity]]="Black"), "Female_Black", "Others")</f>
        <v>Others</v>
      </c>
    </row>
    <row r="245" spans="1:17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7">
        <v>39568</v>
      </c>
      <c r="J245" s="1">
        <v>182202</v>
      </c>
      <c r="K245" s="2">
        <v>0.3</v>
      </c>
      <c r="L245" t="s">
        <v>19</v>
      </c>
      <c r="M245" t="s">
        <v>25</v>
      </c>
      <c r="N245" s="7" t="s">
        <v>21</v>
      </c>
      <c r="O245" s="1">
        <f>TBL_Employees[[#This Row],[Annual Salary]]+TBL_Employees[[#This Row],[Bonus %]]*TBL_Employees[[#This Row],[Annual Salary]]</f>
        <v>236862.6</v>
      </c>
      <c r="P245" t="str">
        <f>IF(AND(TBL_Employees[[#This Row],[Department]]="IT",TBL_Employees[[#This Row],[Gender]]="Female"),"Yes","No")</f>
        <v>Yes</v>
      </c>
      <c r="Q245" t="str">
        <f>IF(AND(TBL_Employees[[#This Row],[Gender]]="Female",TBL_Employees[[#This Row],[Ethnicity]]="Black"), "Female_Black", "Others")</f>
        <v>Others</v>
      </c>
    </row>
    <row r="246" spans="1:17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7">
        <v>38748</v>
      </c>
      <c r="J246" s="1">
        <v>117518</v>
      </c>
      <c r="K246" s="2">
        <v>7.0000000000000007E-2</v>
      </c>
      <c r="L246" t="s">
        <v>19</v>
      </c>
      <c r="M246" t="s">
        <v>63</v>
      </c>
      <c r="N246" s="7" t="s">
        <v>21</v>
      </c>
      <c r="O246" s="1">
        <f>TBL_Employees[[#This Row],[Annual Salary]]+TBL_Employees[[#This Row],[Bonus %]]*TBL_Employees[[#This Row],[Annual Salary]]</f>
        <v>125744.26</v>
      </c>
      <c r="P246" t="str">
        <f>IF(AND(TBL_Employees[[#This Row],[Department]]="IT",TBL_Employees[[#This Row],[Gender]]="Female"),"Yes","No")</f>
        <v>No</v>
      </c>
      <c r="Q246" t="str">
        <f>IF(AND(TBL_Employees[[#This Row],[Gender]]="Female",TBL_Employees[[#This Row],[Ethnicity]]="Black"), "Female_Black", "Others")</f>
        <v>Others</v>
      </c>
    </row>
    <row r="247" spans="1:17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7">
        <v>41329</v>
      </c>
      <c r="J247" s="1">
        <v>157474</v>
      </c>
      <c r="K247" s="2">
        <v>0.11</v>
      </c>
      <c r="L247" t="s">
        <v>52</v>
      </c>
      <c r="M247" t="s">
        <v>66</v>
      </c>
      <c r="N247" s="7" t="s">
        <v>21</v>
      </c>
      <c r="O247" s="1">
        <f>TBL_Employees[[#This Row],[Annual Salary]]+TBL_Employees[[#This Row],[Bonus %]]*TBL_Employees[[#This Row],[Annual Salary]]</f>
        <v>174796.14</v>
      </c>
      <c r="P247" t="str">
        <f>IF(AND(TBL_Employees[[#This Row],[Department]]="IT",TBL_Employees[[#This Row],[Gender]]="Female"),"Yes","No")</f>
        <v>No</v>
      </c>
      <c r="Q247" t="str">
        <f>IF(AND(TBL_Employees[[#This Row],[Gender]]="Female",TBL_Employees[[#This Row],[Ethnicity]]="Black"), "Female_Black", "Others")</f>
        <v>Others</v>
      </c>
    </row>
    <row r="248" spans="1:17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7">
        <v>39544</v>
      </c>
      <c r="J248" s="1">
        <v>126856</v>
      </c>
      <c r="K248" s="2">
        <v>0.06</v>
      </c>
      <c r="L248" t="s">
        <v>19</v>
      </c>
      <c r="M248" t="s">
        <v>29</v>
      </c>
      <c r="N248" s="7" t="s">
        <v>21</v>
      </c>
      <c r="O248" s="1">
        <f>TBL_Employees[[#This Row],[Annual Salary]]+TBL_Employees[[#This Row],[Bonus %]]*TBL_Employees[[#This Row],[Annual Salary]]</f>
        <v>134467.35999999999</v>
      </c>
      <c r="P248" t="str">
        <f>IF(AND(TBL_Employees[[#This Row],[Department]]="IT",TBL_Employees[[#This Row],[Gender]]="Female"),"Yes","No")</f>
        <v>No</v>
      </c>
      <c r="Q248" t="str">
        <f>IF(AND(TBL_Employees[[#This Row],[Gender]]="Female",TBL_Employees[[#This Row],[Ethnicity]]="Black"), "Female_Black", "Others")</f>
        <v>Others</v>
      </c>
    </row>
    <row r="249" spans="1:17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7">
        <v>36983</v>
      </c>
      <c r="J249" s="1">
        <v>129124</v>
      </c>
      <c r="K249" s="2">
        <v>0.12</v>
      </c>
      <c r="L249" t="s">
        <v>33</v>
      </c>
      <c r="M249" t="s">
        <v>74</v>
      </c>
      <c r="N249" s="7" t="s">
        <v>21</v>
      </c>
      <c r="O249" s="1">
        <f>TBL_Employees[[#This Row],[Annual Salary]]+TBL_Employees[[#This Row],[Bonus %]]*TBL_Employees[[#This Row],[Annual Salary]]</f>
        <v>144618.88</v>
      </c>
      <c r="P249" t="str">
        <f>IF(AND(TBL_Employees[[#This Row],[Department]]="IT",TBL_Employees[[#This Row],[Gender]]="Female"),"Yes","No")</f>
        <v>No</v>
      </c>
      <c r="Q249" t="str">
        <f>IF(AND(TBL_Employees[[#This Row],[Gender]]="Female",TBL_Employees[[#This Row],[Ethnicity]]="Black"), "Female_Black", "Others")</f>
        <v>Others</v>
      </c>
    </row>
    <row r="250" spans="1:17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7">
        <v>37316</v>
      </c>
      <c r="J250" s="1">
        <v>165181</v>
      </c>
      <c r="K250" s="2">
        <v>0.16</v>
      </c>
      <c r="L250" t="s">
        <v>19</v>
      </c>
      <c r="M250" t="s">
        <v>63</v>
      </c>
      <c r="N250" s="7" t="s">
        <v>21</v>
      </c>
      <c r="O250" s="1">
        <f>TBL_Employees[[#This Row],[Annual Salary]]+TBL_Employees[[#This Row],[Bonus %]]*TBL_Employees[[#This Row],[Annual Salary]]</f>
        <v>191609.96</v>
      </c>
      <c r="P250" t="str">
        <f>IF(AND(TBL_Employees[[#This Row],[Department]]="IT",TBL_Employees[[#This Row],[Gender]]="Female"),"Yes","No")</f>
        <v>No</v>
      </c>
      <c r="Q250" t="str">
        <f>IF(AND(TBL_Employees[[#This Row],[Gender]]="Female",TBL_Employees[[#This Row],[Ethnicity]]="Black"), "Female_Black", "Others")</f>
        <v>Others</v>
      </c>
    </row>
    <row r="251" spans="1:17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7">
        <v>38004</v>
      </c>
      <c r="J251" s="1">
        <v>247939</v>
      </c>
      <c r="K251" s="2">
        <v>0.35</v>
      </c>
      <c r="L251" t="s">
        <v>52</v>
      </c>
      <c r="M251" t="s">
        <v>66</v>
      </c>
      <c r="N251" s="7" t="s">
        <v>21</v>
      </c>
      <c r="O251" s="1">
        <f>TBL_Employees[[#This Row],[Annual Salary]]+TBL_Employees[[#This Row],[Bonus %]]*TBL_Employees[[#This Row],[Annual Salary]]</f>
        <v>334717.65000000002</v>
      </c>
      <c r="P251" t="str">
        <f>IF(AND(TBL_Employees[[#This Row],[Department]]="IT",TBL_Employees[[#This Row],[Gender]]="Female"),"Yes","No")</f>
        <v>No</v>
      </c>
      <c r="Q251" t="str">
        <f>IF(AND(TBL_Employees[[#This Row],[Gender]]="Female",TBL_Employees[[#This Row],[Ethnicity]]="Black"), "Female_Black", "Others")</f>
        <v>Others</v>
      </c>
    </row>
    <row r="252" spans="1:17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7">
        <v>42972</v>
      </c>
      <c r="J252" s="1">
        <v>169509</v>
      </c>
      <c r="K252" s="2">
        <v>0.18</v>
      </c>
      <c r="L252" t="s">
        <v>52</v>
      </c>
      <c r="M252" t="s">
        <v>81</v>
      </c>
      <c r="N252" s="7" t="s">
        <v>21</v>
      </c>
      <c r="O252" s="1">
        <f>TBL_Employees[[#This Row],[Annual Salary]]+TBL_Employees[[#This Row],[Bonus %]]*TBL_Employees[[#This Row],[Annual Salary]]</f>
        <v>200020.62</v>
      </c>
      <c r="P252" t="str">
        <f>IF(AND(TBL_Employees[[#This Row],[Department]]="IT",TBL_Employees[[#This Row],[Gender]]="Female"),"Yes","No")</f>
        <v>No</v>
      </c>
      <c r="Q252" t="str">
        <f>IF(AND(TBL_Employees[[#This Row],[Gender]]="Female",TBL_Employees[[#This Row],[Ethnicity]]="Black"), "Female_Black", "Others")</f>
        <v>Others</v>
      </c>
    </row>
    <row r="253" spans="1:17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7">
        <v>40552</v>
      </c>
      <c r="J253" s="1">
        <v>138521</v>
      </c>
      <c r="K253" s="2">
        <v>0.1</v>
      </c>
      <c r="L253" t="s">
        <v>19</v>
      </c>
      <c r="M253" t="s">
        <v>45</v>
      </c>
      <c r="N253" s="7" t="s">
        <v>21</v>
      </c>
      <c r="O253" s="1">
        <f>TBL_Employees[[#This Row],[Annual Salary]]+TBL_Employees[[#This Row],[Bonus %]]*TBL_Employees[[#This Row],[Annual Salary]]</f>
        <v>152373.1</v>
      </c>
      <c r="P253" t="str">
        <f>IF(AND(TBL_Employees[[#This Row],[Department]]="IT",TBL_Employees[[#This Row],[Gender]]="Female"),"Yes","No")</f>
        <v>No</v>
      </c>
      <c r="Q253" t="str">
        <f>IF(AND(TBL_Employees[[#This Row],[Gender]]="Female",TBL_Employees[[#This Row],[Ethnicity]]="Black"), "Female_Black", "Others")</f>
        <v>Others</v>
      </c>
    </row>
    <row r="254" spans="1:17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7">
        <v>41712</v>
      </c>
      <c r="J254" s="1">
        <v>113873</v>
      </c>
      <c r="K254" s="2">
        <v>0.11</v>
      </c>
      <c r="L254" t="s">
        <v>52</v>
      </c>
      <c r="M254" t="s">
        <v>66</v>
      </c>
      <c r="N254" s="7" t="s">
        <v>21</v>
      </c>
      <c r="O254" s="1">
        <f>TBL_Employees[[#This Row],[Annual Salary]]+TBL_Employees[[#This Row],[Bonus %]]*TBL_Employees[[#This Row],[Annual Salary]]</f>
        <v>126399.03</v>
      </c>
      <c r="P254" t="str">
        <f>IF(AND(TBL_Employees[[#This Row],[Department]]="IT",TBL_Employees[[#This Row],[Gender]]="Female"),"Yes","No")</f>
        <v>No</v>
      </c>
      <c r="Q254" t="str">
        <f>IF(AND(TBL_Employees[[#This Row],[Gender]]="Female",TBL_Employees[[#This Row],[Ethnicity]]="Black"), "Female_Black", "Others")</f>
        <v>Others</v>
      </c>
    </row>
    <row r="255" spans="1:17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7">
        <v>43229</v>
      </c>
      <c r="J255" s="1">
        <v>73317</v>
      </c>
      <c r="K255" s="2">
        <v>0</v>
      </c>
      <c r="L255" t="s">
        <v>19</v>
      </c>
      <c r="M255" t="s">
        <v>45</v>
      </c>
      <c r="N255" s="7" t="s">
        <v>21</v>
      </c>
      <c r="O255" s="1">
        <f>TBL_Employees[[#This Row],[Annual Salary]]+TBL_Employees[[#This Row],[Bonus %]]*TBL_Employees[[#This Row],[Annual Salary]]</f>
        <v>73317</v>
      </c>
      <c r="P255" t="str">
        <f>IF(AND(TBL_Employees[[#This Row],[Department]]="IT",TBL_Employees[[#This Row],[Gender]]="Female"),"Yes","No")</f>
        <v>Yes</v>
      </c>
      <c r="Q255" t="str">
        <f>IF(AND(TBL_Employees[[#This Row],[Gender]]="Female",TBL_Employees[[#This Row],[Ethnicity]]="Black"), "Female_Black", "Others")</f>
        <v>Female_Black</v>
      </c>
    </row>
    <row r="256" spans="1:17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7">
        <v>41451</v>
      </c>
      <c r="J256" s="1">
        <v>69096</v>
      </c>
      <c r="K256" s="2">
        <v>0</v>
      </c>
      <c r="L256" t="s">
        <v>19</v>
      </c>
      <c r="M256" t="s">
        <v>63</v>
      </c>
      <c r="N256" s="7" t="s">
        <v>21</v>
      </c>
      <c r="O256" s="1">
        <f>TBL_Employees[[#This Row],[Annual Salary]]+TBL_Employees[[#This Row],[Bonus %]]*TBL_Employees[[#This Row],[Annual Salary]]</f>
        <v>69096</v>
      </c>
      <c r="P256" t="str">
        <f>IF(AND(TBL_Employees[[#This Row],[Department]]="IT",TBL_Employees[[#This Row],[Gender]]="Female"),"Yes","No")</f>
        <v>Yes</v>
      </c>
      <c r="Q256" t="str">
        <f>IF(AND(TBL_Employees[[#This Row],[Gender]]="Female",TBL_Employees[[#This Row],[Ethnicity]]="Black"), "Female_Black", "Others")</f>
        <v>Others</v>
      </c>
    </row>
    <row r="257" spans="1:17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7">
        <v>38454</v>
      </c>
      <c r="J257" s="1">
        <v>87158</v>
      </c>
      <c r="K257" s="2">
        <v>0</v>
      </c>
      <c r="L257" t="s">
        <v>52</v>
      </c>
      <c r="M257" t="s">
        <v>81</v>
      </c>
      <c r="N257" s="7" t="s">
        <v>21</v>
      </c>
      <c r="O257" s="1">
        <f>TBL_Employees[[#This Row],[Annual Salary]]+TBL_Employees[[#This Row],[Bonus %]]*TBL_Employees[[#This Row],[Annual Salary]]</f>
        <v>87158</v>
      </c>
      <c r="P257" t="str">
        <f>IF(AND(TBL_Employees[[#This Row],[Department]]="IT",TBL_Employees[[#This Row],[Gender]]="Female"),"Yes","No")</f>
        <v>No</v>
      </c>
      <c r="Q257" t="str">
        <f>IF(AND(TBL_Employees[[#This Row],[Gender]]="Female",TBL_Employees[[#This Row],[Ethnicity]]="Black"), "Female_Black", "Others")</f>
        <v>Others</v>
      </c>
    </row>
    <row r="258" spans="1:17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7">
        <v>33875</v>
      </c>
      <c r="J258" s="1">
        <v>70778</v>
      </c>
      <c r="K258" s="2">
        <v>0</v>
      </c>
      <c r="L258" t="s">
        <v>19</v>
      </c>
      <c r="M258" t="s">
        <v>25</v>
      </c>
      <c r="N258" s="7" t="s">
        <v>21</v>
      </c>
      <c r="O258" s="1">
        <f>TBL_Employees[[#This Row],[Annual Salary]]+TBL_Employees[[#This Row],[Bonus %]]*TBL_Employees[[#This Row],[Annual Salary]]</f>
        <v>70778</v>
      </c>
      <c r="P258" t="str">
        <f>IF(AND(TBL_Employees[[#This Row],[Department]]="IT",TBL_Employees[[#This Row],[Gender]]="Female"),"Yes","No")</f>
        <v>No</v>
      </c>
      <c r="Q258" t="str">
        <f>IF(AND(TBL_Employees[[#This Row],[Gender]]="Female",TBL_Employees[[#This Row],[Ethnicity]]="Black"), "Female_Black", "Others")</f>
        <v>Others</v>
      </c>
    </row>
    <row r="259" spans="1:17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7">
        <v>38130</v>
      </c>
      <c r="J259" s="1">
        <v>153938</v>
      </c>
      <c r="K259" s="2">
        <v>0.2</v>
      </c>
      <c r="L259" t="s">
        <v>19</v>
      </c>
      <c r="M259" t="s">
        <v>39</v>
      </c>
      <c r="N259" s="7" t="s">
        <v>21</v>
      </c>
      <c r="O259" s="1">
        <f>TBL_Employees[[#This Row],[Annual Salary]]+TBL_Employees[[#This Row],[Bonus %]]*TBL_Employees[[#This Row],[Annual Salary]]</f>
        <v>184725.6</v>
      </c>
      <c r="P259" t="str">
        <f>IF(AND(TBL_Employees[[#This Row],[Department]]="IT",TBL_Employees[[#This Row],[Gender]]="Female"),"Yes","No")</f>
        <v>No</v>
      </c>
      <c r="Q259" t="str">
        <f>IF(AND(TBL_Employees[[#This Row],[Gender]]="Female",TBL_Employees[[#This Row],[Ethnicity]]="Black"), "Female_Black", "Others")</f>
        <v>Others</v>
      </c>
    </row>
    <row r="260" spans="1:17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7">
        <v>43224</v>
      </c>
      <c r="J260" s="1">
        <v>59888</v>
      </c>
      <c r="K260" s="2">
        <v>0</v>
      </c>
      <c r="L260" t="s">
        <v>33</v>
      </c>
      <c r="M260" t="s">
        <v>60</v>
      </c>
      <c r="N260" s="7" t="s">
        <v>21</v>
      </c>
      <c r="O260" s="1">
        <f>TBL_Employees[[#This Row],[Annual Salary]]+TBL_Employees[[#This Row],[Bonus %]]*TBL_Employees[[#This Row],[Annual Salary]]</f>
        <v>59888</v>
      </c>
      <c r="P260" t="str">
        <f>IF(AND(TBL_Employees[[#This Row],[Department]]="IT",TBL_Employees[[#This Row],[Gender]]="Female"),"Yes","No")</f>
        <v>No</v>
      </c>
      <c r="Q260" t="str">
        <f>IF(AND(TBL_Employees[[#This Row],[Gender]]="Female",TBL_Employees[[#This Row],[Ethnicity]]="Black"), "Female_Black", "Others")</f>
        <v>Others</v>
      </c>
    </row>
    <row r="261" spans="1:17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7">
        <v>43447</v>
      </c>
      <c r="J261" s="1">
        <v>63098</v>
      </c>
      <c r="K261" s="2">
        <v>0</v>
      </c>
      <c r="L261" t="s">
        <v>19</v>
      </c>
      <c r="M261" t="s">
        <v>29</v>
      </c>
      <c r="N261" s="7" t="s">
        <v>21</v>
      </c>
      <c r="O261" s="1">
        <f>TBL_Employees[[#This Row],[Annual Salary]]+TBL_Employees[[#This Row],[Bonus %]]*TBL_Employees[[#This Row],[Annual Salary]]</f>
        <v>63098</v>
      </c>
      <c r="P261" t="str">
        <f>IF(AND(TBL_Employees[[#This Row],[Department]]="IT",TBL_Employees[[#This Row],[Gender]]="Female"),"Yes","No")</f>
        <v>No</v>
      </c>
      <c r="Q261" t="str">
        <f>IF(AND(TBL_Employees[[#This Row],[Gender]]="Female",TBL_Employees[[#This Row],[Ethnicity]]="Black"), "Female_Black", "Others")</f>
        <v>Others</v>
      </c>
    </row>
    <row r="262" spans="1:17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7">
        <v>44545</v>
      </c>
      <c r="J262" s="1">
        <v>255369</v>
      </c>
      <c r="K262" s="2">
        <v>0.33</v>
      </c>
      <c r="L262" t="s">
        <v>52</v>
      </c>
      <c r="M262" t="s">
        <v>53</v>
      </c>
      <c r="N262" s="7" t="s">
        <v>21</v>
      </c>
      <c r="O262" s="1">
        <f>TBL_Employees[[#This Row],[Annual Salary]]+TBL_Employees[[#This Row],[Bonus %]]*TBL_Employees[[#This Row],[Annual Salary]]</f>
        <v>339640.77</v>
      </c>
      <c r="P262" t="str">
        <f>IF(AND(TBL_Employees[[#This Row],[Department]]="IT",TBL_Employees[[#This Row],[Gender]]="Female"),"Yes","No")</f>
        <v>No</v>
      </c>
      <c r="Q262" t="str">
        <f>IF(AND(TBL_Employees[[#This Row],[Gender]]="Female",TBL_Employees[[#This Row],[Ethnicity]]="Black"), "Female_Black", "Others")</f>
        <v>Others</v>
      </c>
    </row>
    <row r="263" spans="1:17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7">
        <v>38301</v>
      </c>
      <c r="J263" s="1">
        <v>142318</v>
      </c>
      <c r="K263" s="2">
        <v>0.14000000000000001</v>
      </c>
      <c r="L263" t="s">
        <v>19</v>
      </c>
      <c r="M263" t="s">
        <v>20</v>
      </c>
      <c r="N263" s="7" t="s">
        <v>21</v>
      </c>
      <c r="O263" s="1">
        <f>TBL_Employees[[#This Row],[Annual Salary]]+TBL_Employees[[#This Row],[Bonus %]]*TBL_Employees[[#This Row],[Annual Salary]]</f>
        <v>162242.51999999999</v>
      </c>
      <c r="P263" t="str">
        <f>IF(AND(TBL_Employees[[#This Row],[Department]]="IT",TBL_Employees[[#This Row],[Gender]]="Female"),"Yes","No")</f>
        <v>No</v>
      </c>
      <c r="Q263" t="str">
        <f>IF(AND(TBL_Employees[[#This Row],[Gender]]="Female",TBL_Employees[[#This Row],[Ethnicity]]="Black"), "Female_Black", "Others")</f>
        <v>Female_Black</v>
      </c>
    </row>
    <row r="264" spans="1:17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7">
        <v>38219</v>
      </c>
      <c r="J264" s="1">
        <v>49186</v>
      </c>
      <c r="K264" s="2">
        <v>0</v>
      </c>
      <c r="L264" t="s">
        <v>19</v>
      </c>
      <c r="M264" t="s">
        <v>25</v>
      </c>
      <c r="N264" s="7">
        <v>39616</v>
      </c>
      <c r="O264" s="1">
        <f>TBL_Employees[[#This Row],[Annual Salary]]+TBL_Employees[[#This Row],[Bonus %]]*TBL_Employees[[#This Row],[Annual Salary]]</f>
        <v>49186</v>
      </c>
      <c r="P264" t="str">
        <f>IF(AND(TBL_Employees[[#This Row],[Department]]="IT",TBL_Employees[[#This Row],[Gender]]="Female"),"Yes","No")</f>
        <v>No</v>
      </c>
      <c r="Q264" t="str">
        <f>IF(AND(TBL_Employees[[#This Row],[Gender]]="Female",TBL_Employees[[#This Row],[Ethnicity]]="Black"), "Female_Black", "Others")</f>
        <v>Others</v>
      </c>
    </row>
    <row r="265" spans="1:17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7">
        <v>43673</v>
      </c>
      <c r="J265" s="1">
        <v>220937</v>
      </c>
      <c r="K265" s="2">
        <v>0.38</v>
      </c>
      <c r="L265" t="s">
        <v>19</v>
      </c>
      <c r="M265" t="s">
        <v>25</v>
      </c>
      <c r="N265" s="7" t="s">
        <v>21</v>
      </c>
      <c r="O265" s="1">
        <f>TBL_Employees[[#This Row],[Annual Salary]]+TBL_Employees[[#This Row],[Bonus %]]*TBL_Employees[[#This Row],[Annual Salary]]</f>
        <v>304893.06</v>
      </c>
      <c r="P265" t="str">
        <f>IF(AND(TBL_Employees[[#This Row],[Department]]="IT",TBL_Employees[[#This Row],[Gender]]="Female"),"Yes","No")</f>
        <v>No</v>
      </c>
      <c r="Q265" t="str">
        <f>IF(AND(TBL_Employees[[#This Row],[Gender]]="Female",TBL_Employees[[#This Row],[Ethnicity]]="Black"), "Female_Black", "Others")</f>
        <v>Female_Black</v>
      </c>
    </row>
    <row r="266" spans="1:17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7">
        <v>41208</v>
      </c>
      <c r="J266" s="1">
        <v>183156</v>
      </c>
      <c r="K266" s="2">
        <v>0.3</v>
      </c>
      <c r="L266" t="s">
        <v>19</v>
      </c>
      <c r="M266" t="s">
        <v>63</v>
      </c>
      <c r="N266" s="7" t="s">
        <v>21</v>
      </c>
      <c r="O266" s="1">
        <f>TBL_Employees[[#This Row],[Annual Salary]]+TBL_Employees[[#This Row],[Bonus %]]*TBL_Employees[[#This Row],[Annual Salary]]</f>
        <v>238102.8</v>
      </c>
      <c r="P266" t="str">
        <f>IF(AND(TBL_Employees[[#This Row],[Department]]="IT",TBL_Employees[[#This Row],[Gender]]="Female"),"Yes","No")</f>
        <v>Yes</v>
      </c>
      <c r="Q266" t="str">
        <f>IF(AND(TBL_Employees[[#This Row],[Gender]]="Female",TBL_Employees[[#This Row],[Ethnicity]]="Black"), "Female_Black", "Others")</f>
        <v>Others</v>
      </c>
    </row>
    <row r="267" spans="1:17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7">
        <v>44034</v>
      </c>
      <c r="J267" s="1">
        <v>192749</v>
      </c>
      <c r="K267" s="2">
        <v>0.31</v>
      </c>
      <c r="L267" t="s">
        <v>19</v>
      </c>
      <c r="M267" t="s">
        <v>20</v>
      </c>
      <c r="N267" s="7" t="s">
        <v>21</v>
      </c>
      <c r="O267" s="1">
        <f>TBL_Employees[[#This Row],[Annual Salary]]+TBL_Employees[[#This Row],[Bonus %]]*TBL_Employees[[#This Row],[Annual Salary]]</f>
        <v>252501.19</v>
      </c>
      <c r="P267" t="str">
        <f>IF(AND(TBL_Employees[[#This Row],[Department]]="IT",TBL_Employees[[#This Row],[Gender]]="Female"),"Yes","No")</f>
        <v>Yes</v>
      </c>
      <c r="Q267" t="str">
        <f>IF(AND(TBL_Employees[[#This Row],[Gender]]="Female",TBL_Employees[[#This Row],[Ethnicity]]="Black"), "Female_Black", "Others")</f>
        <v>Others</v>
      </c>
    </row>
    <row r="268" spans="1:17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7">
        <v>42819</v>
      </c>
      <c r="J268" s="1">
        <v>135325</v>
      </c>
      <c r="K268" s="2">
        <v>0.14000000000000001</v>
      </c>
      <c r="L268" t="s">
        <v>19</v>
      </c>
      <c r="M268" t="s">
        <v>39</v>
      </c>
      <c r="N268" s="7" t="s">
        <v>21</v>
      </c>
      <c r="O268" s="1">
        <f>TBL_Employees[[#This Row],[Annual Salary]]+TBL_Employees[[#This Row],[Bonus %]]*TBL_Employees[[#This Row],[Annual Salary]]</f>
        <v>154270.5</v>
      </c>
      <c r="P268" t="str">
        <f>IF(AND(TBL_Employees[[#This Row],[Department]]="IT",TBL_Employees[[#This Row],[Gender]]="Female"),"Yes","No")</f>
        <v>Yes</v>
      </c>
      <c r="Q268" t="str">
        <f>IF(AND(TBL_Employees[[#This Row],[Gender]]="Female",TBL_Employees[[#This Row],[Ethnicity]]="Black"), "Female_Black", "Others")</f>
        <v>Others</v>
      </c>
    </row>
    <row r="269" spans="1:17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7">
        <v>43752</v>
      </c>
      <c r="J269" s="1">
        <v>79356</v>
      </c>
      <c r="K269" s="2">
        <v>0</v>
      </c>
      <c r="L269" t="s">
        <v>19</v>
      </c>
      <c r="M269" t="s">
        <v>39</v>
      </c>
      <c r="N269" s="7" t="s">
        <v>21</v>
      </c>
      <c r="O269" s="1">
        <f>TBL_Employees[[#This Row],[Annual Salary]]+TBL_Employees[[#This Row],[Bonus %]]*TBL_Employees[[#This Row],[Annual Salary]]</f>
        <v>79356</v>
      </c>
      <c r="P269" t="str">
        <f>IF(AND(TBL_Employees[[#This Row],[Department]]="IT",TBL_Employees[[#This Row],[Gender]]="Female"),"Yes","No")</f>
        <v>No</v>
      </c>
      <c r="Q269" t="str">
        <f>IF(AND(TBL_Employees[[#This Row],[Gender]]="Female",TBL_Employees[[#This Row],[Ethnicity]]="Black"), "Female_Black", "Others")</f>
        <v>Others</v>
      </c>
    </row>
    <row r="270" spans="1:17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7">
        <v>38540</v>
      </c>
      <c r="J270" s="1">
        <v>74412</v>
      </c>
      <c r="K270" s="2">
        <v>0</v>
      </c>
      <c r="L270" t="s">
        <v>19</v>
      </c>
      <c r="M270" t="s">
        <v>63</v>
      </c>
      <c r="N270" s="7" t="s">
        <v>21</v>
      </c>
      <c r="O270" s="1">
        <f>TBL_Employees[[#This Row],[Annual Salary]]+TBL_Employees[[#This Row],[Bonus %]]*TBL_Employees[[#This Row],[Annual Salary]]</f>
        <v>74412</v>
      </c>
      <c r="P270" t="str">
        <f>IF(AND(TBL_Employees[[#This Row],[Department]]="IT",TBL_Employees[[#This Row],[Gender]]="Female"),"Yes","No")</f>
        <v>No</v>
      </c>
      <c r="Q270" t="str">
        <f>IF(AND(TBL_Employees[[#This Row],[Gender]]="Female",TBL_Employees[[#This Row],[Ethnicity]]="Black"), "Female_Black", "Others")</f>
        <v>Others</v>
      </c>
    </row>
    <row r="271" spans="1:17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7">
        <v>43010</v>
      </c>
      <c r="J271" s="1">
        <v>61886</v>
      </c>
      <c r="K271" s="2">
        <v>0.09</v>
      </c>
      <c r="L271" t="s">
        <v>52</v>
      </c>
      <c r="M271" t="s">
        <v>66</v>
      </c>
      <c r="N271" s="7" t="s">
        <v>21</v>
      </c>
      <c r="O271" s="1">
        <f>TBL_Employees[[#This Row],[Annual Salary]]+TBL_Employees[[#This Row],[Bonus %]]*TBL_Employees[[#This Row],[Annual Salary]]</f>
        <v>67455.740000000005</v>
      </c>
      <c r="P271" t="str">
        <f>IF(AND(TBL_Employees[[#This Row],[Department]]="IT",TBL_Employees[[#This Row],[Gender]]="Female"),"Yes","No")</f>
        <v>Yes</v>
      </c>
      <c r="Q271" t="str">
        <f>IF(AND(TBL_Employees[[#This Row],[Gender]]="Female",TBL_Employees[[#This Row],[Ethnicity]]="Black"), "Female_Black", "Others")</f>
        <v>Others</v>
      </c>
    </row>
    <row r="272" spans="1:17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7">
        <v>37755</v>
      </c>
      <c r="J272" s="1">
        <v>173071</v>
      </c>
      <c r="K272" s="2">
        <v>0.28999999999999998</v>
      </c>
      <c r="L272" t="s">
        <v>19</v>
      </c>
      <c r="M272" t="s">
        <v>29</v>
      </c>
      <c r="N272" s="7" t="s">
        <v>21</v>
      </c>
      <c r="O272" s="1">
        <f>TBL_Employees[[#This Row],[Annual Salary]]+TBL_Employees[[#This Row],[Bonus %]]*TBL_Employees[[#This Row],[Annual Salary]]</f>
        <v>223261.59</v>
      </c>
      <c r="P272" t="str">
        <f>IF(AND(TBL_Employees[[#This Row],[Department]]="IT",TBL_Employees[[#This Row],[Gender]]="Female"),"Yes","No")</f>
        <v>No</v>
      </c>
      <c r="Q272" t="str">
        <f>IF(AND(TBL_Employees[[#This Row],[Gender]]="Female",TBL_Employees[[#This Row],[Ethnicity]]="Black"), "Female_Black", "Others")</f>
        <v>Others</v>
      </c>
    </row>
    <row r="273" spans="1:17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7">
        <v>34999</v>
      </c>
      <c r="J273" s="1">
        <v>70189</v>
      </c>
      <c r="K273" s="2">
        <v>0</v>
      </c>
      <c r="L273" t="s">
        <v>19</v>
      </c>
      <c r="M273" t="s">
        <v>29</v>
      </c>
      <c r="N273" s="7" t="s">
        <v>21</v>
      </c>
      <c r="O273" s="1">
        <f>TBL_Employees[[#This Row],[Annual Salary]]+TBL_Employees[[#This Row],[Bonus %]]*TBL_Employees[[#This Row],[Annual Salary]]</f>
        <v>70189</v>
      </c>
      <c r="P273" t="str">
        <f>IF(AND(TBL_Employees[[#This Row],[Department]]="IT",TBL_Employees[[#This Row],[Gender]]="Female"),"Yes","No")</f>
        <v>No</v>
      </c>
      <c r="Q273" t="str">
        <f>IF(AND(TBL_Employees[[#This Row],[Gender]]="Female",TBL_Employees[[#This Row],[Ethnicity]]="Black"), "Female_Black", "Others")</f>
        <v>Others</v>
      </c>
    </row>
    <row r="274" spans="1:17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7">
        <v>41528</v>
      </c>
      <c r="J274" s="1">
        <v>181452</v>
      </c>
      <c r="K274" s="2">
        <v>0.3</v>
      </c>
      <c r="L274" t="s">
        <v>19</v>
      </c>
      <c r="M274" t="s">
        <v>29</v>
      </c>
      <c r="N274" s="7" t="s">
        <v>21</v>
      </c>
      <c r="O274" s="1">
        <f>TBL_Employees[[#This Row],[Annual Salary]]+TBL_Employees[[#This Row],[Bonus %]]*TBL_Employees[[#This Row],[Annual Salary]]</f>
        <v>235887.6</v>
      </c>
      <c r="P274" t="str">
        <f>IF(AND(TBL_Employees[[#This Row],[Department]]="IT",TBL_Employees[[#This Row],[Gender]]="Female"),"Yes","No")</f>
        <v>No</v>
      </c>
      <c r="Q274" t="str">
        <f>IF(AND(TBL_Employees[[#This Row],[Gender]]="Female",TBL_Employees[[#This Row],[Ethnicity]]="Black"), "Female_Black", "Others")</f>
        <v>Others</v>
      </c>
    </row>
    <row r="275" spans="1:17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7">
        <v>44267</v>
      </c>
      <c r="J275" s="1">
        <v>70369</v>
      </c>
      <c r="K275" s="2">
        <v>0</v>
      </c>
      <c r="L275" t="s">
        <v>19</v>
      </c>
      <c r="M275" t="s">
        <v>63</v>
      </c>
      <c r="N275" s="7" t="s">
        <v>21</v>
      </c>
      <c r="O275" s="1">
        <f>TBL_Employees[[#This Row],[Annual Salary]]+TBL_Employees[[#This Row],[Bonus %]]*TBL_Employees[[#This Row],[Annual Salary]]</f>
        <v>70369</v>
      </c>
      <c r="P275" t="str">
        <f>IF(AND(TBL_Employees[[#This Row],[Department]]="IT",TBL_Employees[[#This Row],[Gender]]="Female"),"Yes","No")</f>
        <v>No</v>
      </c>
      <c r="Q275" t="str">
        <f>IF(AND(TBL_Employees[[#This Row],[Gender]]="Female",TBL_Employees[[#This Row],[Ethnicity]]="Black"), "Female_Black", "Others")</f>
        <v>Others</v>
      </c>
    </row>
    <row r="276" spans="1:17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7">
        <v>39634</v>
      </c>
      <c r="J276" s="1">
        <v>78056</v>
      </c>
      <c r="K276" s="2">
        <v>0</v>
      </c>
      <c r="L276" t="s">
        <v>52</v>
      </c>
      <c r="M276" t="s">
        <v>53</v>
      </c>
      <c r="N276" s="7" t="s">
        <v>21</v>
      </c>
      <c r="O276" s="1">
        <f>TBL_Employees[[#This Row],[Annual Salary]]+TBL_Employees[[#This Row],[Bonus %]]*TBL_Employees[[#This Row],[Annual Salary]]</f>
        <v>78056</v>
      </c>
      <c r="P276" t="str">
        <f>IF(AND(TBL_Employees[[#This Row],[Department]]="IT",TBL_Employees[[#This Row],[Gender]]="Female"),"Yes","No")</f>
        <v>No</v>
      </c>
      <c r="Q276" t="str">
        <f>IF(AND(TBL_Employees[[#This Row],[Gender]]="Female",TBL_Employees[[#This Row],[Ethnicity]]="Black"), "Female_Black", "Others")</f>
        <v>Others</v>
      </c>
    </row>
    <row r="277" spans="1:17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7">
        <v>35187</v>
      </c>
      <c r="J277" s="1">
        <v>189933</v>
      </c>
      <c r="K277" s="2">
        <v>0.23</v>
      </c>
      <c r="L277" t="s">
        <v>19</v>
      </c>
      <c r="M277" t="s">
        <v>45</v>
      </c>
      <c r="N277" s="7" t="s">
        <v>21</v>
      </c>
      <c r="O277" s="1">
        <f>TBL_Employees[[#This Row],[Annual Salary]]+TBL_Employees[[#This Row],[Bonus %]]*TBL_Employees[[#This Row],[Annual Salary]]</f>
        <v>233617.59</v>
      </c>
      <c r="P277" t="str">
        <f>IF(AND(TBL_Employees[[#This Row],[Department]]="IT",TBL_Employees[[#This Row],[Gender]]="Female"),"Yes","No")</f>
        <v>No</v>
      </c>
      <c r="Q277" t="str">
        <f>IF(AND(TBL_Employees[[#This Row],[Gender]]="Female",TBL_Employees[[#This Row],[Ethnicity]]="Black"), "Female_Black", "Others")</f>
        <v>Others</v>
      </c>
    </row>
    <row r="278" spans="1:17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7">
        <v>40360</v>
      </c>
      <c r="J278" s="1">
        <v>78237</v>
      </c>
      <c r="K278" s="2">
        <v>0</v>
      </c>
      <c r="L278" t="s">
        <v>19</v>
      </c>
      <c r="M278" t="s">
        <v>39</v>
      </c>
      <c r="N278" s="7" t="s">
        <v>21</v>
      </c>
      <c r="O278" s="1">
        <f>TBL_Employees[[#This Row],[Annual Salary]]+TBL_Employees[[#This Row],[Bonus %]]*TBL_Employees[[#This Row],[Annual Salary]]</f>
        <v>78237</v>
      </c>
      <c r="P278" t="str">
        <f>IF(AND(TBL_Employees[[#This Row],[Department]]="IT",TBL_Employees[[#This Row],[Gender]]="Female"),"Yes","No")</f>
        <v>No</v>
      </c>
      <c r="Q278" t="str">
        <f>IF(AND(TBL_Employees[[#This Row],[Gender]]="Female",TBL_Employees[[#This Row],[Ethnicity]]="Black"), "Female_Black", "Others")</f>
        <v>Others</v>
      </c>
    </row>
    <row r="279" spans="1:17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7">
        <v>35242</v>
      </c>
      <c r="J279" s="1">
        <v>48687</v>
      </c>
      <c r="K279" s="2">
        <v>0</v>
      </c>
      <c r="L279" t="s">
        <v>52</v>
      </c>
      <c r="M279" t="s">
        <v>66</v>
      </c>
      <c r="N279" s="7" t="s">
        <v>21</v>
      </c>
      <c r="O279" s="1">
        <f>TBL_Employees[[#This Row],[Annual Salary]]+TBL_Employees[[#This Row],[Bonus %]]*TBL_Employees[[#This Row],[Annual Salary]]</f>
        <v>48687</v>
      </c>
      <c r="P279" t="str">
        <f>IF(AND(TBL_Employees[[#This Row],[Department]]="IT",TBL_Employees[[#This Row],[Gender]]="Female"),"Yes","No")</f>
        <v>No</v>
      </c>
      <c r="Q279" t="str">
        <f>IF(AND(TBL_Employees[[#This Row],[Gender]]="Female",TBL_Employees[[#This Row],[Ethnicity]]="Black"), "Female_Black", "Others")</f>
        <v>Others</v>
      </c>
    </row>
    <row r="280" spans="1:17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7">
        <v>38218</v>
      </c>
      <c r="J280" s="1">
        <v>121065</v>
      </c>
      <c r="K280" s="2">
        <v>0.15</v>
      </c>
      <c r="L280" t="s">
        <v>52</v>
      </c>
      <c r="M280" t="s">
        <v>66</v>
      </c>
      <c r="N280" s="7" t="s">
        <v>21</v>
      </c>
      <c r="O280" s="1">
        <f>TBL_Employees[[#This Row],[Annual Salary]]+TBL_Employees[[#This Row],[Bonus %]]*TBL_Employees[[#This Row],[Annual Salary]]</f>
        <v>139224.75</v>
      </c>
      <c r="P280" t="str">
        <f>IF(AND(TBL_Employees[[#This Row],[Department]]="IT",TBL_Employees[[#This Row],[Gender]]="Female"),"Yes","No")</f>
        <v>No</v>
      </c>
      <c r="Q280" t="str">
        <f>IF(AND(TBL_Employees[[#This Row],[Gender]]="Female",TBL_Employees[[#This Row],[Ethnicity]]="Black"), "Female_Black", "Others")</f>
        <v>Others</v>
      </c>
    </row>
    <row r="281" spans="1:17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7">
        <v>38093</v>
      </c>
      <c r="J281" s="1">
        <v>94246</v>
      </c>
      <c r="K281" s="2">
        <v>0</v>
      </c>
      <c r="L281" t="s">
        <v>19</v>
      </c>
      <c r="M281" t="s">
        <v>25</v>
      </c>
      <c r="N281" s="7" t="s">
        <v>21</v>
      </c>
      <c r="O281" s="1">
        <f>TBL_Employees[[#This Row],[Annual Salary]]+TBL_Employees[[#This Row],[Bonus %]]*TBL_Employees[[#This Row],[Annual Salary]]</f>
        <v>94246</v>
      </c>
      <c r="P281" t="str">
        <f>IF(AND(TBL_Employees[[#This Row],[Department]]="IT",TBL_Employees[[#This Row],[Gender]]="Female"),"Yes","No")</f>
        <v>No</v>
      </c>
      <c r="Q281" t="str">
        <f>IF(AND(TBL_Employees[[#This Row],[Gender]]="Female",TBL_Employees[[#This Row],[Ethnicity]]="Black"), "Female_Black", "Others")</f>
        <v>Others</v>
      </c>
    </row>
    <row r="282" spans="1:17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7">
        <v>42512</v>
      </c>
      <c r="J282" s="1">
        <v>44614</v>
      </c>
      <c r="K282" s="2">
        <v>0</v>
      </c>
      <c r="L282" t="s">
        <v>19</v>
      </c>
      <c r="M282" t="s">
        <v>45</v>
      </c>
      <c r="N282" s="7" t="s">
        <v>21</v>
      </c>
      <c r="O282" s="1">
        <f>TBL_Employees[[#This Row],[Annual Salary]]+TBL_Employees[[#This Row],[Bonus %]]*TBL_Employees[[#This Row],[Annual Salary]]</f>
        <v>44614</v>
      </c>
      <c r="P282" t="str">
        <f>IF(AND(TBL_Employees[[#This Row],[Department]]="IT",TBL_Employees[[#This Row],[Gender]]="Female"),"Yes","No")</f>
        <v>Yes</v>
      </c>
      <c r="Q282" t="str">
        <f>IF(AND(TBL_Employees[[#This Row],[Gender]]="Female",TBL_Employees[[#This Row],[Ethnicity]]="Black"), "Female_Black", "Others")</f>
        <v>Others</v>
      </c>
    </row>
    <row r="283" spans="1:17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7">
        <v>44143</v>
      </c>
      <c r="J283" s="1">
        <v>234469</v>
      </c>
      <c r="K283" s="2">
        <v>0.31</v>
      </c>
      <c r="L283" t="s">
        <v>33</v>
      </c>
      <c r="M283" t="s">
        <v>34</v>
      </c>
      <c r="N283" s="7" t="s">
        <v>21</v>
      </c>
      <c r="O283" s="1">
        <f>TBL_Employees[[#This Row],[Annual Salary]]+TBL_Employees[[#This Row],[Bonus %]]*TBL_Employees[[#This Row],[Annual Salary]]</f>
        <v>307154.39</v>
      </c>
      <c r="P283" t="str">
        <f>IF(AND(TBL_Employees[[#This Row],[Department]]="IT",TBL_Employees[[#This Row],[Gender]]="Female"),"Yes","No")</f>
        <v>No</v>
      </c>
      <c r="Q283" t="str">
        <f>IF(AND(TBL_Employees[[#This Row],[Gender]]="Female",TBL_Employees[[#This Row],[Ethnicity]]="Black"), "Female_Black", "Others")</f>
        <v>Others</v>
      </c>
    </row>
    <row r="284" spans="1:17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7">
        <v>44022</v>
      </c>
      <c r="J284" s="1">
        <v>88272</v>
      </c>
      <c r="K284" s="2">
        <v>0</v>
      </c>
      <c r="L284" t="s">
        <v>52</v>
      </c>
      <c r="M284" t="s">
        <v>53</v>
      </c>
      <c r="N284" s="7" t="s">
        <v>21</v>
      </c>
      <c r="O284" s="1">
        <f>TBL_Employees[[#This Row],[Annual Salary]]+TBL_Employees[[#This Row],[Bonus %]]*TBL_Employees[[#This Row],[Annual Salary]]</f>
        <v>88272</v>
      </c>
      <c r="P284" t="str">
        <f>IF(AND(TBL_Employees[[#This Row],[Department]]="IT",TBL_Employees[[#This Row],[Gender]]="Female"),"Yes","No")</f>
        <v>No</v>
      </c>
      <c r="Q284" t="str">
        <f>IF(AND(TBL_Employees[[#This Row],[Gender]]="Female",TBL_Employees[[#This Row],[Ethnicity]]="Black"), "Female_Black", "Others")</f>
        <v>Others</v>
      </c>
    </row>
    <row r="285" spans="1:17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7">
        <v>42992</v>
      </c>
      <c r="J285" s="1">
        <v>74449</v>
      </c>
      <c r="K285" s="2">
        <v>0</v>
      </c>
      <c r="L285" t="s">
        <v>33</v>
      </c>
      <c r="M285" t="s">
        <v>60</v>
      </c>
      <c r="N285" s="7" t="s">
        <v>21</v>
      </c>
      <c r="O285" s="1">
        <f>TBL_Employees[[#This Row],[Annual Salary]]+TBL_Employees[[#This Row],[Bonus %]]*TBL_Employees[[#This Row],[Annual Salary]]</f>
        <v>74449</v>
      </c>
      <c r="P285" t="str">
        <f>IF(AND(TBL_Employees[[#This Row],[Department]]="IT",TBL_Employees[[#This Row],[Gender]]="Female"),"Yes","No")</f>
        <v>No</v>
      </c>
      <c r="Q285" t="str">
        <f>IF(AND(TBL_Employees[[#This Row],[Gender]]="Female",TBL_Employees[[#This Row],[Ethnicity]]="Black"), "Female_Black", "Others")</f>
        <v>Others</v>
      </c>
    </row>
    <row r="286" spans="1:17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7">
        <v>41071</v>
      </c>
      <c r="J286" s="1">
        <v>222941</v>
      </c>
      <c r="K286" s="2">
        <v>0.39</v>
      </c>
      <c r="L286" t="s">
        <v>33</v>
      </c>
      <c r="M286" t="s">
        <v>60</v>
      </c>
      <c r="N286" s="7" t="s">
        <v>21</v>
      </c>
      <c r="O286" s="1">
        <f>TBL_Employees[[#This Row],[Annual Salary]]+TBL_Employees[[#This Row],[Bonus %]]*TBL_Employees[[#This Row],[Annual Salary]]</f>
        <v>309887.99</v>
      </c>
      <c r="P286" t="str">
        <f>IF(AND(TBL_Employees[[#This Row],[Department]]="IT",TBL_Employees[[#This Row],[Gender]]="Female"),"Yes","No")</f>
        <v>No</v>
      </c>
      <c r="Q286" t="str">
        <f>IF(AND(TBL_Employees[[#This Row],[Gender]]="Female",TBL_Employees[[#This Row],[Ethnicity]]="Black"), "Female_Black", "Others")</f>
        <v>Others</v>
      </c>
    </row>
    <row r="287" spans="1:17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7">
        <v>41543</v>
      </c>
      <c r="J287" s="1">
        <v>50341</v>
      </c>
      <c r="K287" s="2">
        <v>0</v>
      </c>
      <c r="L287" t="s">
        <v>33</v>
      </c>
      <c r="M287" t="s">
        <v>60</v>
      </c>
      <c r="N287" s="7" t="s">
        <v>21</v>
      </c>
      <c r="O287" s="1">
        <f>TBL_Employees[[#This Row],[Annual Salary]]+TBL_Employees[[#This Row],[Bonus %]]*TBL_Employees[[#This Row],[Annual Salary]]</f>
        <v>50341</v>
      </c>
      <c r="P287" t="str">
        <f>IF(AND(TBL_Employees[[#This Row],[Department]]="IT",TBL_Employees[[#This Row],[Gender]]="Female"),"Yes","No")</f>
        <v>No</v>
      </c>
      <c r="Q287" t="str">
        <f>IF(AND(TBL_Employees[[#This Row],[Gender]]="Female",TBL_Employees[[#This Row],[Ethnicity]]="Black"), "Female_Black", "Others")</f>
        <v>Others</v>
      </c>
    </row>
    <row r="288" spans="1:17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7">
        <v>44297</v>
      </c>
      <c r="J288" s="1">
        <v>72235</v>
      </c>
      <c r="K288" s="2">
        <v>0</v>
      </c>
      <c r="L288" t="s">
        <v>52</v>
      </c>
      <c r="M288" t="s">
        <v>81</v>
      </c>
      <c r="N288" s="7" t="s">
        <v>21</v>
      </c>
      <c r="O288" s="1">
        <f>TBL_Employees[[#This Row],[Annual Salary]]+TBL_Employees[[#This Row],[Bonus %]]*TBL_Employees[[#This Row],[Annual Salary]]</f>
        <v>72235</v>
      </c>
      <c r="P288" t="str">
        <f>IF(AND(TBL_Employees[[#This Row],[Department]]="IT",TBL_Employees[[#This Row],[Gender]]="Female"),"Yes","No")</f>
        <v>No</v>
      </c>
      <c r="Q288" t="str">
        <f>IF(AND(TBL_Employees[[#This Row],[Gender]]="Female",TBL_Employees[[#This Row],[Ethnicity]]="Black"), "Female_Black", "Others")</f>
        <v>Others</v>
      </c>
    </row>
    <row r="289" spans="1:17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7">
        <v>42533</v>
      </c>
      <c r="J289" s="1">
        <v>70165</v>
      </c>
      <c r="K289" s="2">
        <v>0</v>
      </c>
      <c r="L289" t="s">
        <v>19</v>
      </c>
      <c r="M289" t="s">
        <v>29</v>
      </c>
      <c r="N289" s="7" t="s">
        <v>21</v>
      </c>
      <c r="O289" s="1">
        <f>TBL_Employees[[#This Row],[Annual Salary]]+TBL_Employees[[#This Row],[Bonus %]]*TBL_Employees[[#This Row],[Annual Salary]]</f>
        <v>70165</v>
      </c>
      <c r="P289" t="str">
        <f>IF(AND(TBL_Employees[[#This Row],[Department]]="IT",TBL_Employees[[#This Row],[Gender]]="Female"),"Yes","No")</f>
        <v>No</v>
      </c>
      <c r="Q289" t="str">
        <f>IF(AND(TBL_Employees[[#This Row],[Gender]]="Female",TBL_Employees[[#This Row],[Ethnicity]]="Black"), "Female_Black", "Others")</f>
        <v>Others</v>
      </c>
    </row>
    <row r="290" spans="1:17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7">
        <v>44030</v>
      </c>
      <c r="J290" s="1">
        <v>148485</v>
      </c>
      <c r="K290" s="2">
        <v>0.15</v>
      </c>
      <c r="L290" t="s">
        <v>19</v>
      </c>
      <c r="M290" t="s">
        <v>45</v>
      </c>
      <c r="N290" s="7" t="s">
        <v>21</v>
      </c>
      <c r="O290" s="1">
        <f>TBL_Employees[[#This Row],[Annual Salary]]+TBL_Employees[[#This Row],[Bonus %]]*TBL_Employees[[#This Row],[Annual Salary]]</f>
        <v>170757.75</v>
      </c>
      <c r="P290" t="str">
        <f>IF(AND(TBL_Employees[[#This Row],[Department]]="IT",TBL_Employees[[#This Row],[Gender]]="Female"),"Yes","No")</f>
        <v>No</v>
      </c>
      <c r="Q290" t="str">
        <f>IF(AND(TBL_Employees[[#This Row],[Gender]]="Female",TBL_Employees[[#This Row],[Ethnicity]]="Black"), "Female_Black", "Others")</f>
        <v>Others</v>
      </c>
    </row>
    <row r="291" spans="1:17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7">
        <v>38521</v>
      </c>
      <c r="J291" s="1">
        <v>86089</v>
      </c>
      <c r="K291" s="2">
        <v>0</v>
      </c>
      <c r="L291" t="s">
        <v>19</v>
      </c>
      <c r="M291" t="s">
        <v>20</v>
      </c>
      <c r="N291" s="7" t="s">
        <v>21</v>
      </c>
      <c r="O291" s="1">
        <f>TBL_Employees[[#This Row],[Annual Salary]]+TBL_Employees[[#This Row],[Bonus %]]*TBL_Employees[[#This Row],[Annual Salary]]</f>
        <v>86089</v>
      </c>
      <c r="P291" t="str">
        <f>IF(AND(TBL_Employees[[#This Row],[Department]]="IT",TBL_Employees[[#This Row],[Gender]]="Female"),"Yes","No")</f>
        <v>Yes</v>
      </c>
      <c r="Q291" t="str">
        <f>IF(AND(TBL_Employees[[#This Row],[Gender]]="Female",TBL_Employees[[#This Row],[Ethnicity]]="Black"), "Female_Black", "Others")</f>
        <v>Others</v>
      </c>
    </row>
    <row r="292" spans="1:17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7">
        <v>39382</v>
      </c>
      <c r="J292" s="1">
        <v>106313</v>
      </c>
      <c r="K292" s="2">
        <v>0.15</v>
      </c>
      <c r="L292" t="s">
        <v>19</v>
      </c>
      <c r="M292" t="s">
        <v>20</v>
      </c>
      <c r="N292" s="7" t="s">
        <v>21</v>
      </c>
      <c r="O292" s="1">
        <f>TBL_Employees[[#This Row],[Annual Salary]]+TBL_Employees[[#This Row],[Bonus %]]*TBL_Employees[[#This Row],[Annual Salary]]</f>
        <v>122259.95</v>
      </c>
      <c r="P292" t="str">
        <f>IF(AND(TBL_Employees[[#This Row],[Department]]="IT",TBL_Employees[[#This Row],[Gender]]="Female"),"Yes","No")</f>
        <v>No</v>
      </c>
      <c r="Q292" t="str">
        <f>IF(AND(TBL_Employees[[#This Row],[Gender]]="Female",TBL_Employees[[#This Row],[Ethnicity]]="Black"), "Female_Black", "Others")</f>
        <v>Others</v>
      </c>
    </row>
    <row r="293" spans="1:17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7">
        <v>44251</v>
      </c>
      <c r="J293" s="1">
        <v>46833</v>
      </c>
      <c r="K293" s="2">
        <v>0</v>
      </c>
      <c r="L293" t="s">
        <v>33</v>
      </c>
      <c r="M293" t="s">
        <v>34</v>
      </c>
      <c r="N293" s="7">
        <v>44510</v>
      </c>
      <c r="O293" s="1">
        <f>TBL_Employees[[#This Row],[Annual Salary]]+TBL_Employees[[#This Row],[Bonus %]]*TBL_Employees[[#This Row],[Annual Salary]]</f>
        <v>46833</v>
      </c>
      <c r="P293" t="str">
        <f>IF(AND(TBL_Employees[[#This Row],[Department]]="IT",TBL_Employees[[#This Row],[Gender]]="Female"),"Yes","No")</f>
        <v>No</v>
      </c>
      <c r="Q293" t="str">
        <f>IF(AND(TBL_Employees[[#This Row],[Gender]]="Female",TBL_Employees[[#This Row],[Ethnicity]]="Black"), "Female_Black", "Others")</f>
        <v>Others</v>
      </c>
    </row>
    <row r="294" spans="1:17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7">
        <v>36826</v>
      </c>
      <c r="J294" s="1">
        <v>155320</v>
      </c>
      <c r="K294" s="2">
        <v>0.17</v>
      </c>
      <c r="L294" t="s">
        <v>33</v>
      </c>
      <c r="M294" t="s">
        <v>80</v>
      </c>
      <c r="N294" s="7" t="s">
        <v>21</v>
      </c>
      <c r="O294" s="1">
        <f>TBL_Employees[[#This Row],[Annual Salary]]+TBL_Employees[[#This Row],[Bonus %]]*TBL_Employees[[#This Row],[Annual Salary]]</f>
        <v>181724.4</v>
      </c>
      <c r="P294" t="str">
        <f>IF(AND(TBL_Employees[[#This Row],[Department]]="IT",TBL_Employees[[#This Row],[Gender]]="Female"),"Yes","No")</f>
        <v>No</v>
      </c>
      <c r="Q294" t="str">
        <f>IF(AND(TBL_Employees[[#This Row],[Gender]]="Female",TBL_Employees[[#This Row],[Ethnicity]]="Black"), "Female_Black", "Others")</f>
        <v>Others</v>
      </c>
    </row>
    <row r="295" spans="1:17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7">
        <v>42384</v>
      </c>
      <c r="J295" s="1">
        <v>89984</v>
      </c>
      <c r="K295" s="2">
        <v>0</v>
      </c>
      <c r="L295" t="s">
        <v>33</v>
      </c>
      <c r="M295" t="s">
        <v>34</v>
      </c>
      <c r="N295" s="7" t="s">
        <v>21</v>
      </c>
      <c r="O295" s="1">
        <f>TBL_Employees[[#This Row],[Annual Salary]]+TBL_Employees[[#This Row],[Bonus %]]*TBL_Employees[[#This Row],[Annual Salary]]</f>
        <v>89984</v>
      </c>
      <c r="P295" t="str">
        <f>IF(AND(TBL_Employees[[#This Row],[Department]]="IT",TBL_Employees[[#This Row],[Gender]]="Female"),"Yes","No")</f>
        <v>No</v>
      </c>
      <c r="Q295" t="str">
        <f>IF(AND(TBL_Employees[[#This Row],[Gender]]="Female",TBL_Employees[[#This Row],[Ethnicity]]="Black"), "Female_Black", "Others")</f>
        <v>Others</v>
      </c>
    </row>
    <row r="296" spans="1:17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7">
        <v>38792</v>
      </c>
      <c r="J296" s="1">
        <v>83756</v>
      </c>
      <c r="K296" s="2">
        <v>0.14000000000000001</v>
      </c>
      <c r="L296" t="s">
        <v>33</v>
      </c>
      <c r="M296" t="s">
        <v>74</v>
      </c>
      <c r="N296" s="7" t="s">
        <v>21</v>
      </c>
      <c r="O296" s="1">
        <f>TBL_Employees[[#This Row],[Annual Salary]]+TBL_Employees[[#This Row],[Bonus %]]*TBL_Employees[[#This Row],[Annual Salary]]</f>
        <v>95481.84</v>
      </c>
      <c r="P296" t="str">
        <f>IF(AND(TBL_Employees[[#This Row],[Department]]="IT",TBL_Employees[[#This Row],[Gender]]="Female"),"Yes","No")</f>
        <v>No</v>
      </c>
      <c r="Q296" t="str">
        <f>IF(AND(TBL_Employees[[#This Row],[Gender]]="Female",TBL_Employees[[#This Row],[Ethnicity]]="Black"), "Female_Black", "Others")</f>
        <v>Others</v>
      </c>
    </row>
    <row r="297" spans="1:17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7">
        <v>42667</v>
      </c>
      <c r="J297" s="1">
        <v>176324</v>
      </c>
      <c r="K297" s="2">
        <v>0.23</v>
      </c>
      <c r="L297" t="s">
        <v>33</v>
      </c>
      <c r="M297" t="s">
        <v>74</v>
      </c>
      <c r="N297" s="7" t="s">
        <v>21</v>
      </c>
      <c r="O297" s="1">
        <f>TBL_Employees[[#This Row],[Annual Salary]]+TBL_Employees[[#This Row],[Bonus %]]*TBL_Employees[[#This Row],[Annual Salary]]</f>
        <v>216878.52000000002</v>
      </c>
      <c r="P297" t="str">
        <f>IF(AND(TBL_Employees[[#This Row],[Department]]="IT",TBL_Employees[[#This Row],[Gender]]="Female"),"Yes","No")</f>
        <v>No</v>
      </c>
      <c r="Q297" t="str">
        <f>IF(AND(TBL_Employees[[#This Row],[Gender]]="Female",TBL_Employees[[#This Row],[Ethnicity]]="Black"), "Female_Black", "Others")</f>
        <v>Others</v>
      </c>
    </row>
    <row r="298" spans="1:17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7">
        <v>44482</v>
      </c>
      <c r="J298" s="1">
        <v>74077</v>
      </c>
      <c r="K298" s="2">
        <v>0</v>
      </c>
      <c r="L298" t="s">
        <v>19</v>
      </c>
      <c r="M298" t="s">
        <v>63</v>
      </c>
      <c r="N298" s="7" t="s">
        <v>21</v>
      </c>
      <c r="O298" s="1">
        <f>TBL_Employees[[#This Row],[Annual Salary]]+TBL_Employees[[#This Row],[Bonus %]]*TBL_Employees[[#This Row],[Annual Salary]]</f>
        <v>74077</v>
      </c>
      <c r="P298" t="str">
        <f>IF(AND(TBL_Employees[[#This Row],[Department]]="IT",TBL_Employees[[#This Row],[Gender]]="Female"),"Yes","No")</f>
        <v>No</v>
      </c>
      <c r="Q298" t="str">
        <f>IF(AND(TBL_Employees[[#This Row],[Gender]]="Female",TBL_Employees[[#This Row],[Ethnicity]]="Black"), "Female_Black", "Others")</f>
        <v>Others</v>
      </c>
    </row>
    <row r="299" spans="1:17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7">
        <v>44214</v>
      </c>
      <c r="J299" s="1">
        <v>104162</v>
      </c>
      <c r="K299" s="2">
        <v>7.0000000000000007E-2</v>
      </c>
      <c r="L299" t="s">
        <v>19</v>
      </c>
      <c r="M299" t="s">
        <v>25</v>
      </c>
      <c r="N299" s="7" t="s">
        <v>21</v>
      </c>
      <c r="O299" s="1">
        <f>TBL_Employees[[#This Row],[Annual Salary]]+TBL_Employees[[#This Row],[Bonus %]]*TBL_Employees[[#This Row],[Annual Salary]]</f>
        <v>111453.34</v>
      </c>
      <c r="P299" t="str">
        <f>IF(AND(TBL_Employees[[#This Row],[Department]]="IT",TBL_Employees[[#This Row],[Gender]]="Female"),"Yes","No")</f>
        <v>No</v>
      </c>
      <c r="Q299" t="str">
        <f>IF(AND(TBL_Employees[[#This Row],[Gender]]="Female",TBL_Employees[[#This Row],[Ethnicity]]="Black"), "Female_Black", "Others")</f>
        <v>Others</v>
      </c>
    </row>
    <row r="300" spans="1:17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7">
        <v>40418</v>
      </c>
      <c r="J300" s="1">
        <v>82162</v>
      </c>
      <c r="K300" s="2">
        <v>0</v>
      </c>
      <c r="L300" t="s">
        <v>33</v>
      </c>
      <c r="M300" t="s">
        <v>60</v>
      </c>
      <c r="N300" s="7">
        <v>44107</v>
      </c>
      <c r="O300" s="1">
        <f>TBL_Employees[[#This Row],[Annual Salary]]+TBL_Employees[[#This Row],[Bonus %]]*TBL_Employees[[#This Row],[Annual Salary]]</f>
        <v>82162</v>
      </c>
      <c r="P300" t="str">
        <f>IF(AND(TBL_Employees[[#This Row],[Department]]="IT",TBL_Employees[[#This Row],[Gender]]="Female"),"Yes","No")</f>
        <v>Yes</v>
      </c>
      <c r="Q300" t="str">
        <f>IF(AND(TBL_Employees[[#This Row],[Gender]]="Female",TBL_Employees[[#This Row],[Ethnicity]]="Black"), "Female_Black", "Others")</f>
        <v>Others</v>
      </c>
    </row>
    <row r="301" spans="1:17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7">
        <v>42195</v>
      </c>
      <c r="J301" s="1">
        <v>63880</v>
      </c>
      <c r="K301" s="2">
        <v>0</v>
      </c>
      <c r="L301" t="s">
        <v>33</v>
      </c>
      <c r="M301" t="s">
        <v>80</v>
      </c>
      <c r="N301" s="7" t="s">
        <v>21</v>
      </c>
      <c r="O301" s="1">
        <f>TBL_Employees[[#This Row],[Annual Salary]]+TBL_Employees[[#This Row],[Bonus %]]*TBL_Employees[[#This Row],[Annual Salary]]</f>
        <v>63880</v>
      </c>
      <c r="P301" t="str">
        <f>IF(AND(TBL_Employees[[#This Row],[Department]]="IT",TBL_Employees[[#This Row],[Gender]]="Female"),"Yes","No")</f>
        <v>No</v>
      </c>
      <c r="Q301" t="str">
        <f>IF(AND(TBL_Employees[[#This Row],[Gender]]="Female",TBL_Employees[[#This Row],[Ethnicity]]="Black"), "Female_Black", "Others")</f>
        <v>Others</v>
      </c>
    </row>
    <row r="302" spans="1:17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7">
        <v>41525</v>
      </c>
      <c r="J302" s="1">
        <v>73248</v>
      </c>
      <c r="K302" s="2">
        <v>0</v>
      </c>
      <c r="L302" t="s">
        <v>19</v>
      </c>
      <c r="M302" t="s">
        <v>29</v>
      </c>
      <c r="N302" s="7" t="s">
        <v>21</v>
      </c>
      <c r="O302" s="1">
        <f>TBL_Employees[[#This Row],[Annual Salary]]+TBL_Employees[[#This Row],[Bonus %]]*TBL_Employees[[#This Row],[Annual Salary]]</f>
        <v>73248</v>
      </c>
      <c r="P302" t="str">
        <f>IF(AND(TBL_Employees[[#This Row],[Department]]="IT",TBL_Employees[[#This Row],[Gender]]="Female"),"Yes","No")</f>
        <v>No</v>
      </c>
      <c r="Q302" t="str">
        <f>IF(AND(TBL_Employees[[#This Row],[Gender]]="Female",TBL_Employees[[#This Row],[Ethnicity]]="Black"), "Female_Black", "Others")</f>
        <v>Others</v>
      </c>
    </row>
    <row r="303" spans="1:17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7">
        <v>44113</v>
      </c>
      <c r="J303" s="1">
        <v>91853</v>
      </c>
      <c r="K303" s="2">
        <v>0</v>
      </c>
      <c r="L303" t="s">
        <v>19</v>
      </c>
      <c r="M303" t="s">
        <v>20</v>
      </c>
      <c r="N303" s="7" t="s">
        <v>21</v>
      </c>
      <c r="O303" s="1">
        <f>TBL_Employees[[#This Row],[Annual Salary]]+TBL_Employees[[#This Row],[Bonus %]]*TBL_Employees[[#This Row],[Annual Salary]]</f>
        <v>91853</v>
      </c>
      <c r="P303" t="str">
        <f>IF(AND(TBL_Employees[[#This Row],[Department]]="IT",TBL_Employees[[#This Row],[Gender]]="Female"),"Yes","No")</f>
        <v>No</v>
      </c>
      <c r="Q303" t="str">
        <f>IF(AND(TBL_Employees[[#This Row],[Gender]]="Female",TBL_Employees[[#This Row],[Ethnicity]]="Black"), "Female_Black", "Others")</f>
        <v>Others</v>
      </c>
    </row>
    <row r="304" spans="1:17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7">
        <v>43844</v>
      </c>
      <c r="J304" s="1">
        <v>168014</v>
      </c>
      <c r="K304" s="2">
        <v>0.27</v>
      </c>
      <c r="L304" t="s">
        <v>19</v>
      </c>
      <c r="M304" t="s">
        <v>20</v>
      </c>
      <c r="N304" s="7">
        <v>44404</v>
      </c>
      <c r="O304" s="1">
        <f>TBL_Employees[[#This Row],[Annual Salary]]+TBL_Employees[[#This Row],[Bonus %]]*TBL_Employees[[#This Row],[Annual Salary]]</f>
        <v>213377.78</v>
      </c>
      <c r="P304" t="str">
        <f>IF(AND(TBL_Employees[[#This Row],[Department]]="IT",TBL_Employees[[#This Row],[Gender]]="Female"),"Yes","No")</f>
        <v>No</v>
      </c>
      <c r="Q304" t="str">
        <f>IF(AND(TBL_Employees[[#This Row],[Gender]]="Female",TBL_Employees[[#This Row],[Ethnicity]]="Black"), "Female_Black", "Others")</f>
        <v>Others</v>
      </c>
    </row>
    <row r="305" spans="1:17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7">
        <v>42995</v>
      </c>
      <c r="J305" s="1">
        <v>70770</v>
      </c>
      <c r="K305" s="2">
        <v>0</v>
      </c>
      <c r="L305" t="s">
        <v>19</v>
      </c>
      <c r="M305" t="s">
        <v>45</v>
      </c>
      <c r="N305" s="7" t="s">
        <v>21</v>
      </c>
      <c r="O305" s="1">
        <f>TBL_Employees[[#This Row],[Annual Salary]]+TBL_Employees[[#This Row],[Bonus %]]*TBL_Employees[[#This Row],[Annual Salary]]</f>
        <v>70770</v>
      </c>
      <c r="P305" t="str">
        <f>IF(AND(TBL_Employees[[#This Row],[Department]]="IT",TBL_Employees[[#This Row],[Gender]]="Female"),"Yes","No")</f>
        <v>No</v>
      </c>
      <c r="Q305" t="str">
        <f>IF(AND(TBL_Employees[[#This Row],[Gender]]="Female",TBL_Employees[[#This Row],[Ethnicity]]="Black"), "Female_Black", "Others")</f>
        <v>Others</v>
      </c>
    </row>
    <row r="306" spans="1:17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7">
        <v>38271</v>
      </c>
      <c r="J306" s="1">
        <v>50825</v>
      </c>
      <c r="K306" s="2">
        <v>0</v>
      </c>
      <c r="L306" t="s">
        <v>19</v>
      </c>
      <c r="M306" t="s">
        <v>63</v>
      </c>
      <c r="N306" s="7" t="s">
        <v>21</v>
      </c>
      <c r="O306" s="1">
        <f>TBL_Employees[[#This Row],[Annual Salary]]+TBL_Employees[[#This Row],[Bonus %]]*TBL_Employees[[#This Row],[Annual Salary]]</f>
        <v>50825</v>
      </c>
      <c r="P306" t="str">
        <f>IF(AND(TBL_Employees[[#This Row],[Department]]="IT",TBL_Employees[[#This Row],[Gender]]="Female"),"Yes","No")</f>
        <v>No</v>
      </c>
      <c r="Q306" t="str">
        <f>IF(AND(TBL_Employees[[#This Row],[Gender]]="Female",TBL_Employees[[#This Row],[Ethnicity]]="Black"), "Female_Black", "Others")</f>
        <v>Others</v>
      </c>
    </row>
    <row r="307" spans="1:17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7">
        <v>42266</v>
      </c>
      <c r="J307" s="1">
        <v>145846</v>
      </c>
      <c r="K307" s="2">
        <v>0.15</v>
      </c>
      <c r="L307" t="s">
        <v>52</v>
      </c>
      <c r="M307" t="s">
        <v>81</v>
      </c>
      <c r="N307" s="7" t="s">
        <v>21</v>
      </c>
      <c r="O307" s="1">
        <f>TBL_Employees[[#This Row],[Annual Salary]]+TBL_Employees[[#This Row],[Bonus %]]*TBL_Employees[[#This Row],[Annual Salary]]</f>
        <v>167722.9</v>
      </c>
      <c r="P307" t="str">
        <f>IF(AND(TBL_Employees[[#This Row],[Department]]="IT",TBL_Employees[[#This Row],[Gender]]="Female"),"Yes","No")</f>
        <v>No</v>
      </c>
      <c r="Q307" t="str">
        <f>IF(AND(TBL_Employees[[#This Row],[Gender]]="Female",TBL_Employees[[#This Row],[Ethnicity]]="Black"), "Female_Black", "Others")</f>
        <v>Others</v>
      </c>
    </row>
    <row r="308" spans="1:17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7">
        <v>37962</v>
      </c>
      <c r="J308" s="1">
        <v>125807</v>
      </c>
      <c r="K308" s="2">
        <v>0.15</v>
      </c>
      <c r="L308" t="s">
        <v>19</v>
      </c>
      <c r="M308" t="s">
        <v>20</v>
      </c>
      <c r="N308" s="7" t="s">
        <v>21</v>
      </c>
      <c r="O308" s="1">
        <f>TBL_Employees[[#This Row],[Annual Salary]]+TBL_Employees[[#This Row],[Bonus %]]*TBL_Employees[[#This Row],[Annual Salary]]</f>
        <v>144678.04999999999</v>
      </c>
      <c r="P308" t="str">
        <f>IF(AND(TBL_Employees[[#This Row],[Department]]="IT",TBL_Employees[[#This Row],[Gender]]="Female"),"Yes","No")</f>
        <v>No</v>
      </c>
      <c r="Q308" t="str">
        <f>IF(AND(TBL_Employees[[#This Row],[Gender]]="Female",TBL_Employees[[#This Row],[Ethnicity]]="Black"), "Female_Black", "Others")</f>
        <v>Others</v>
      </c>
    </row>
    <row r="309" spans="1:17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7">
        <v>44405</v>
      </c>
      <c r="J309" s="1">
        <v>46845</v>
      </c>
      <c r="K309" s="2">
        <v>0</v>
      </c>
      <c r="L309" t="s">
        <v>19</v>
      </c>
      <c r="M309" t="s">
        <v>45</v>
      </c>
      <c r="N309" s="7" t="s">
        <v>21</v>
      </c>
      <c r="O309" s="1">
        <f>TBL_Employees[[#This Row],[Annual Salary]]+TBL_Employees[[#This Row],[Bonus %]]*TBL_Employees[[#This Row],[Annual Salary]]</f>
        <v>46845</v>
      </c>
      <c r="P309" t="str">
        <f>IF(AND(TBL_Employees[[#This Row],[Department]]="IT",TBL_Employees[[#This Row],[Gender]]="Female"),"Yes","No")</f>
        <v>No</v>
      </c>
      <c r="Q309" t="str">
        <f>IF(AND(TBL_Employees[[#This Row],[Gender]]="Female",TBL_Employees[[#This Row],[Ethnicity]]="Black"), "Female_Black", "Others")</f>
        <v>Others</v>
      </c>
    </row>
    <row r="310" spans="1:17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7">
        <v>39689</v>
      </c>
      <c r="J310" s="1">
        <v>157969</v>
      </c>
      <c r="K310" s="2">
        <v>0.1</v>
      </c>
      <c r="L310" t="s">
        <v>33</v>
      </c>
      <c r="M310" t="s">
        <v>80</v>
      </c>
      <c r="N310" s="7" t="s">
        <v>21</v>
      </c>
      <c r="O310" s="1">
        <f>TBL_Employees[[#This Row],[Annual Salary]]+TBL_Employees[[#This Row],[Bonus %]]*TBL_Employees[[#This Row],[Annual Salary]]</f>
        <v>173765.9</v>
      </c>
      <c r="P310" t="str">
        <f>IF(AND(TBL_Employees[[#This Row],[Department]]="IT",TBL_Employees[[#This Row],[Gender]]="Female"),"Yes","No")</f>
        <v>No</v>
      </c>
      <c r="Q310" t="str">
        <f>IF(AND(TBL_Employees[[#This Row],[Gender]]="Female",TBL_Employees[[#This Row],[Ethnicity]]="Black"), "Female_Black", "Others")</f>
        <v>Others</v>
      </c>
    </row>
    <row r="311" spans="1:17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7">
        <v>40522</v>
      </c>
      <c r="J311" s="1">
        <v>97807</v>
      </c>
      <c r="K311" s="2">
        <v>0</v>
      </c>
      <c r="L311" t="s">
        <v>19</v>
      </c>
      <c r="M311" t="s">
        <v>20</v>
      </c>
      <c r="N311" s="7" t="s">
        <v>21</v>
      </c>
      <c r="O311" s="1">
        <f>TBL_Employees[[#This Row],[Annual Salary]]+TBL_Employees[[#This Row],[Bonus %]]*TBL_Employees[[#This Row],[Annual Salary]]</f>
        <v>97807</v>
      </c>
      <c r="P311" t="str">
        <f>IF(AND(TBL_Employees[[#This Row],[Department]]="IT",TBL_Employees[[#This Row],[Gender]]="Female"),"Yes","No")</f>
        <v>Yes</v>
      </c>
      <c r="Q311" t="str">
        <f>IF(AND(TBL_Employees[[#This Row],[Gender]]="Female",TBL_Employees[[#This Row],[Ethnicity]]="Black"), "Female_Black", "Others")</f>
        <v>Others</v>
      </c>
    </row>
    <row r="312" spans="1:17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7">
        <v>42347</v>
      </c>
      <c r="J312" s="1">
        <v>73854</v>
      </c>
      <c r="K312" s="2">
        <v>0</v>
      </c>
      <c r="L312" t="s">
        <v>19</v>
      </c>
      <c r="M312" t="s">
        <v>63</v>
      </c>
      <c r="N312" s="7" t="s">
        <v>21</v>
      </c>
      <c r="O312" s="1">
        <f>TBL_Employees[[#This Row],[Annual Salary]]+TBL_Employees[[#This Row],[Bonus %]]*TBL_Employees[[#This Row],[Annual Salary]]</f>
        <v>73854</v>
      </c>
      <c r="P312" t="str">
        <f>IF(AND(TBL_Employees[[#This Row],[Department]]="IT",TBL_Employees[[#This Row],[Gender]]="Female"),"Yes","No")</f>
        <v>No</v>
      </c>
      <c r="Q312" t="str">
        <f>IF(AND(TBL_Employees[[#This Row],[Gender]]="Female",TBL_Employees[[#This Row],[Ethnicity]]="Black"), "Female_Black", "Others")</f>
        <v>Others</v>
      </c>
    </row>
    <row r="313" spans="1:17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7">
        <v>39063</v>
      </c>
      <c r="J313" s="1">
        <v>149537</v>
      </c>
      <c r="K313" s="2">
        <v>0.14000000000000001</v>
      </c>
      <c r="L313" t="s">
        <v>19</v>
      </c>
      <c r="M313" t="s">
        <v>63</v>
      </c>
      <c r="N313" s="7" t="s">
        <v>21</v>
      </c>
      <c r="O313" s="1">
        <f>TBL_Employees[[#This Row],[Annual Salary]]+TBL_Employees[[#This Row],[Bonus %]]*TBL_Employees[[#This Row],[Annual Salary]]</f>
        <v>170472.18</v>
      </c>
      <c r="P313" t="str">
        <f>IF(AND(TBL_Employees[[#This Row],[Department]]="IT",TBL_Employees[[#This Row],[Gender]]="Female"),"Yes","No")</f>
        <v>No</v>
      </c>
      <c r="Q313" t="str">
        <f>IF(AND(TBL_Employees[[#This Row],[Gender]]="Female",TBL_Employees[[#This Row],[Ethnicity]]="Black"), "Female_Black", "Others")</f>
        <v>Others</v>
      </c>
    </row>
    <row r="314" spans="1:17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7">
        <v>41379</v>
      </c>
      <c r="J314" s="1">
        <v>128303</v>
      </c>
      <c r="K314" s="2">
        <v>0.15</v>
      </c>
      <c r="L314" t="s">
        <v>19</v>
      </c>
      <c r="M314" t="s">
        <v>39</v>
      </c>
      <c r="N314" s="7" t="s">
        <v>21</v>
      </c>
      <c r="O314" s="1">
        <f>TBL_Employees[[#This Row],[Annual Salary]]+TBL_Employees[[#This Row],[Bonus %]]*TBL_Employees[[#This Row],[Annual Salary]]</f>
        <v>147548.45000000001</v>
      </c>
      <c r="P314" t="str">
        <f>IF(AND(TBL_Employees[[#This Row],[Department]]="IT",TBL_Employees[[#This Row],[Gender]]="Female"),"Yes","No")</f>
        <v>No</v>
      </c>
      <c r="Q314" t="str">
        <f>IF(AND(TBL_Employees[[#This Row],[Gender]]="Female",TBL_Employees[[#This Row],[Ethnicity]]="Black"), "Female_Black", "Others")</f>
        <v>Others</v>
      </c>
    </row>
    <row r="315" spans="1:17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7">
        <v>38513</v>
      </c>
      <c r="J315" s="1">
        <v>67374</v>
      </c>
      <c r="K315" s="2">
        <v>0</v>
      </c>
      <c r="L315" t="s">
        <v>19</v>
      </c>
      <c r="M315" t="s">
        <v>25</v>
      </c>
      <c r="N315" s="7" t="s">
        <v>21</v>
      </c>
      <c r="O315" s="1">
        <f>TBL_Employees[[#This Row],[Annual Salary]]+TBL_Employees[[#This Row],[Bonus %]]*TBL_Employees[[#This Row],[Annual Salary]]</f>
        <v>67374</v>
      </c>
      <c r="P315" t="str">
        <f>IF(AND(TBL_Employees[[#This Row],[Department]]="IT",TBL_Employees[[#This Row],[Gender]]="Female"),"Yes","No")</f>
        <v>No</v>
      </c>
      <c r="Q315" t="str">
        <f>IF(AND(TBL_Employees[[#This Row],[Gender]]="Female",TBL_Employees[[#This Row],[Ethnicity]]="Black"), "Female_Black", "Others")</f>
        <v>Others</v>
      </c>
    </row>
    <row r="316" spans="1:17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7">
        <v>40810</v>
      </c>
      <c r="J316" s="1">
        <v>102167</v>
      </c>
      <c r="K316" s="2">
        <v>0.06</v>
      </c>
      <c r="L316" t="s">
        <v>52</v>
      </c>
      <c r="M316" t="s">
        <v>66</v>
      </c>
      <c r="N316" s="7" t="s">
        <v>21</v>
      </c>
      <c r="O316" s="1">
        <f>TBL_Employees[[#This Row],[Annual Salary]]+TBL_Employees[[#This Row],[Bonus %]]*TBL_Employees[[#This Row],[Annual Salary]]</f>
        <v>108297.02</v>
      </c>
      <c r="P316" t="str">
        <f>IF(AND(TBL_Employees[[#This Row],[Department]]="IT",TBL_Employees[[#This Row],[Gender]]="Female"),"Yes","No")</f>
        <v>No</v>
      </c>
      <c r="Q316" t="str">
        <f>IF(AND(TBL_Employees[[#This Row],[Gender]]="Female",TBL_Employees[[#This Row],[Ethnicity]]="Black"), "Female_Black", "Others")</f>
        <v>Others</v>
      </c>
    </row>
    <row r="317" spans="1:17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7">
        <v>39332</v>
      </c>
      <c r="J317" s="1">
        <v>151027</v>
      </c>
      <c r="K317" s="2">
        <v>0.1</v>
      </c>
      <c r="L317" t="s">
        <v>33</v>
      </c>
      <c r="M317" t="s">
        <v>74</v>
      </c>
      <c r="N317" s="7" t="s">
        <v>21</v>
      </c>
      <c r="O317" s="1">
        <f>TBL_Employees[[#This Row],[Annual Salary]]+TBL_Employees[[#This Row],[Bonus %]]*TBL_Employees[[#This Row],[Annual Salary]]</f>
        <v>166129.70000000001</v>
      </c>
      <c r="P317" t="str">
        <f>IF(AND(TBL_Employees[[#This Row],[Department]]="IT",TBL_Employees[[#This Row],[Gender]]="Female"),"Yes","No")</f>
        <v>No</v>
      </c>
      <c r="Q317" t="str">
        <f>IF(AND(TBL_Employees[[#This Row],[Gender]]="Female",TBL_Employees[[#This Row],[Ethnicity]]="Black"), "Female_Black", "Others")</f>
        <v>Others</v>
      </c>
    </row>
    <row r="318" spans="1:17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7">
        <v>43147</v>
      </c>
      <c r="J318" s="1">
        <v>120905</v>
      </c>
      <c r="K318" s="2">
        <v>0.05</v>
      </c>
      <c r="L318" t="s">
        <v>19</v>
      </c>
      <c r="M318" t="s">
        <v>63</v>
      </c>
      <c r="N318" s="7" t="s">
        <v>21</v>
      </c>
      <c r="O318" s="1">
        <f>TBL_Employees[[#This Row],[Annual Salary]]+TBL_Employees[[#This Row],[Bonus %]]*TBL_Employees[[#This Row],[Annual Salary]]</f>
        <v>126950.25</v>
      </c>
      <c r="P318" t="str">
        <f>IF(AND(TBL_Employees[[#This Row],[Department]]="IT",TBL_Employees[[#This Row],[Gender]]="Female"),"Yes","No")</f>
        <v>No</v>
      </c>
      <c r="Q318" t="str">
        <f>IF(AND(TBL_Employees[[#This Row],[Gender]]="Female",TBL_Employees[[#This Row],[Ethnicity]]="Black"), "Female_Black", "Others")</f>
        <v>Others</v>
      </c>
    </row>
    <row r="319" spans="1:17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7">
        <v>43253</v>
      </c>
      <c r="J319" s="1">
        <v>231567</v>
      </c>
      <c r="K319" s="2">
        <v>0.36</v>
      </c>
      <c r="L319" t="s">
        <v>19</v>
      </c>
      <c r="M319" t="s">
        <v>63</v>
      </c>
      <c r="N319" s="7" t="s">
        <v>21</v>
      </c>
      <c r="O319" s="1">
        <f>TBL_Employees[[#This Row],[Annual Salary]]+TBL_Employees[[#This Row],[Bonus %]]*TBL_Employees[[#This Row],[Annual Salary]]</f>
        <v>314931.12</v>
      </c>
      <c r="P319" t="str">
        <f>IF(AND(TBL_Employees[[#This Row],[Department]]="IT",TBL_Employees[[#This Row],[Gender]]="Female"),"Yes","No")</f>
        <v>No</v>
      </c>
      <c r="Q319" t="str">
        <f>IF(AND(TBL_Employees[[#This Row],[Gender]]="Female",TBL_Employees[[#This Row],[Ethnicity]]="Black"), "Female_Black", "Others")</f>
        <v>Others</v>
      </c>
    </row>
    <row r="320" spans="1:17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7">
        <v>42197</v>
      </c>
      <c r="J320" s="1">
        <v>215388</v>
      </c>
      <c r="K320" s="2">
        <v>0.33</v>
      </c>
      <c r="L320" t="s">
        <v>19</v>
      </c>
      <c r="M320" t="s">
        <v>45</v>
      </c>
      <c r="N320" s="7" t="s">
        <v>21</v>
      </c>
      <c r="O320" s="1">
        <f>TBL_Employees[[#This Row],[Annual Salary]]+TBL_Employees[[#This Row],[Bonus %]]*TBL_Employees[[#This Row],[Annual Salary]]</f>
        <v>286466.04000000004</v>
      </c>
      <c r="P320" t="str">
        <f>IF(AND(TBL_Employees[[#This Row],[Department]]="IT",TBL_Employees[[#This Row],[Gender]]="Female"),"Yes","No")</f>
        <v>No</v>
      </c>
      <c r="Q320" t="str">
        <f>IF(AND(TBL_Employees[[#This Row],[Gender]]="Female",TBL_Employees[[#This Row],[Ethnicity]]="Black"), "Female_Black", "Others")</f>
        <v>Others</v>
      </c>
    </row>
    <row r="321" spans="1:17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7">
        <v>42168</v>
      </c>
      <c r="J321" s="1">
        <v>127972</v>
      </c>
      <c r="K321" s="2">
        <v>0.11</v>
      </c>
      <c r="L321" t="s">
        <v>19</v>
      </c>
      <c r="M321" t="s">
        <v>63</v>
      </c>
      <c r="N321" s="7" t="s">
        <v>21</v>
      </c>
      <c r="O321" s="1">
        <f>TBL_Employees[[#This Row],[Annual Salary]]+TBL_Employees[[#This Row],[Bonus %]]*TBL_Employees[[#This Row],[Annual Salary]]</f>
        <v>142048.92000000001</v>
      </c>
      <c r="P321" t="str">
        <f>IF(AND(TBL_Employees[[#This Row],[Department]]="IT",TBL_Employees[[#This Row],[Gender]]="Female"),"Yes","No")</f>
        <v>No</v>
      </c>
      <c r="Q321" t="str">
        <f>IF(AND(TBL_Employees[[#This Row],[Gender]]="Female",TBL_Employees[[#This Row],[Ethnicity]]="Black"), "Female_Black", "Others")</f>
        <v>Others</v>
      </c>
    </row>
    <row r="322" spans="1:17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7">
        <v>34915</v>
      </c>
      <c r="J322" s="1">
        <v>80701</v>
      </c>
      <c r="K322" s="2">
        <v>0</v>
      </c>
      <c r="L322" t="s">
        <v>19</v>
      </c>
      <c r="M322" t="s">
        <v>20</v>
      </c>
      <c r="N322" s="7">
        <v>38456</v>
      </c>
      <c r="O322" s="1">
        <f>TBL_Employees[[#This Row],[Annual Salary]]+TBL_Employees[[#This Row],[Bonus %]]*TBL_Employees[[#This Row],[Annual Salary]]</f>
        <v>80701</v>
      </c>
      <c r="P322" t="str">
        <f>IF(AND(TBL_Employees[[#This Row],[Department]]="IT",TBL_Employees[[#This Row],[Gender]]="Female"),"Yes","No")</f>
        <v>No</v>
      </c>
      <c r="Q322" t="str">
        <f>IF(AND(TBL_Employees[[#This Row],[Gender]]="Female",TBL_Employees[[#This Row],[Ethnicity]]="Black"), "Female_Black", "Others")</f>
        <v>Others</v>
      </c>
    </row>
    <row r="323" spans="1:17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7">
        <v>43863</v>
      </c>
      <c r="J323" s="1">
        <v>115417</v>
      </c>
      <c r="K323" s="2">
        <v>0.06</v>
      </c>
      <c r="L323" t="s">
        <v>33</v>
      </c>
      <c r="M323" t="s">
        <v>74</v>
      </c>
      <c r="N323" s="7" t="s">
        <v>21</v>
      </c>
      <c r="O323" s="1">
        <f>TBL_Employees[[#This Row],[Annual Salary]]+TBL_Employees[[#This Row],[Bonus %]]*TBL_Employees[[#This Row],[Annual Salary]]</f>
        <v>122342.02</v>
      </c>
      <c r="P323" t="str">
        <f>IF(AND(TBL_Employees[[#This Row],[Department]]="IT",TBL_Employees[[#This Row],[Gender]]="Female"),"Yes","No")</f>
        <v>No</v>
      </c>
      <c r="Q323" t="str">
        <f>IF(AND(TBL_Employees[[#This Row],[Gender]]="Female",TBL_Employees[[#This Row],[Ethnicity]]="Black"), "Female_Black", "Others")</f>
        <v>Others</v>
      </c>
    </row>
    <row r="324" spans="1:17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7">
        <v>43635</v>
      </c>
      <c r="J324" s="1">
        <v>88045</v>
      </c>
      <c r="K324" s="2">
        <v>0</v>
      </c>
      <c r="L324" t="s">
        <v>19</v>
      </c>
      <c r="M324" t="s">
        <v>20</v>
      </c>
      <c r="N324" s="7" t="s">
        <v>21</v>
      </c>
      <c r="O324" s="1">
        <f>TBL_Employees[[#This Row],[Annual Salary]]+TBL_Employees[[#This Row],[Bonus %]]*TBL_Employees[[#This Row],[Annual Salary]]</f>
        <v>88045</v>
      </c>
      <c r="P324" t="str">
        <f>IF(AND(TBL_Employees[[#This Row],[Department]]="IT",TBL_Employees[[#This Row],[Gender]]="Female"),"Yes","No")</f>
        <v>No</v>
      </c>
      <c r="Q324" t="str">
        <f>IF(AND(TBL_Employees[[#This Row],[Gender]]="Female",TBL_Employees[[#This Row],[Ethnicity]]="Black"), "Female_Black", "Others")</f>
        <v>Others</v>
      </c>
    </row>
    <row r="325" spans="1:17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7">
        <v>43185</v>
      </c>
      <c r="J325" s="1">
        <v>86478</v>
      </c>
      <c r="K325" s="2">
        <v>0.06</v>
      </c>
      <c r="L325" t="s">
        <v>19</v>
      </c>
      <c r="M325" t="s">
        <v>25</v>
      </c>
      <c r="N325" s="7" t="s">
        <v>21</v>
      </c>
      <c r="O325" s="1">
        <f>TBL_Employees[[#This Row],[Annual Salary]]+TBL_Employees[[#This Row],[Bonus %]]*TBL_Employees[[#This Row],[Annual Salary]]</f>
        <v>91666.68</v>
      </c>
      <c r="P325" t="str">
        <f>IF(AND(TBL_Employees[[#This Row],[Department]]="IT",TBL_Employees[[#This Row],[Gender]]="Female"),"Yes","No")</f>
        <v>Yes</v>
      </c>
      <c r="Q325" t="str">
        <f>IF(AND(TBL_Employees[[#This Row],[Gender]]="Female",TBL_Employees[[#This Row],[Ethnicity]]="Black"), "Female_Black", "Others")</f>
        <v>Female_Black</v>
      </c>
    </row>
    <row r="326" spans="1:17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7">
        <v>42387</v>
      </c>
      <c r="J326" s="1">
        <v>180994</v>
      </c>
      <c r="K326" s="2">
        <v>0.39</v>
      </c>
      <c r="L326" t="s">
        <v>19</v>
      </c>
      <c r="M326" t="s">
        <v>63</v>
      </c>
      <c r="N326" s="7" t="s">
        <v>21</v>
      </c>
      <c r="O326" s="1">
        <f>TBL_Employees[[#This Row],[Annual Salary]]+TBL_Employees[[#This Row],[Bonus %]]*TBL_Employees[[#This Row],[Annual Salary]]</f>
        <v>251581.66</v>
      </c>
      <c r="P326" t="str">
        <f>IF(AND(TBL_Employees[[#This Row],[Department]]="IT",TBL_Employees[[#This Row],[Gender]]="Female"),"Yes","No")</f>
        <v>No</v>
      </c>
      <c r="Q326" t="str">
        <f>IF(AND(TBL_Employees[[#This Row],[Gender]]="Female",TBL_Employees[[#This Row],[Ethnicity]]="Black"), "Female_Black", "Others")</f>
        <v>Others</v>
      </c>
    </row>
    <row r="327" spans="1:17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7">
        <v>39418</v>
      </c>
      <c r="J327" s="1">
        <v>64494</v>
      </c>
      <c r="K327" s="2">
        <v>0</v>
      </c>
      <c r="L327" t="s">
        <v>19</v>
      </c>
      <c r="M327" t="s">
        <v>29</v>
      </c>
      <c r="N327" s="7" t="s">
        <v>21</v>
      </c>
      <c r="O327" s="1">
        <f>TBL_Employees[[#This Row],[Annual Salary]]+TBL_Employees[[#This Row],[Bonus %]]*TBL_Employees[[#This Row],[Annual Salary]]</f>
        <v>64494</v>
      </c>
      <c r="P327" t="str">
        <f>IF(AND(TBL_Employees[[#This Row],[Department]]="IT",TBL_Employees[[#This Row],[Gender]]="Female"),"Yes","No")</f>
        <v>No</v>
      </c>
      <c r="Q327" t="str">
        <f>IF(AND(TBL_Employees[[#This Row],[Gender]]="Female",TBL_Employees[[#This Row],[Ethnicity]]="Black"), "Female_Black", "Others")</f>
        <v>Others</v>
      </c>
    </row>
    <row r="328" spans="1:17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7">
        <v>37550</v>
      </c>
      <c r="J328" s="1">
        <v>70122</v>
      </c>
      <c r="K328" s="2">
        <v>0</v>
      </c>
      <c r="L328" t="s">
        <v>19</v>
      </c>
      <c r="M328" t="s">
        <v>29</v>
      </c>
      <c r="N328" s="7" t="s">
        <v>21</v>
      </c>
      <c r="O328" s="1">
        <f>TBL_Employees[[#This Row],[Annual Salary]]+TBL_Employees[[#This Row],[Bonus %]]*TBL_Employees[[#This Row],[Annual Salary]]</f>
        <v>70122</v>
      </c>
      <c r="P328" t="str">
        <f>IF(AND(TBL_Employees[[#This Row],[Department]]="IT",TBL_Employees[[#This Row],[Gender]]="Female"),"Yes","No")</f>
        <v>No</v>
      </c>
      <c r="Q328" t="str">
        <f>IF(AND(TBL_Employees[[#This Row],[Gender]]="Female",TBL_Employees[[#This Row],[Ethnicity]]="Black"), "Female_Black", "Others")</f>
        <v>Others</v>
      </c>
    </row>
    <row r="329" spans="1:17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7">
        <v>42785</v>
      </c>
      <c r="J329" s="1">
        <v>181854</v>
      </c>
      <c r="K329" s="2">
        <v>0.28999999999999998</v>
      </c>
      <c r="L329" t="s">
        <v>19</v>
      </c>
      <c r="M329" t="s">
        <v>63</v>
      </c>
      <c r="N329" s="7">
        <v>43945</v>
      </c>
      <c r="O329" s="1">
        <f>TBL_Employees[[#This Row],[Annual Salary]]+TBL_Employees[[#This Row],[Bonus %]]*TBL_Employees[[#This Row],[Annual Salary]]</f>
        <v>234591.66</v>
      </c>
      <c r="P329" t="str">
        <f>IF(AND(TBL_Employees[[#This Row],[Department]]="IT",TBL_Employees[[#This Row],[Gender]]="Female"),"Yes","No")</f>
        <v>No</v>
      </c>
      <c r="Q329" t="str">
        <f>IF(AND(TBL_Employees[[#This Row],[Gender]]="Female",TBL_Employees[[#This Row],[Ethnicity]]="Black"), "Female_Black", "Others")</f>
        <v>Others</v>
      </c>
    </row>
    <row r="330" spans="1:17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7">
        <v>42664</v>
      </c>
      <c r="J330" s="1">
        <v>52811</v>
      </c>
      <c r="K330" s="2">
        <v>0</v>
      </c>
      <c r="L330" t="s">
        <v>19</v>
      </c>
      <c r="M330" t="s">
        <v>45</v>
      </c>
      <c r="N330" s="7" t="s">
        <v>21</v>
      </c>
      <c r="O330" s="1">
        <f>TBL_Employees[[#This Row],[Annual Salary]]+TBL_Employees[[#This Row],[Bonus %]]*TBL_Employees[[#This Row],[Annual Salary]]</f>
        <v>52811</v>
      </c>
      <c r="P330" t="str">
        <f>IF(AND(TBL_Employees[[#This Row],[Department]]="IT",TBL_Employees[[#This Row],[Gender]]="Female"),"Yes","No")</f>
        <v>No</v>
      </c>
      <c r="Q330" t="str">
        <f>IF(AND(TBL_Employees[[#This Row],[Gender]]="Female",TBL_Employees[[#This Row],[Ethnicity]]="Black"), "Female_Black", "Others")</f>
        <v>Others</v>
      </c>
    </row>
    <row r="331" spans="1:17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7">
        <v>43763</v>
      </c>
      <c r="J331" s="1">
        <v>50111</v>
      </c>
      <c r="K331" s="2">
        <v>0</v>
      </c>
      <c r="L331" t="s">
        <v>33</v>
      </c>
      <c r="M331" t="s">
        <v>34</v>
      </c>
      <c r="N331" s="7" t="s">
        <v>21</v>
      </c>
      <c r="O331" s="1">
        <f>TBL_Employees[[#This Row],[Annual Salary]]+TBL_Employees[[#This Row],[Bonus %]]*TBL_Employees[[#This Row],[Annual Salary]]</f>
        <v>50111</v>
      </c>
      <c r="P331" t="str">
        <f>IF(AND(TBL_Employees[[#This Row],[Department]]="IT",TBL_Employees[[#This Row],[Gender]]="Female"),"Yes","No")</f>
        <v>Yes</v>
      </c>
      <c r="Q331" t="str">
        <f>IF(AND(TBL_Employees[[#This Row],[Gender]]="Female",TBL_Employees[[#This Row],[Ethnicity]]="Black"), "Female_Black", "Others")</f>
        <v>Others</v>
      </c>
    </row>
    <row r="332" spans="1:17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7">
        <v>42497</v>
      </c>
      <c r="J332" s="1">
        <v>71192</v>
      </c>
      <c r="K332" s="2">
        <v>0</v>
      </c>
      <c r="L332" t="s">
        <v>19</v>
      </c>
      <c r="M332" t="s">
        <v>25</v>
      </c>
      <c r="N332" s="7" t="s">
        <v>21</v>
      </c>
      <c r="O332" s="1">
        <f>TBL_Employees[[#This Row],[Annual Salary]]+TBL_Employees[[#This Row],[Bonus %]]*TBL_Employees[[#This Row],[Annual Salary]]</f>
        <v>71192</v>
      </c>
      <c r="P332" t="str">
        <f>IF(AND(TBL_Employees[[#This Row],[Department]]="IT",TBL_Employees[[#This Row],[Gender]]="Female"),"Yes","No")</f>
        <v>No</v>
      </c>
      <c r="Q332" t="str">
        <f>IF(AND(TBL_Employees[[#This Row],[Gender]]="Female",TBL_Employees[[#This Row],[Ethnicity]]="Black"), "Female_Black", "Others")</f>
        <v>Others</v>
      </c>
    </row>
    <row r="333" spans="1:17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7">
        <v>43452</v>
      </c>
      <c r="J333" s="1">
        <v>155351</v>
      </c>
      <c r="K333" s="2">
        <v>0.2</v>
      </c>
      <c r="L333" t="s">
        <v>19</v>
      </c>
      <c r="M333" t="s">
        <v>63</v>
      </c>
      <c r="N333" s="7" t="s">
        <v>21</v>
      </c>
      <c r="O333" s="1">
        <f>TBL_Employees[[#This Row],[Annual Salary]]+TBL_Employees[[#This Row],[Bonus %]]*TBL_Employees[[#This Row],[Annual Salary]]</f>
        <v>186421.2</v>
      </c>
      <c r="P333" t="str">
        <f>IF(AND(TBL_Employees[[#This Row],[Department]]="IT",TBL_Employees[[#This Row],[Gender]]="Female"),"Yes","No")</f>
        <v>No</v>
      </c>
      <c r="Q333" t="str">
        <f>IF(AND(TBL_Employees[[#This Row],[Gender]]="Female",TBL_Employees[[#This Row],[Ethnicity]]="Black"), "Female_Black", "Others")</f>
        <v>Others</v>
      </c>
    </row>
    <row r="334" spans="1:17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7">
        <v>39049</v>
      </c>
      <c r="J334" s="1">
        <v>161690</v>
      </c>
      <c r="K334" s="2">
        <v>0.28999999999999998</v>
      </c>
      <c r="L334" t="s">
        <v>33</v>
      </c>
      <c r="M334" t="s">
        <v>60</v>
      </c>
      <c r="N334" s="7" t="s">
        <v>21</v>
      </c>
      <c r="O334" s="1">
        <f>TBL_Employees[[#This Row],[Annual Salary]]+TBL_Employees[[#This Row],[Bonus %]]*TBL_Employees[[#This Row],[Annual Salary]]</f>
        <v>208580.1</v>
      </c>
      <c r="P334" t="str">
        <f>IF(AND(TBL_Employees[[#This Row],[Department]]="IT",TBL_Employees[[#This Row],[Gender]]="Female"),"Yes","No")</f>
        <v>No</v>
      </c>
      <c r="Q334" t="str">
        <f>IF(AND(TBL_Employees[[#This Row],[Gender]]="Female",TBL_Employees[[#This Row],[Ethnicity]]="Black"), "Female_Black", "Others")</f>
        <v>Others</v>
      </c>
    </row>
    <row r="335" spans="1:17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7">
        <v>42776</v>
      </c>
      <c r="J335" s="1">
        <v>60132</v>
      </c>
      <c r="K335" s="2">
        <v>0</v>
      </c>
      <c r="L335" t="s">
        <v>33</v>
      </c>
      <c r="M335" t="s">
        <v>80</v>
      </c>
      <c r="N335" s="7" t="s">
        <v>21</v>
      </c>
      <c r="O335" s="1">
        <f>TBL_Employees[[#This Row],[Annual Salary]]+TBL_Employees[[#This Row],[Bonus %]]*TBL_Employees[[#This Row],[Annual Salary]]</f>
        <v>60132</v>
      </c>
      <c r="P335" t="str">
        <f>IF(AND(TBL_Employees[[#This Row],[Department]]="IT",TBL_Employees[[#This Row],[Gender]]="Female"),"Yes","No")</f>
        <v>No</v>
      </c>
      <c r="Q335" t="str">
        <f>IF(AND(TBL_Employees[[#This Row],[Gender]]="Female",TBL_Employees[[#This Row],[Ethnicity]]="Black"), "Female_Black", "Others")</f>
        <v>Others</v>
      </c>
    </row>
    <row r="336" spans="1:17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7">
        <v>34631</v>
      </c>
      <c r="J336" s="1">
        <v>87216</v>
      </c>
      <c r="K336" s="2">
        <v>0</v>
      </c>
      <c r="L336" t="s">
        <v>19</v>
      </c>
      <c r="M336" t="s">
        <v>45</v>
      </c>
      <c r="N336" s="7" t="s">
        <v>21</v>
      </c>
      <c r="O336" s="1">
        <f>TBL_Employees[[#This Row],[Annual Salary]]+TBL_Employees[[#This Row],[Bonus %]]*TBL_Employees[[#This Row],[Annual Salary]]</f>
        <v>87216</v>
      </c>
      <c r="P336" t="str">
        <f>IF(AND(TBL_Employees[[#This Row],[Department]]="IT",TBL_Employees[[#This Row],[Gender]]="Female"),"Yes","No")</f>
        <v>No</v>
      </c>
      <c r="Q336" t="str">
        <f>IF(AND(TBL_Employees[[#This Row],[Gender]]="Female",TBL_Employees[[#This Row],[Ethnicity]]="Black"), "Female_Black", "Others")</f>
        <v>Others</v>
      </c>
    </row>
    <row r="337" spans="1:17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7">
        <v>43944</v>
      </c>
      <c r="J337" s="1">
        <v>50069</v>
      </c>
      <c r="K337" s="2">
        <v>0</v>
      </c>
      <c r="L337" t="s">
        <v>19</v>
      </c>
      <c r="M337" t="s">
        <v>63</v>
      </c>
      <c r="N337" s="7" t="s">
        <v>21</v>
      </c>
      <c r="O337" s="1">
        <f>TBL_Employees[[#This Row],[Annual Salary]]+TBL_Employees[[#This Row],[Bonus %]]*TBL_Employees[[#This Row],[Annual Salary]]</f>
        <v>50069</v>
      </c>
      <c r="P337" t="str">
        <f>IF(AND(TBL_Employees[[#This Row],[Department]]="IT",TBL_Employees[[#This Row],[Gender]]="Female"),"Yes","No")</f>
        <v>No</v>
      </c>
      <c r="Q337" t="str">
        <f>IF(AND(TBL_Employees[[#This Row],[Gender]]="Female",TBL_Employees[[#This Row],[Ethnicity]]="Black"), "Female_Black", "Others")</f>
        <v>Others</v>
      </c>
    </row>
    <row r="338" spans="1:17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7">
        <v>44403</v>
      </c>
      <c r="J338" s="1">
        <v>151108</v>
      </c>
      <c r="K338" s="2">
        <v>0.22</v>
      </c>
      <c r="L338" t="s">
        <v>19</v>
      </c>
      <c r="M338" t="s">
        <v>39</v>
      </c>
      <c r="N338" s="7" t="s">
        <v>21</v>
      </c>
      <c r="O338" s="1">
        <f>TBL_Employees[[#This Row],[Annual Salary]]+TBL_Employees[[#This Row],[Bonus %]]*TBL_Employees[[#This Row],[Annual Salary]]</f>
        <v>184351.76</v>
      </c>
      <c r="P338" t="str">
        <f>IF(AND(TBL_Employees[[#This Row],[Department]]="IT",TBL_Employees[[#This Row],[Gender]]="Female"),"Yes","No")</f>
        <v>Yes</v>
      </c>
      <c r="Q338" t="str">
        <f>IF(AND(TBL_Employees[[#This Row],[Gender]]="Female",TBL_Employees[[#This Row],[Ethnicity]]="Black"), "Female_Black", "Others")</f>
        <v>Others</v>
      </c>
    </row>
    <row r="339" spans="1:17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7">
        <v>38640</v>
      </c>
      <c r="J339" s="1">
        <v>67398</v>
      </c>
      <c r="K339" s="2">
        <v>7.0000000000000007E-2</v>
      </c>
      <c r="L339" t="s">
        <v>19</v>
      </c>
      <c r="M339" t="s">
        <v>39</v>
      </c>
      <c r="N339" s="7" t="s">
        <v>21</v>
      </c>
      <c r="O339" s="1">
        <f>TBL_Employees[[#This Row],[Annual Salary]]+TBL_Employees[[#This Row],[Bonus %]]*TBL_Employees[[#This Row],[Annual Salary]]</f>
        <v>72115.86</v>
      </c>
      <c r="P339" t="str">
        <f>IF(AND(TBL_Employees[[#This Row],[Department]]="IT",TBL_Employees[[#This Row],[Gender]]="Female"),"Yes","No")</f>
        <v>Yes</v>
      </c>
      <c r="Q339" t="str">
        <f>IF(AND(TBL_Employees[[#This Row],[Gender]]="Female",TBL_Employees[[#This Row],[Ethnicity]]="Black"), "Female_Black", "Others")</f>
        <v>Others</v>
      </c>
    </row>
    <row r="340" spans="1:17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7">
        <v>42245</v>
      </c>
      <c r="J340" s="1">
        <v>68488</v>
      </c>
      <c r="K340" s="2">
        <v>0</v>
      </c>
      <c r="L340" t="s">
        <v>19</v>
      </c>
      <c r="M340" t="s">
        <v>63</v>
      </c>
      <c r="N340" s="7" t="s">
        <v>21</v>
      </c>
      <c r="O340" s="1">
        <f>TBL_Employees[[#This Row],[Annual Salary]]+TBL_Employees[[#This Row],[Bonus %]]*TBL_Employees[[#This Row],[Annual Salary]]</f>
        <v>68488</v>
      </c>
      <c r="P340" t="str">
        <f>IF(AND(TBL_Employees[[#This Row],[Department]]="IT",TBL_Employees[[#This Row],[Gender]]="Female"),"Yes","No")</f>
        <v>No</v>
      </c>
      <c r="Q340" t="str">
        <f>IF(AND(TBL_Employees[[#This Row],[Gender]]="Female",TBL_Employees[[#This Row],[Ethnicity]]="Black"), "Female_Black", "Others")</f>
        <v>Others</v>
      </c>
    </row>
    <row r="341" spans="1:17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7">
        <v>35992</v>
      </c>
      <c r="J341" s="1">
        <v>92932</v>
      </c>
      <c r="K341" s="2">
        <v>0</v>
      </c>
      <c r="L341" t="s">
        <v>19</v>
      </c>
      <c r="M341" t="s">
        <v>29</v>
      </c>
      <c r="N341" s="7" t="s">
        <v>21</v>
      </c>
      <c r="O341" s="1">
        <f>TBL_Employees[[#This Row],[Annual Salary]]+TBL_Employees[[#This Row],[Bonus %]]*TBL_Employees[[#This Row],[Annual Salary]]</f>
        <v>92932</v>
      </c>
      <c r="P341" t="str">
        <f>IF(AND(TBL_Employees[[#This Row],[Department]]="IT",TBL_Employees[[#This Row],[Gender]]="Female"),"Yes","No")</f>
        <v>No</v>
      </c>
      <c r="Q341" t="str">
        <f>IF(AND(TBL_Employees[[#This Row],[Gender]]="Female",TBL_Employees[[#This Row],[Ethnicity]]="Black"), "Female_Black", "Others")</f>
        <v>Others</v>
      </c>
    </row>
    <row r="342" spans="1:17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7">
        <v>39994</v>
      </c>
      <c r="J342" s="1">
        <v>43363</v>
      </c>
      <c r="K342" s="2">
        <v>0</v>
      </c>
      <c r="L342" t="s">
        <v>19</v>
      </c>
      <c r="M342" t="s">
        <v>25</v>
      </c>
      <c r="N342" s="7" t="s">
        <v>21</v>
      </c>
      <c r="O342" s="1">
        <f>TBL_Employees[[#This Row],[Annual Salary]]+TBL_Employees[[#This Row],[Bonus %]]*TBL_Employees[[#This Row],[Annual Salary]]</f>
        <v>43363</v>
      </c>
      <c r="P342" t="str">
        <f>IF(AND(TBL_Employees[[#This Row],[Department]]="IT",TBL_Employees[[#This Row],[Gender]]="Female"),"Yes","No")</f>
        <v>No</v>
      </c>
      <c r="Q342" t="str">
        <f>IF(AND(TBL_Employees[[#This Row],[Gender]]="Female",TBL_Employees[[#This Row],[Ethnicity]]="Black"), "Female_Black", "Others")</f>
        <v>Others</v>
      </c>
    </row>
    <row r="343" spans="1:17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7">
        <v>42780</v>
      </c>
      <c r="J343" s="1">
        <v>95963</v>
      </c>
      <c r="K343" s="2">
        <v>0</v>
      </c>
      <c r="L343" t="s">
        <v>33</v>
      </c>
      <c r="M343" t="s">
        <v>34</v>
      </c>
      <c r="N343" s="7" t="s">
        <v>21</v>
      </c>
      <c r="O343" s="1">
        <f>TBL_Employees[[#This Row],[Annual Salary]]+TBL_Employees[[#This Row],[Bonus %]]*TBL_Employees[[#This Row],[Annual Salary]]</f>
        <v>95963</v>
      </c>
      <c r="P343" t="str">
        <f>IF(AND(TBL_Employees[[#This Row],[Department]]="IT",TBL_Employees[[#This Row],[Gender]]="Female"),"Yes","No")</f>
        <v>No</v>
      </c>
      <c r="Q343" t="str">
        <f>IF(AND(TBL_Employees[[#This Row],[Gender]]="Female",TBL_Employees[[#This Row],[Ethnicity]]="Black"), "Female_Black", "Others")</f>
        <v>Others</v>
      </c>
    </row>
    <row r="344" spans="1:17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7">
        <v>40297</v>
      </c>
      <c r="J344" s="1">
        <v>111038</v>
      </c>
      <c r="K344" s="2">
        <v>0.05</v>
      </c>
      <c r="L344" t="s">
        <v>52</v>
      </c>
      <c r="M344" t="s">
        <v>53</v>
      </c>
      <c r="N344" s="7" t="s">
        <v>21</v>
      </c>
      <c r="O344" s="1">
        <f>TBL_Employees[[#This Row],[Annual Salary]]+TBL_Employees[[#This Row],[Bonus %]]*TBL_Employees[[#This Row],[Annual Salary]]</f>
        <v>116589.9</v>
      </c>
      <c r="P344" t="str">
        <f>IF(AND(TBL_Employees[[#This Row],[Department]]="IT",TBL_Employees[[#This Row],[Gender]]="Female"),"Yes","No")</f>
        <v>No</v>
      </c>
      <c r="Q344" t="str">
        <f>IF(AND(TBL_Employees[[#This Row],[Gender]]="Female",TBL_Employees[[#This Row],[Ethnicity]]="Black"), "Female_Black", "Others")</f>
        <v>Others</v>
      </c>
    </row>
    <row r="345" spans="1:17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7">
        <v>35230</v>
      </c>
      <c r="J345" s="1">
        <v>200246</v>
      </c>
      <c r="K345" s="2">
        <v>0.34</v>
      </c>
      <c r="L345" t="s">
        <v>19</v>
      </c>
      <c r="M345" t="s">
        <v>29</v>
      </c>
      <c r="N345" s="7" t="s">
        <v>21</v>
      </c>
      <c r="O345" s="1">
        <f>TBL_Employees[[#This Row],[Annual Salary]]+TBL_Employees[[#This Row],[Bonus %]]*TBL_Employees[[#This Row],[Annual Salary]]</f>
        <v>268329.64</v>
      </c>
      <c r="P345" t="str">
        <f>IF(AND(TBL_Employees[[#This Row],[Department]]="IT",TBL_Employees[[#This Row],[Gender]]="Female"),"Yes","No")</f>
        <v>No</v>
      </c>
      <c r="Q345" t="str">
        <f>IF(AND(TBL_Employees[[#This Row],[Gender]]="Female",TBL_Employees[[#This Row],[Ethnicity]]="Black"), "Female_Black", "Others")</f>
        <v>Others</v>
      </c>
    </row>
    <row r="346" spans="1:17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7">
        <v>42053</v>
      </c>
      <c r="J346" s="1">
        <v>194871</v>
      </c>
      <c r="K346" s="2">
        <v>0.35</v>
      </c>
      <c r="L346" t="s">
        <v>19</v>
      </c>
      <c r="M346" t="s">
        <v>29</v>
      </c>
      <c r="N346" s="7" t="s">
        <v>21</v>
      </c>
      <c r="O346" s="1">
        <f>TBL_Employees[[#This Row],[Annual Salary]]+TBL_Employees[[#This Row],[Bonus %]]*TBL_Employees[[#This Row],[Annual Salary]]</f>
        <v>263075.84999999998</v>
      </c>
      <c r="P346" t="str">
        <f>IF(AND(TBL_Employees[[#This Row],[Department]]="IT",TBL_Employees[[#This Row],[Gender]]="Female"),"Yes","No")</f>
        <v>Yes</v>
      </c>
      <c r="Q346" t="str">
        <f>IF(AND(TBL_Employees[[#This Row],[Gender]]="Female",TBL_Employees[[#This Row],[Ethnicity]]="Black"), "Female_Black", "Others")</f>
        <v>Others</v>
      </c>
    </row>
    <row r="347" spans="1:17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7">
        <v>34592</v>
      </c>
      <c r="J347" s="1">
        <v>98769</v>
      </c>
      <c r="K347" s="2">
        <v>0</v>
      </c>
      <c r="L347" t="s">
        <v>52</v>
      </c>
      <c r="M347" t="s">
        <v>66</v>
      </c>
      <c r="N347" s="7">
        <v>42646</v>
      </c>
      <c r="O347" s="1">
        <f>TBL_Employees[[#This Row],[Annual Salary]]+TBL_Employees[[#This Row],[Bonus %]]*TBL_Employees[[#This Row],[Annual Salary]]</f>
        <v>98769</v>
      </c>
      <c r="P347" t="str">
        <f>IF(AND(TBL_Employees[[#This Row],[Department]]="IT",TBL_Employees[[#This Row],[Gender]]="Female"),"Yes","No")</f>
        <v>No</v>
      </c>
      <c r="Q347" t="str">
        <f>IF(AND(TBL_Employees[[#This Row],[Gender]]="Female",TBL_Employees[[#This Row],[Ethnicity]]="Black"), "Female_Black", "Others")</f>
        <v>Others</v>
      </c>
    </row>
    <row r="348" spans="1:17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7">
        <v>43239</v>
      </c>
      <c r="J348" s="1">
        <v>65334</v>
      </c>
      <c r="K348" s="2">
        <v>0</v>
      </c>
      <c r="L348" t="s">
        <v>52</v>
      </c>
      <c r="M348" t="s">
        <v>66</v>
      </c>
      <c r="N348" s="7" t="s">
        <v>21</v>
      </c>
      <c r="O348" s="1">
        <f>TBL_Employees[[#This Row],[Annual Salary]]+TBL_Employees[[#This Row],[Bonus %]]*TBL_Employees[[#This Row],[Annual Salary]]</f>
        <v>65334</v>
      </c>
      <c r="P348" t="str">
        <f>IF(AND(TBL_Employees[[#This Row],[Department]]="IT",TBL_Employees[[#This Row],[Gender]]="Female"),"Yes","No")</f>
        <v>No</v>
      </c>
      <c r="Q348" t="str">
        <f>IF(AND(TBL_Employees[[#This Row],[Gender]]="Female",TBL_Employees[[#This Row],[Ethnicity]]="Black"), "Female_Black", "Others")</f>
        <v>Others</v>
      </c>
    </row>
    <row r="349" spans="1:17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7">
        <v>44327</v>
      </c>
      <c r="J349" s="1">
        <v>83934</v>
      </c>
      <c r="K349" s="2">
        <v>0</v>
      </c>
      <c r="L349" t="s">
        <v>19</v>
      </c>
      <c r="M349" t="s">
        <v>45</v>
      </c>
      <c r="N349" s="7" t="s">
        <v>21</v>
      </c>
      <c r="O349" s="1">
        <f>TBL_Employees[[#This Row],[Annual Salary]]+TBL_Employees[[#This Row],[Bonus %]]*TBL_Employees[[#This Row],[Annual Salary]]</f>
        <v>83934</v>
      </c>
      <c r="P349" t="str">
        <f>IF(AND(TBL_Employees[[#This Row],[Department]]="IT",TBL_Employees[[#This Row],[Gender]]="Female"),"Yes","No")</f>
        <v>Yes</v>
      </c>
      <c r="Q349" t="str">
        <f>IF(AND(TBL_Employees[[#This Row],[Gender]]="Female",TBL_Employees[[#This Row],[Ethnicity]]="Black"), "Female_Black", "Others")</f>
        <v>Others</v>
      </c>
    </row>
    <row r="350" spans="1:17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7">
        <v>42616</v>
      </c>
      <c r="J350" s="1">
        <v>150399</v>
      </c>
      <c r="K350" s="2">
        <v>0.28000000000000003</v>
      </c>
      <c r="L350" t="s">
        <v>19</v>
      </c>
      <c r="M350" t="s">
        <v>20</v>
      </c>
      <c r="N350" s="7" t="s">
        <v>21</v>
      </c>
      <c r="O350" s="1">
        <f>TBL_Employees[[#This Row],[Annual Salary]]+TBL_Employees[[#This Row],[Bonus %]]*TBL_Employees[[#This Row],[Annual Salary]]</f>
        <v>192510.72</v>
      </c>
      <c r="P350" t="str">
        <f>IF(AND(TBL_Employees[[#This Row],[Department]]="IT",TBL_Employees[[#This Row],[Gender]]="Female"),"Yes","No")</f>
        <v>No</v>
      </c>
      <c r="Q350" t="str">
        <f>IF(AND(TBL_Employees[[#This Row],[Gender]]="Female",TBL_Employees[[#This Row],[Ethnicity]]="Black"), "Female_Black", "Others")</f>
        <v>Others</v>
      </c>
    </row>
    <row r="351" spans="1:17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7">
        <v>41048</v>
      </c>
      <c r="J351" s="1">
        <v>160280</v>
      </c>
      <c r="K351" s="2">
        <v>0.19</v>
      </c>
      <c r="L351" t="s">
        <v>33</v>
      </c>
      <c r="M351" t="s">
        <v>60</v>
      </c>
      <c r="N351" s="7" t="s">
        <v>21</v>
      </c>
      <c r="O351" s="1">
        <f>TBL_Employees[[#This Row],[Annual Salary]]+TBL_Employees[[#This Row],[Bonus %]]*TBL_Employees[[#This Row],[Annual Salary]]</f>
        <v>190733.2</v>
      </c>
      <c r="P351" t="str">
        <f>IF(AND(TBL_Employees[[#This Row],[Department]]="IT",TBL_Employees[[#This Row],[Gender]]="Female"),"Yes","No")</f>
        <v>No</v>
      </c>
      <c r="Q351" t="str">
        <f>IF(AND(TBL_Employees[[#This Row],[Gender]]="Female",TBL_Employees[[#This Row],[Ethnicity]]="Black"), "Female_Black", "Others")</f>
        <v>Others</v>
      </c>
    </row>
    <row r="352" spans="1:17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7">
        <v>35548</v>
      </c>
      <c r="J352" s="1">
        <v>54051</v>
      </c>
      <c r="K352" s="2">
        <v>0</v>
      </c>
      <c r="L352" t="s">
        <v>19</v>
      </c>
      <c r="M352" t="s">
        <v>45</v>
      </c>
      <c r="N352" s="7">
        <v>36079</v>
      </c>
      <c r="O352" s="1">
        <f>TBL_Employees[[#This Row],[Annual Salary]]+TBL_Employees[[#This Row],[Bonus %]]*TBL_Employees[[#This Row],[Annual Salary]]</f>
        <v>54051</v>
      </c>
      <c r="P352" t="str">
        <f>IF(AND(TBL_Employees[[#This Row],[Department]]="IT",TBL_Employees[[#This Row],[Gender]]="Female"),"Yes","No")</f>
        <v>No</v>
      </c>
      <c r="Q352" t="str">
        <f>IF(AND(TBL_Employees[[#This Row],[Gender]]="Female",TBL_Employees[[#This Row],[Ethnicity]]="Black"), "Female_Black", "Others")</f>
        <v>Others</v>
      </c>
    </row>
    <row r="353" spans="1:17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7">
        <v>37726</v>
      </c>
      <c r="J353" s="1">
        <v>150699</v>
      </c>
      <c r="K353" s="2">
        <v>0.28999999999999998</v>
      </c>
      <c r="L353" t="s">
        <v>52</v>
      </c>
      <c r="M353" t="s">
        <v>53</v>
      </c>
      <c r="N353" s="7" t="s">
        <v>21</v>
      </c>
      <c r="O353" s="1">
        <f>TBL_Employees[[#This Row],[Annual Salary]]+TBL_Employees[[#This Row],[Bonus %]]*TBL_Employees[[#This Row],[Annual Salary]]</f>
        <v>194401.71</v>
      </c>
      <c r="P353" t="str">
        <f>IF(AND(TBL_Employees[[#This Row],[Department]]="IT",TBL_Employees[[#This Row],[Gender]]="Female"),"Yes","No")</f>
        <v>No</v>
      </c>
      <c r="Q353" t="str">
        <f>IF(AND(TBL_Employees[[#This Row],[Gender]]="Female",TBL_Employees[[#This Row],[Ethnicity]]="Black"), "Female_Black", "Others")</f>
        <v>Others</v>
      </c>
    </row>
    <row r="354" spans="1:17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7">
        <v>41363</v>
      </c>
      <c r="J354" s="1">
        <v>69570</v>
      </c>
      <c r="K354" s="2">
        <v>0</v>
      </c>
      <c r="L354" t="s">
        <v>19</v>
      </c>
      <c r="M354" t="s">
        <v>45</v>
      </c>
      <c r="N354" s="7" t="s">
        <v>21</v>
      </c>
      <c r="O354" s="1">
        <f>TBL_Employees[[#This Row],[Annual Salary]]+TBL_Employees[[#This Row],[Bonus %]]*TBL_Employees[[#This Row],[Annual Salary]]</f>
        <v>69570</v>
      </c>
      <c r="P354" t="str">
        <f>IF(AND(TBL_Employees[[#This Row],[Department]]="IT",TBL_Employees[[#This Row],[Gender]]="Female"),"Yes","No")</f>
        <v>No</v>
      </c>
      <c r="Q354" t="str">
        <f>IF(AND(TBL_Employees[[#This Row],[Gender]]="Female",TBL_Employees[[#This Row],[Ethnicity]]="Black"), "Female_Black", "Others")</f>
        <v>Others</v>
      </c>
    </row>
    <row r="355" spans="1:17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7">
        <v>43553</v>
      </c>
      <c r="J355" s="1">
        <v>86774</v>
      </c>
      <c r="K355" s="2">
        <v>0</v>
      </c>
      <c r="L355" t="s">
        <v>33</v>
      </c>
      <c r="M355" t="s">
        <v>34</v>
      </c>
      <c r="N355" s="7" t="s">
        <v>21</v>
      </c>
      <c r="O355" s="1">
        <f>TBL_Employees[[#This Row],[Annual Salary]]+TBL_Employees[[#This Row],[Bonus %]]*TBL_Employees[[#This Row],[Annual Salary]]</f>
        <v>86774</v>
      </c>
      <c r="P355" t="str">
        <f>IF(AND(TBL_Employees[[#This Row],[Department]]="IT",TBL_Employees[[#This Row],[Gender]]="Female"),"Yes","No")</f>
        <v>Yes</v>
      </c>
      <c r="Q355" t="str">
        <f>IF(AND(TBL_Employees[[#This Row],[Gender]]="Female",TBL_Employees[[#This Row],[Ethnicity]]="Black"), "Female_Black", "Others")</f>
        <v>Others</v>
      </c>
    </row>
    <row r="356" spans="1:17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7">
        <v>36979</v>
      </c>
      <c r="J356" s="1">
        <v>57606</v>
      </c>
      <c r="K356" s="2">
        <v>0</v>
      </c>
      <c r="L356" t="s">
        <v>19</v>
      </c>
      <c r="M356" t="s">
        <v>45</v>
      </c>
      <c r="N356" s="7" t="s">
        <v>21</v>
      </c>
      <c r="O356" s="1">
        <f>TBL_Employees[[#This Row],[Annual Salary]]+TBL_Employees[[#This Row],[Bonus %]]*TBL_Employees[[#This Row],[Annual Salary]]</f>
        <v>57606</v>
      </c>
      <c r="P356" t="str">
        <f>IF(AND(TBL_Employees[[#This Row],[Department]]="IT",TBL_Employees[[#This Row],[Gender]]="Female"),"Yes","No")</f>
        <v>No</v>
      </c>
      <c r="Q356" t="str">
        <f>IF(AND(TBL_Employees[[#This Row],[Gender]]="Female",TBL_Employees[[#This Row],[Ethnicity]]="Black"), "Female_Black", "Others")</f>
        <v>Others</v>
      </c>
    </row>
    <row r="357" spans="1:17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7">
        <v>37144</v>
      </c>
      <c r="J357" s="1">
        <v>125730</v>
      </c>
      <c r="K357" s="2">
        <v>0.11</v>
      </c>
      <c r="L357" t="s">
        <v>33</v>
      </c>
      <c r="M357" t="s">
        <v>80</v>
      </c>
      <c r="N357" s="7" t="s">
        <v>21</v>
      </c>
      <c r="O357" s="1">
        <f>TBL_Employees[[#This Row],[Annual Salary]]+TBL_Employees[[#This Row],[Bonus %]]*TBL_Employees[[#This Row],[Annual Salary]]</f>
        <v>139560.29999999999</v>
      </c>
      <c r="P357" t="str">
        <f>IF(AND(TBL_Employees[[#This Row],[Department]]="IT",TBL_Employees[[#This Row],[Gender]]="Female"),"Yes","No")</f>
        <v>No</v>
      </c>
      <c r="Q357" t="str">
        <f>IF(AND(TBL_Employees[[#This Row],[Gender]]="Female",TBL_Employees[[#This Row],[Ethnicity]]="Black"), "Female_Black", "Others")</f>
        <v>Others</v>
      </c>
    </row>
    <row r="358" spans="1:17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7">
        <v>40964</v>
      </c>
      <c r="J358" s="1">
        <v>64170</v>
      </c>
      <c r="K358" s="2">
        <v>0</v>
      </c>
      <c r="L358" t="s">
        <v>19</v>
      </c>
      <c r="M358" t="s">
        <v>29</v>
      </c>
      <c r="N358" s="7" t="s">
        <v>21</v>
      </c>
      <c r="O358" s="1">
        <f>TBL_Employees[[#This Row],[Annual Salary]]+TBL_Employees[[#This Row],[Bonus %]]*TBL_Employees[[#This Row],[Annual Salary]]</f>
        <v>64170</v>
      </c>
      <c r="P358" t="str">
        <f>IF(AND(TBL_Employees[[#This Row],[Department]]="IT",TBL_Employees[[#This Row],[Gender]]="Female"),"Yes","No")</f>
        <v>Yes</v>
      </c>
      <c r="Q358" t="str">
        <f>IF(AND(TBL_Employees[[#This Row],[Gender]]="Female",TBL_Employees[[#This Row],[Ethnicity]]="Black"), "Female_Black", "Others")</f>
        <v>Others</v>
      </c>
    </row>
    <row r="359" spans="1:17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7">
        <v>35816</v>
      </c>
      <c r="J359" s="1">
        <v>72303</v>
      </c>
      <c r="K359" s="2">
        <v>0</v>
      </c>
      <c r="L359" t="s">
        <v>19</v>
      </c>
      <c r="M359" t="s">
        <v>39</v>
      </c>
      <c r="N359" s="7" t="s">
        <v>21</v>
      </c>
      <c r="O359" s="1">
        <f>TBL_Employees[[#This Row],[Annual Salary]]+TBL_Employees[[#This Row],[Bonus %]]*TBL_Employees[[#This Row],[Annual Salary]]</f>
        <v>72303</v>
      </c>
      <c r="P359" t="str">
        <f>IF(AND(TBL_Employees[[#This Row],[Department]]="IT",TBL_Employees[[#This Row],[Gender]]="Female"),"Yes","No")</f>
        <v>No</v>
      </c>
      <c r="Q359" t="str">
        <f>IF(AND(TBL_Employees[[#This Row],[Gender]]="Female",TBL_Employees[[#This Row],[Ethnicity]]="Black"), "Female_Black", "Others")</f>
        <v>Others</v>
      </c>
    </row>
    <row r="360" spans="1:17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7">
        <v>41116</v>
      </c>
      <c r="J360" s="1">
        <v>105891</v>
      </c>
      <c r="K360" s="2">
        <v>7.0000000000000007E-2</v>
      </c>
      <c r="L360" t="s">
        <v>19</v>
      </c>
      <c r="M360" t="s">
        <v>63</v>
      </c>
      <c r="N360" s="7" t="s">
        <v>21</v>
      </c>
      <c r="O360" s="1">
        <f>TBL_Employees[[#This Row],[Annual Salary]]+TBL_Employees[[#This Row],[Bonus %]]*TBL_Employees[[#This Row],[Annual Salary]]</f>
        <v>113303.37</v>
      </c>
      <c r="P360" t="str">
        <f>IF(AND(TBL_Employees[[#This Row],[Department]]="IT",TBL_Employees[[#This Row],[Gender]]="Female"),"Yes","No")</f>
        <v>No</v>
      </c>
      <c r="Q360" t="str">
        <f>IF(AND(TBL_Employees[[#This Row],[Gender]]="Female",TBL_Employees[[#This Row],[Ethnicity]]="Black"), "Female_Black", "Others")</f>
        <v>Others</v>
      </c>
    </row>
    <row r="361" spans="1:17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7">
        <v>44433</v>
      </c>
      <c r="J361" s="1">
        <v>255230</v>
      </c>
      <c r="K361" s="2">
        <v>0.36</v>
      </c>
      <c r="L361" t="s">
        <v>19</v>
      </c>
      <c r="M361" t="s">
        <v>25</v>
      </c>
      <c r="N361" s="7" t="s">
        <v>21</v>
      </c>
      <c r="O361" s="1">
        <f>TBL_Employees[[#This Row],[Annual Salary]]+TBL_Employees[[#This Row],[Bonus %]]*TBL_Employees[[#This Row],[Annual Salary]]</f>
        <v>347112.8</v>
      </c>
      <c r="P361" t="str">
        <f>IF(AND(TBL_Employees[[#This Row],[Department]]="IT",TBL_Employees[[#This Row],[Gender]]="Female"),"Yes","No")</f>
        <v>No</v>
      </c>
      <c r="Q361" t="str">
        <f>IF(AND(TBL_Employees[[#This Row],[Gender]]="Female",TBL_Employees[[#This Row],[Ethnicity]]="Black"), "Female_Black", "Others")</f>
        <v>Others</v>
      </c>
    </row>
    <row r="362" spans="1:17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7">
        <v>33770</v>
      </c>
      <c r="J362" s="1">
        <v>59591</v>
      </c>
      <c r="K362" s="2">
        <v>0</v>
      </c>
      <c r="L362" t="s">
        <v>52</v>
      </c>
      <c r="M362" t="s">
        <v>53</v>
      </c>
      <c r="N362" s="7" t="s">
        <v>21</v>
      </c>
      <c r="O362" s="1">
        <f>TBL_Employees[[#This Row],[Annual Salary]]+TBL_Employees[[#This Row],[Bonus %]]*TBL_Employees[[#This Row],[Annual Salary]]</f>
        <v>59591</v>
      </c>
      <c r="P362" t="str">
        <f>IF(AND(TBL_Employees[[#This Row],[Department]]="IT",TBL_Employees[[#This Row],[Gender]]="Female"),"Yes","No")</f>
        <v>No</v>
      </c>
      <c r="Q362" t="str">
        <f>IF(AND(TBL_Employees[[#This Row],[Gender]]="Female",TBL_Employees[[#This Row],[Ethnicity]]="Black"), "Female_Black", "Others")</f>
        <v>Others</v>
      </c>
    </row>
    <row r="363" spans="1:17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7">
        <v>41113</v>
      </c>
      <c r="J363" s="1">
        <v>187048</v>
      </c>
      <c r="K363" s="2">
        <v>0.32</v>
      </c>
      <c r="L363" t="s">
        <v>33</v>
      </c>
      <c r="M363" t="s">
        <v>34</v>
      </c>
      <c r="N363" s="7" t="s">
        <v>21</v>
      </c>
      <c r="O363" s="1">
        <f>TBL_Employees[[#This Row],[Annual Salary]]+TBL_Employees[[#This Row],[Bonus %]]*TBL_Employees[[#This Row],[Annual Salary]]</f>
        <v>246903.36</v>
      </c>
      <c r="P363" t="str">
        <f>IF(AND(TBL_Employees[[#This Row],[Department]]="IT",TBL_Employees[[#This Row],[Gender]]="Female"),"Yes","No")</f>
        <v>No</v>
      </c>
      <c r="Q363" t="str">
        <f>IF(AND(TBL_Employees[[#This Row],[Gender]]="Female",TBL_Employees[[#This Row],[Ethnicity]]="Black"), "Female_Black", "Others")</f>
        <v>Others</v>
      </c>
    </row>
    <row r="364" spans="1:17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7">
        <v>37296</v>
      </c>
      <c r="J364" s="1">
        <v>58605</v>
      </c>
      <c r="K364" s="2">
        <v>0</v>
      </c>
      <c r="L364" t="s">
        <v>19</v>
      </c>
      <c r="M364" t="s">
        <v>39</v>
      </c>
      <c r="N364" s="7" t="s">
        <v>21</v>
      </c>
      <c r="O364" s="1">
        <f>TBL_Employees[[#This Row],[Annual Salary]]+TBL_Employees[[#This Row],[Bonus %]]*TBL_Employees[[#This Row],[Annual Salary]]</f>
        <v>58605</v>
      </c>
      <c r="P364" t="str">
        <f>IF(AND(TBL_Employees[[#This Row],[Department]]="IT",TBL_Employees[[#This Row],[Gender]]="Female"),"Yes","No")</f>
        <v>No</v>
      </c>
      <c r="Q364" t="str">
        <f>IF(AND(TBL_Employees[[#This Row],[Gender]]="Female",TBL_Employees[[#This Row],[Ethnicity]]="Black"), "Female_Black", "Others")</f>
        <v>Others</v>
      </c>
    </row>
    <row r="365" spans="1:17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7">
        <v>42739</v>
      </c>
      <c r="J365" s="1">
        <v>178502</v>
      </c>
      <c r="K365" s="2">
        <v>0.2</v>
      </c>
      <c r="L365" t="s">
        <v>19</v>
      </c>
      <c r="M365" t="s">
        <v>25</v>
      </c>
      <c r="N365" s="7" t="s">
        <v>21</v>
      </c>
      <c r="O365" s="1">
        <f>TBL_Employees[[#This Row],[Annual Salary]]+TBL_Employees[[#This Row],[Bonus %]]*TBL_Employees[[#This Row],[Annual Salary]]</f>
        <v>214202.4</v>
      </c>
      <c r="P365" t="str">
        <f>IF(AND(TBL_Employees[[#This Row],[Department]]="IT",TBL_Employees[[#This Row],[Gender]]="Female"),"Yes","No")</f>
        <v>No</v>
      </c>
      <c r="Q365" t="str">
        <f>IF(AND(TBL_Employees[[#This Row],[Gender]]="Female",TBL_Employees[[#This Row],[Ethnicity]]="Black"), "Female_Black", "Others")</f>
        <v>Others</v>
      </c>
    </row>
    <row r="366" spans="1:17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7">
        <v>42214</v>
      </c>
      <c r="J366" s="1">
        <v>103724</v>
      </c>
      <c r="K366" s="2">
        <v>0.05</v>
      </c>
      <c r="L366" t="s">
        <v>33</v>
      </c>
      <c r="M366" t="s">
        <v>74</v>
      </c>
      <c r="N366" s="7" t="s">
        <v>21</v>
      </c>
      <c r="O366" s="1">
        <f>TBL_Employees[[#This Row],[Annual Salary]]+TBL_Employees[[#This Row],[Bonus %]]*TBL_Employees[[#This Row],[Annual Salary]]</f>
        <v>108910.2</v>
      </c>
      <c r="P366" t="str">
        <f>IF(AND(TBL_Employees[[#This Row],[Department]]="IT",TBL_Employees[[#This Row],[Gender]]="Female"),"Yes","No")</f>
        <v>No</v>
      </c>
      <c r="Q366" t="str">
        <f>IF(AND(TBL_Employees[[#This Row],[Gender]]="Female",TBL_Employees[[#This Row],[Ethnicity]]="Black"), "Female_Black", "Others")</f>
        <v>Others</v>
      </c>
    </row>
    <row r="367" spans="1:17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7">
        <v>39528</v>
      </c>
      <c r="J367" s="1">
        <v>156277</v>
      </c>
      <c r="K367" s="2">
        <v>0.22</v>
      </c>
      <c r="L367" t="s">
        <v>52</v>
      </c>
      <c r="M367" t="s">
        <v>81</v>
      </c>
      <c r="N367" s="7" t="s">
        <v>21</v>
      </c>
      <c r="O367" s="1">
        <f>TBL_Employees[[#This Row],[Annual Salary]]+TBL_Employees[[#This Row],[Bonus %]]*TBL_Employees[[#This Row],[Annual Salary]]</f>
        <v>190657.94</v>
      </c>
      <c r="P367" t="str">
        <f>IF(AND(TBL_Employees[[#This Row],[Department]]="IT",TBL_Employees[[#This Row],[Gender]]="Female"),"Yes","No")</f>
        <v>No</v>
      </c>
      <c r="Q367" t="str">
        <f>IF(AND(TBL_Employees[[#This Row],[Gender]]="Female",TBL_Employees[[#This Row],[Ethnicity]]="Black"), "Female_Black", "Others")</f>
        <v>Others</v>
      </c>
    </row>
    <row r="368" spans="1:17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7">
        <v>43086</v>
      </c>
      <c r="J368" s="1">
        <v>87744</v>
      </c>
      <c r="K368" s="2">
        <v>0</v>
      </c>
      <c r="L368" t="s">
        <v>52</v>
      </c>
      <c r="M368" t="s">
        <v>53</v>
      </c>
      <c r="N368" s="7" t="s">
        <v>21</v>
      </c>
      <c r="O368" s="1">
        <f>TBL_Employees[[#This Row],[Annual Salary]]+TBL_Employees[[#This Row],[Bonus %]]*TBL_Employees[[#This Row],[Annual Salary]]</f>
        <v>87744</v>
      </c>
      <c r="P368" t="str">
        <f>IF(AND(TBL_Employees[[#This Row],[Department]]="IT",TBL_Employees[[#This Row],[Gender]]="Female"),"Yes","No")</f>
        <v>No</v>
      </c>
      <c r="Q368" t="str">
        <f>IF(AND(TBL_Employees[[#This Row],[Gender]]="Female",TBL_Employees[[#This Row],[Ethnicity]]="Black"), "Female_Black", "Others")</f>
        <v>Others</v>
      </c>
    </row>
    <row r="369" spans="1:17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7">
        <v>43542</v>
      </c>
      <c r="J369" s="1">
        <v>54714</v>
      </c>
      <c r="K369" s="2">
        <v>0</v>
      </c>
      <c r="L369" t="s">
        <v>19</v>
      </c>
      <c r="M369" t="s">
        <v>29</v>
      </c>
      <c r="N369" s="7" t="s">
        <v>21</v>
      </c>
      <c r="O369" s="1">
        <f>TBL_Employees[[#This Row],[Annual Salary]]+TBL_Employees[[#This Row],[Bonus %]]*TBL_Employees[[#This Row],[Annual Salary]]</f>
        <v>54714</v>
      </c>
      <c r="P369" t="str">
        <f>IF(AND(TBL_Employees[[#This Row],[Department]]="IT",TBL_Employees[[#This Row],[Gender]]="Female"),"Yes","No")</f>
        <v>No</v>
      </c>
      <c r="Q369" t="str">
        <f>IF(AND(TBL_Employees[[#This Row],[Gender]]="Female",TBL_Employees[[#This Row],[Ethnicity]]="Black"), "Female_Black", "Others")</f>
        <v>Others</v>
      </c>
    </row>
    <row r="370" spans="1:17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7">
        <v>41511</v>
      </c>
      <c r="J370" s="1">
        <v>99169</v>
      </c>
      <c r="K370" s="2">
        <v>0</v>
      </c>
      <c r="L370" t="s">
        <v>33</v>
      </c>
      <c r="M370" t="s">
        <v>60</v>
      </c>
      <c r="N370" s="7" t="s">
        <v>21</v>
      </c>
      <c r="O370" s="1">
        <f>TBL_Employees[[#This Row],[Annual Salary]]+TBL_Employees[[#This Row],[Bonus %]]*TBL_Employees[[#This Row],[Annual Salary]]</f>
        <v>99169</v>
      </c>
      <c r="P370" t="str">
        <f>IF(AND(TBL_Employees[[#This Row],[Department]]="IT",TBL_Employees[[#This Row],[Gender]]="Female"),"Yes","No")</f>
        <v>Yes</v>
      </c>
      <c r="Q370" t="str">
        <f>IF(AND(TBL_Employees[[#This Row],[Gender]]="Female",TBL_Employees[[#This Row],[Ethnicity]]="Black"), "Female_Black", "Others")</f>
        <v>Others</v>
      </c>
    </row>
    <row r="371" spans="1:17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7">
        <v>38888</v>
      </c>
      <c r="J371" s="1">
        <v>142628</v>
      </c>
      <c r="K371" s="2">
        <v>0.12</v>
      </c>
      <c r="L371" t="s">
        <v>33</v>
      </c>
      <c r="M371" t="s">
        <v>80</v>
      </c>
      <c r="N371" s="7" t="s">
        <v>21</v>
      </c>
      <c r="O371" s="1">
        <f>TBL_Employees[[#This Row],[Annual Salary]]+TBL_Employees[[#This Row],[Bonus %]]*TBL_Employees[[#This Row],[Annual Salary]]</f>
        <v>159743.35999999999</v>
      </c>
      <c r="P371" t="str">
        <f>IF(AND(TBL_Employees[[#This Row],[Department]]="IT",TBL_Employees[[#This Row],[Gender]]="Female"),"Yes","No")</f>
        <v>No</v>
      </c>
      <c r="Q371" t="str">
        <f>IF(AND(TBL_Employees[[#This Row],[Gender]]="Female",TBL_Employees[[#This Row],[Ethnicity]]="Black"), "Female_Black", "Others")</f>
        <v>Others</v>
      </c>
    </row>
    <row r="372" spans="1:17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7">
        <v>41756</v>
      </c>
      <c r="J372" s="1">
        <v>75869</v>
      </c>
      <c r="K372" s="2">
        <v>0</v>
      </c>
      <c r="L372" t="s">
        <v>52</v>
      </c>
      <c r="M372" t="s">
        <v>53</v>
      </c>
      <c r="N372" s="7" t="s">
        <v>21</v>
      </c>
      <c r="O372" s="1">
        <f>TBL_Employees[[#This Row],[Annual Salary]]+TBL_Employees[[#This Row],[Bonus %]]*TBL_Employees[[#This Row],[Annual Salary]]</f>
        <v>75869</v>
      </c>
      <c r="P372" t="str">
        <f>IF(AND(TBL_Employees[[#This Row],[Department]]="IT",TBL_Employees[[#This Row],[Gender]]="Female"),"Yes","No")</f>
        <v>No</v>
      </c>
      <c r="Q372" t="str">
        <f>IF(AND(TBL_Employees[[#This Row],[Gender]]="Female",TBL_Employees[[#This Row],[Ethnicity]]="Black"), "Female_Black", "Others")</f>
        <v>Others</v>
      </c>
    </row>
    <row r="373" spans="1:17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7">
        <v>43234</v>
      </c>
      <c r="J373" s="1">
        <v>60985</v>
      </c>
      <c r="K373" s="2">
        <v>0</v>
      </c>
      <c r="L373" t="s">
        <v>19</v>
      </c>
      <c r="M373" t="s">
        <v>63</v>
      </c>
      <c r="N373" s="7" t="s">
        <v>21</v>
      </c>
      <c r="O373" s="1">
        <f>TBL_Employees[[#This Row],[Annual Salary]]+TBL_Employees[[#This Row],[Bonus %]]*TBL_Employees[[#This Row],[Annual Salary]]</f>
        <v>60985</v>
      </c>
      <c r="P373" t="str">
        <f>IF(AND(TBL_Employees[[#This Row],[Department]]="IT",TBL_Employees[[#This Row],[Gender]]="Female"),"Yes","No")</f>
        <v>Yes</v>
      </c>
      <c r="Q373" t="str">
        <f>IF(AND(TBL_Employees[[#This Row],[Gender]]="Female",TBL_Employees[[#This Row],[Ethnicity]]="Black"), "Female_Black", "Others")</f>
        <v>Others</v>
      </c>
    </row>
    <row r="374" spans="1:17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7">
        <v>40383</v>
      </c>
      <c r="J374" s="1">
        <v>126911</v>
      </c>
      <c r="K374" s="2">
        <v>0.1</v>
      </c>
      <c r="L374" t="s">
        <v>33</v>
      </c>
      <c r="M374" t="s">
        <v>74</v>
      </c>
      <c r="N374" s="7" t="s">
        <v>21</v>
      </c>
      <c r="O374" s="1">
        <f>TBL_Employees[[#This Row],[Annual Salary]]+TBL_Employees[[#This Row],[Bonus %]]*TBL_Employees[[#This Row],[Annual Salary]]</f>
        <v>139602.1</v>
      </c>
      <c r="P374" t="str">
        <f>IF(AND(TBL_Employees[[#This Row],[Department]]="IT",TBL_Employees[[#This Row],[Gender]]="Female"),"Yes","No")</f>
        <v>Yes</v>
      </c>
      <c r="Q374" t="str">
        <f>IF(AND(TBL_Employees[[#This Row],[Gender]]="Female",TBL_Employees[[#This Row],[Ethnicity]]="Black"), "Female_Black", "Others")</f>
        <v>Others</v>
      </c>
    </row>
    <row r="375" spans="1:17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7">
        <v>38042</v>
      </c>
      <c r="J375" s="1">
        <v>216949</v>
      </c>
      <c r="K375" s="2">
        <v>0.32</v>
      </c>
      <c r="L375" t="s">
        <v>33</v>
      </c>
      <c r="M375" t="s">
        <v>74</v>
      </c>
      <c r="N375" s="7" t="s">
        <v>21</v>
      </c>
      <c r="O375" s="1">
        <f>TBL_Employees[[#This Row],[Annual Salary]]+TBL_Employees[[#This Row],[Bonus %]]*TBL_Employees[[#This Row],[Annual Salary]]</f>
        <v>286372.68</v>
      </c>
      <c r="P375" t="str">
        <f>IF(AND(TBL_Employees[[#This Row],[Department]]="IT",TBL_Employees[[#This Row],[Gender]]="Female"),"Yes","No")</f>
        <v>No</v>
      </c>
      <c r="Q375" t="str">
        <f>IF(AND(TBL_Employees[[#This Row],[Gender]]="Female",TBL_Employees[[#This Row],[Ethnicity]]="Black"), "Female_Black", "Others")</f>
        <v>Others</v>
      </c>
    </row>
    <row r="376" spans="1:17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7">
        <v>41204</v>
      </c>
      <c r="J376" s="1">
        <v>168510</v>
      </c>
      <c r="K376" s="2">
        <v>0.28999999999999998</v>
      </c>
      <c r="L376" t="s">
        <v>19</v>
      </c>
      <c r="M376" t="s">
        <v>63</v>
      </c>
      <c r="N376" s="7" t="s">
        <v>21</v>
      </c>
      <c r="O376" s="1">
        <f>TBL_Employees[[#This Row],[Annual Salary]]+TBL_Employees[[#This Row],[Bonus %]]*TBL_Employees[[#This Row],[Annual Salary]]</f>
        <v>217377.9</v>
      </c>
      <c r="P376" t="str">
        <f>IF(AND(TBL_Employees[[#This Row],[Department]]="IT",TBL_Employees[[#This Row],[Gender]]="Female"),"Yes","No")</f>
        <v>No</v>
      </c>
      <c r="Q376" t="str">
        <f>IF(AND(TBL_Employees[[#This Row],[Gender]]="Female",TBL_Employees[[#This Row],[Ethnicity]]="Black"), "Female_Black", "Others")</f>
        <v>Others</v>
      </c>
    </row>
    <row r="377" spans="1:17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7">
        <v>42443</v>
      </c>
      <c r="J377" s="1">
        <v>85870</v>
      </c>
      <c r="K377" s="2">
        <v>0</v>
      </c>
      <c r="L377" t="s">
        <v>52</v>
      </c>
      <c r="M377" t="s">
        <v>53</v>
      </c>
      <c r="N377" s="7" t="s">
        <v>21</v>
      </c>
      <c r="O377" s="1">
        <f>TBL_Employees[[#This Row],[Annual Salary]]+TBL_Employees[[#This Row],[Bonus %]]*TBL_Employees[[#This Row],[Annual Salary]]</f>
        <v>85870</v>
      </c>
      <c r="P377" t="str">
        <f>IF(AND(TBL_Employees[[#This Row],[Department]]="IT",TBL_Employees[[#This Row],[Gender]]="Female"),"Yes","No")</f>
        <v>No</v>
      </c>
      <c r="Q377" t="str">
        <f>IF(AND(TBL_Employees[[#This Row],[Gender]]="Female",TBL_Employees[[#This Row],[Ethnicity]]="Black"), "Female_Black", "Others")</f>
        <v>Others</v>
      </c>
    </row>
    <row r="378" spans="1:17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7">
        <v>37271</v>
      </c>
      <c r="J378" s="1">
        <v>86510</v>
      </c>
      <c r="K378" s="2">
        <v>0</v>
      </c>
      <c r="L378" t="s">
        <v>33</v>
      </c>
      <c r="M378" t="s">
        <v>60</v>
      </c>
      <c r="N378" s="7">
        <v>37623</v>
      </c>
      <c r="O378" s="1">
        <f>TBL_Employees[[#This Row],[Annual Salary]]+TBL_Employees[[#This Row],[Bonus %]]*TBL_Employees[[#This Row],[Annual Salary]]</f>
        <v>86510</v>
      </c>
      <c r="P378" t="str">
        <f>IF(AND(TBL_Employees[[#This Row],[Department]]="IT",TBL_Employees[[#This Row],[Gender]]="Female"),"Yes","No")</f>
        <v>No</v>
      </c>
      <c r="Q378" t="str">
        <f>IF(AND(TBL_Employees[[#This Row],[Gender]]="Female",TBL_Employees[[#This Row],[Ethnicity]]="Black"), "Female_Black", "Others")</f>
        <v>Others</v>
      </c>
    </row>
    <row r="379" spans="1:17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7">
        <v>42999</v>
      </c>
      <c r="J379" s="1">
        <v>119647</v>
      </c>
      <c r="K379" s="2">
        <v>0.09</v>
      </c>
      <c r="L379" t="s">
        <v>52</v>
      </c>
      <c r="M379" t="s">
        <v>53</v>
      </c>
      <c r="N379" s="7" t="s">
        <v>21</v>
      </c>
      <c r="O379" s="1">
        <f>TBL_Employees[[#This Row],[Annual Salary]]+TBL_Employees[[#This Row],[Bonus %]]*TBL_Employees[[#This Row],[Annual Salary]]</f>
        <v>130415.23</v>
      </c>
      <c r="P379" t="str">
        <f>IF(AND(TBL_Employees[[#This Row],[Department]]="IT",TBL_Employees[[#This Row],[Gender]]="Female"),"Yes","No")</f>
        <v>No</v>
      </c>
      <c r="Q379" t="str">
        <f>IF(AND(TBL_Employees[[#This Row],[Gender]]="Female",TBL_Employees[[#This Row],[Ethnicity]]="Black"), "Female_Black", "Others")</f>
        <v>Others</v>
      </c>
    </row>
    <row r="380" spans="1:17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7">
        <v>36996</v>
      </c>
      <c r="J380" s="1">
        <v>80921</v>
      </c>
      <c r="K380" s="2">
        <v>0</v>
      </c>
      <c r="L380" t="s">
        <v>19</v>
      </c>
      <c r="M380" t="s">
        <v>29</v>
      </c>
      <c r="N380" s="7" t="s">
        <v>21</v>
      </c>
      <c r="O380" s="1">
        <f>TBL_Employees[[#This Row],[Annual Salary]]+TBL_Employees[[#This Row],[Bonus %]]*TBL_Employees[[#This Row],[Annual Salary]]</f>
        <v>80921</v>
      </c>
      <c r="P380" t="str">
        <f>IF(AND(TBL_Employees[[#This Row],[Department]]="IT",TBL_Employees[[#This Row],[Gender]]="Female"),"Yes","No")</f>
        <v>No</v>
      </c>
      <c r="Q380" t="str">
        <f>IF(AND(TBL_Employees[[#This Row],[Gender]]="Female",TBL_Employees[[#This Row],[Ethnicity]]="Black"), "Female_Black", "Others")</f>
        <v>Others</v>
      </c>
    </row>
    <row r="381" spans="1:17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7">
        <v>40193</v>
      </c>
      <c r="J381" s="1">
        <v>98110</v>
      </c>
      <c r="K381" s="2">
        <v>0.13</v>
      </c>
      <c r="L381" t="s">
        <v>19</v>
      </c>
      <c r="M381" t="s">
        <v>20</v>
      </c>
      <c r="N381" s="7" t="s">
        <v>21</v>
      </c>
      <c r="O381" s="1">
        <f>TBL_Employees[[#This Row],[Annual Salary]]+TBL_Employees[[#This Row],[Bonus %]]*TBL_Employees[[#This Row],[Annual Salary]]</f>
        <v>110864.3</v>
      </c>
      <c r="P381" t="str">
        <f>IF(AND(TBL_Employees[[#This Row],[Department]]="IT",TBL_Employees[[#This Row],[Gender]]="Female"),"Yes","No")</f>
        <v>No</v>
      </c>
      <c r="Q381" t="str">
        <f>IF(AND(TBL_Employees[[#This Row],[Gender]]="Female",TBL_Employees[[#This Row],[Ethnicity]]="Black"), "Female_Black", "Others")</f>
        <v>Others</v>
      </c>
    </row>
    <row r="382" spans="1:17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7">
        <v>43028</v>
      </c>
      <c r="J382" s="1">
        <v>86831</v>
      </c>
      <c r="K382" s="2">
        <v>0</v>
      </c>
      <c r="L382" t="s">
        <v>19</v>
      </c>
      <c r="M382" t="s">
        <v>39</v>
      </c>
      <c r="N382" s="7" t="s">
        <v>21</v>
      </c>
      <c r="O382" s="1">
        <f>TBL_Employees[[#This Row],[Annual Salary]]+TBL_Employees[[#This Row],[Bonus %]]*TBL_Employees[[#This Row],[Annual Salary]]</f>
        <v>86831</v>
      </c>
      <c r="P382" t="str">
        <f>IF(AND(TBL_Employees[[#This Row],[Department]]="IT",TBL_Employees[[#This Row],[Gender]]="Female"),"Yes","No")</f>
        <v>Yes</v>
      </c>
      <c r="Q382" t="str">
        <f>IF(AND(TBL_Employees[[#This Row],[Gender]]="Female",TBL_Employees[[#This Row],[Ethnicity]]="Black"), "Female_Black", "Others")</f>
        <v>Others</v>
      </c>
    </row>
    <row r="383" spans="1:17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7">
        <v>40431</v>
      </c>
      <c r="J383" s="1">
        <v>72826</v>
      </c>
      <c r="K383" s="2">
        <v>0</v>
      </c>
      <c r="L383" t="s">
        <v>33</v>
      </c>
      <c r="M383" t="s">
        <v>60</v>
      </c>
      <c r="N383" s="7" t="s">
        <v>21</v>
      </c>
      <c r="O383" s="1">
        <f>TBL_Employees[[#This Row],[Annual Salary]]+TBL_Employees[[#This Row],[Bonus %]]*TBL_Employees[[#This Row],[Annual Salary]]</f>
        <v>72826</v>
      </c>
      <c r="P383" t="str">
        <f>IF(AND(TBL_Employees[[#This Row],[Department]]="IT",TBL_Employees[[#This Row],[Gender]]="Female"),"Yes","No")</f>
        <v>Yes</v>
      </c>
      <c r="Q383" t="str">
        <f>IF(AND(TBL_Employees[[#This Row],[Gender]]="Female",TBL_Employees[[#This Row],[Ethnicity]]="Black"), "Female_Black", "Others")</f>
        <v>Others</v>
      </c>
    </row>
    <row r="384" spans="1:17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7">
        <v>40588</v>
      </c>
      <c r="J384" s="1">
        <v>171217</v>
      </c>
      <c r="K384" s="2">
        <v>0.19</v>
      </c>
      <c r="L384" t="s">
        <v>19</v>
      </c>
      <c r="M384" t="s">
        <v>63</v>
      </c>
      <c r="N384" s="7" t="s">
        <v>21</v>
      </c>
      <c r="O384" s="1">
        <f>TBL_Employees[[#This Row],[Annual Salary]]+TBL_Employees[[#This Row],[Bonus %]]*TBL_Employees[[#This Row],[Annual Salary]]</f>
        <v>203748.23</v>
      </c>
      <c r="P384" t="str">
        <f>IF(AND(TBL_Employees[[#This Row],[Department]]="IT",TBL_Employees[[#This Row],[Gender]]="Female"),"Yes","No")</f>
        <v>No</v>
      </c>
      <c r="Q384" t="str">
        <f>IF(AND(TBL_Employees[[#This Row],[Gender]]="Female",TBL_Employees[[#This Row],[Ethnicity]]="Black"), "Female_Black", "Others")</f>
        <v>Others</v>
      </c>
    </row>
    <row r="385" spans="1:17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7">
        <v>43948</v>
      </c>
      <c r="J385" s="1">
        <v>103058</v>
      </c>
      <c r="K385" s="2">
        <v>7.0000000000000007E-2</v>
      </c>
      <c r="L385" t="s">
        <v>19</v>
      </c>
      <c r="M385" t="s">
        <v>29</v>
      </c>
      <c r="N385" s="7" t="s">
        <v>21</v>
      </c>
      <c r="O385" s="1">
        <f>TBL_Employees[[#This Row],[Annual Salary]]+TBL_Employees[[#This Row],[Bonus %]]*TBL_Employees[[#This Row],[Annual Salary]]</f>
        <v>110272.06</v>
      </c>
      <c r="P385" t="str">
        <f>IF(AND(TBL_Employees[[#This Row],[Department]]="IT",TBL_Employees[[#This Row],[Gender]]="Female"),"Yes","No")</f>
        <v>Yes</v>
      </c>
      <c r="Q385" t="str">
        <f>IF(AND(TBL_Employees[[#This Row],[Gender]]="Female",TBL_Employees[[#This Row],[Ethnicity]]="Black"), "Female_Black", "Others")</f>
        <v>Others</v>
      </c>
    </row>
    <row r="386" spans="1:17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7">
        <v>41858</v>
      </c>
      <c r="J386" s="1">
        <v>117062</v>
      </c>
      <c r="K386" s="2">
        <v>7.0000000000000007E-2</v>
      </c>
      <c r="L386" t="s">
        <v>19</v>
      </c>
      <c r="M386" t="s">
        <v>39</v>
      </c>
      <c r="N386" s="7" t="s">
        <v>21</v>
      </c>
      <c r="O386" s="1">
        <f>TBL_Employees[[#This Row],[Annual Salary]]+TBL_Employees[[#This Row],[Bonus %]]*TBL_Employees[[#This Row],[Annual Salary]]</f>
        <v>125256.34</v>
      </c>
      <c r="P386" t="str">
        <f>IF(AND(TBL_Employees[[#This Row],[Department]]="IT",TBL_Employees[[#This Row],[Gender]]="Female"),"Yes","No")</f>
        <v>No</v>
      </c>
      <c r="Q386" t="str">
        <f>IF(AND(TBL_Employees[[#This Row],[Gender]]="Female",TBL_Employees[[#This Row],[Ethnicity]]="Black"), "Female_Black", "Others")</f>
        <v>Others</v>
      </c>
    </row>
    <row r="387" spans="1:17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7">
        <v>43488</v>
      </c>
      <c r="J387" s="1">
        <v>159031</v>
      </c>
      <c r="K387" s="2">
        <v>0.1</v>
      </c>
      <c r="L387" t="s">
        <v>19</v>
      </c>
      <c r="M387" t="s">
        <v>45</v>
      </c>
      <c r="N387" s="7" t="s">
        <v>21</v>
      </c>
      <c r="O387" s="1">
        <f>TBL_Employees[[#This Row],[Annual Salary]]+TBL_Employees[[#This Row],[Bonus %]]*TBL_Employees[[#This Row],[Annual Salary]]</f>
        <v>174934.1</v>
      </c>
      <c r="P387" t="str">
        <f>IF(AND(TBL_Employees[[#This Row],[Department]]="IT",TBL_Employees[[#This Row],[Gender]]="Female"),"Yes","No")</f>
        <v>No</v>
      </c>
      <c r="Q387" t="str">
        <f>IF(AND(TBL_Employees[[#This Row],[Gender]]="Female",TBL_Employees[[#This Row],[Ethnicity]]="Black"), "Female_Black", "Others")</f>
        <v>Others</v>
      </c>
    </row>
    <row r="388" spans="1:17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7">
        <v>38000</v>
      </c>
      <c r="J388" s="1">
        <v>125086</v>
      </c>
      <c r="K388" s="2">
        <v>0.1</v>
      </c>
      <c r="L388" t="s">
        <v>52</v>
      </c>
      <c r="M388" t="s">
        <v>53</v>
      </c>
      <c r="N388" s="7" t="s">
        <v>21</v>
      </c>
      <c r="O388" s="1">
        <f>TBL_Employees[[#This Row],[Annual Salary]]+TBL_Employees[[#This Row],[Bonus %]]*TBL_Employees[[#This Row],[Annual Salary]]</f>
        <v>137594.6</v>
      </c>
      <c r="P388" t="str">
        <f>IF(AND(TBL_Employees[[#This Row],[Department]]="IT",TBL_Employees[[#This Row],[Gender]]="Female"),"Yes","No")</f>
        <v>Yes</v>
      </c>
      <c r="Q388" t="str">
        <f>IF(AND(TBL_Employees[[#This Row],[Gender]]="Female",TBL_Employees[[#This Row],[Ethnicity]]="Black"), "Female_Black", "Others")</f>
        <v>Others</v>
      </c>
    </row>
    <row r="389" spans="1:17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7">
        <v>42467</v>
      </c>
      <c r="J389" s="1">
        <v>67976</v>
      </c>
      <c r="K389" s="2">
        <v>0</v>
      </c>
      <c r="L389" t="s">
        <v>19</v>
      </c>
      <c r="M389" t="s">
        <v>63</v>
      </c>
      <c r="N389" s="7" t="s">
        <v>21</v>
      </c>
      <c r="O389" s="1">
        <f>TBL_Employees[[#This Row],[Annual Salary]]+TBL_Employees[[#This Row],[Bonus %]]*TBL_Employees[[#This Row],[Annual Salary]]</f>
        <v>67976</v>
      </c>
      <c r="P389" t="str">
        <f>IF(AND(TBL_Employees[[#This Row],[Department]]="IT",TBL_Employees[[#This Row],[Gender]]="Female"),"Yes","No")</f>
        <v>No</v>
      </c>
      <c r="Q389" t="str">
        <f>IF(AND(TBL_Employees[[#This Row],[Gender]]="Female",TBL_Employees[[#This Row],[Ethnicity]]="Black"), "Female_Black", "Others")</f>
        <v>Others</v>
      </c>
    </row>
    <row r="390" spans="1:17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7">
        <v>44308</v>
      </c>
      <c r="J390" s="1">
        <v>74215</v>
      </c>
      <c r="K390" s="2">
        <v>0</v>
      </c>
      <c r="L390" t="s">
        <v>19</v>
      </c>
      <c r="M390" t="s">
        <v>39</v>
      </c>
      <c r="N390" s="7" t="s">
        <v>21</v>
      </c>
      <c r="O390" s="1">
        <f>TBL_Employees[[#This Row],[Annual Salary]]+TBL_Employees[[#This Row],[Bonus %]]*TBL_Employees[[#This Row],[Annual Salary]]</f>
        <v>74215</v>
      </c>
      <c r="P390" t="str">
        <f>IF(AND(TBL_Employees[[#This Row],[Department]]="IT",TBL_Employees[[#This Row],[Gender]]="Female"),"Yes","No")</f>
        <v>No</v>
      </c>
      <c r="Q390" t="str">
        <f>IF(AND(TBL_Employees[[#This Row],[Gender]]="Female",TBL_Employees[[#This Row],[Ethnicity]]="Black"), "Female_Black", "Others")</f>
        <v>Others</v>
      </c>
    </row>
    <row r="391" spans="1:17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7">
        <v>40340</v>
      </c>
      <c r="J391" s="1">
        <v>187389</v>
      </c>
      <c r="K391" s="2">
        <v>0.25</v>
      </c>
      <c r="L391" t="s">
        <v>33</v>
      </c>
      <c r="M391" t="s">
        <v>34</v>
      </c>
      <c r="N391" s="7" t="s">
        <v>21</v>
      </c>
      <c r="O391" s="1">
        <f>TBL_Employees[[#This Row],[Annual Salary]]+TBL_Employees[[#This Row],[Bonus %]]*TBL_Employees[[#This Row],[Annual Salary]]</f>
        <v>234236.25</v>
      </c>
      <c r="P391" t="str">
        <f>IF(AND(TBL_Employees[[#This Row],[Department]]="IT",TBL_Employees[[#This Row],[Gender]]="Female"),"Yes","No")</f>
        <v>No</v>
      </c>
      <c r="Q391" t="str">
        <f>IF(AND(TBL_Employees[[#This Row],[Gender]]="Female",TBL_Employees[[#This Row],[Ethnicity]]="Black"), "Female_Black", "Others")</f>
        <v>Others</v>
      </c>
    </row>
    <row r="392" spans="1:17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7">
        <v>39747</v>
      </c>
      <c r="J392" s="1">
        <v>131841</v>
      </c>
      <c r="K392" s="2">
        <v>0.13</v>
      </c>
      <c r="L392" t="s">
        <v>19</v>
      </c>
      <c r="M392" t="s">
        <v>29</v>
      </c>
      <c r="N392" s="7" t="s">
        <v>21</v>
      </c>
      <c r="O392" s="1">
        <f>TBL_Employees[[#This Row],[Annual Salary]]+TBL_Employees[[#This Row],[Bonus %]]*TBL_Employees[[#This Row],[Annual Salary]]</f>
        <v>148980.33000000002</v>
      </c>
      <c r="P392" t="str">
        <f>IF(AND(TBL_Employees[[#This Row],[Department]]="IT",TBL_Employees[[#This Row],[Gender]]="Female"),"Yes","No")</f>
        <v>No</v>
      </c>
      <c r="Q392" t="str">
        <f>IF(AND(TBL_Employees[[#This Row],[Gender]]="Female",TBL_Employees[[#This Row],[Ethnicity]]="Black"), "Female_Black", "Others")</f>
        <v>Others</v>
      </c>
    </row>
    <row r="393" spans="1:17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7">
        <v>40750</v>
      </c>
      <c r="J393" s="1">
        <v>97231</v>
      </c>
      <c r="K393" s="2">
        <v>0</v>
      </c>
      <c r="L393" t="s">
        <v>33</v>
      </c>
      <c r="M393" t="s">
        <v>60</v>
      </c>
      <c r="N393" s="7" t="s">
        <v>21</v>
      </c>
      <c r="O393" s="1">
        <f>TBL_Employees[[#This Row],[Annual Salary]]+TBL_Employees[[#This Row],[Bonus %]]*TBL_Employees[[#This Row],[Annual Salary]]</f>
        <v>97231</v>
      </c>
      <c r="P393" t="str">
        <f>IF(AND(TBL_Employees[[#This Row],[Department]]="IT",TBL_Employees[[#This Row],[Gender]]="Female"),"Yes","No")</f>
        <v>No</v>
      </c>
      <c r="Q393" t="str">
        <f>IF(AND(TBL_Employees[[#This Row],[Gender]]="Female",TBL_Employees[[#This Row],[Ethnicity]]="Black"), "Female_Black", "Others")</f>
        <v>Others</v>
      </c>
    </row>
    <row r="394" spans="1:17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7">
        <v>38060</v>
      </c>
      <c r="J394" s="1">
        <v>155004</v>
      </c>
      <c r="K394" s="2">
        <v>0.12</v>
      </c>
      <c r="L394" t="s">
        <v>19</v>
      </c>
      <c r="M394" t="s">
        <v>25</v>
      </c>
      <c r="N394" s="7" t="s">
        <v>21</v>
      </c>
      <c r="O394" s="1">
        <f>TBL_Employees[[#This Row],[Annual Salary]]+TBL_Employees[[#This Row],[Bonus %]]*TBL_Employees[[#This Row],[Annual Salary]]</f>
        <v>173604.48000000001</v>
      </c>
      <c r="P394" t="str">
        <f>IF(AND(TBL_Employees[[#This Row],[Department]]="IT",TBL_Employees[[#This Row],[Gender]]="Female"),"Yes","No")</f>
        <v>No</v>
      </c>
      <c r="Q394" t="str">
        <f>IF(AND(TBL_Employees[[#This Row],[Gender]]="Female",TBL_Employees[[#This Row],[Ethnicity]]="Black"), "Female_Black", "Others")</f>
        <v>Others</v>
      </c>
    </row>
    <row r="395" spans="1:17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7">
        <v>39293</v>
      </c>
      <c r="J395" s="1">
        <v>41859</v>
      </c>
      <c r="K395" s="2">
        <v>0</v>
      </c>
      <c r="L395" t="s">
        <v>19</v>
      </c>
      <c r="M395" t="s">
        <v>63</v>
      </c>
      <c r="N395" s="7" t="s">
        <v>21</v>
      </c>
      <c r="O395" s="1">
        <f>TBL_Employees[[#This Row],[Annual Salary]]+TBL_Employees[[#This Row],[Bonus %]]*TBL_Employees[[#This Row],[Annual Salary]]</f>
        <v>41859</v>
      </c>
      <c r="P395" t="str">
        <f>IF(AND(TBL_Employees[[#This Row],[Department]]="IT",TBL_Employees[[#This Row],[Gender]]="Female"),"Yes","No")</f>
        <v>No</v>
      </c>
      <c r="Q395" t="str">
        <f>IF(AND(TBL_Employees[[#This Row],[Gender]]="Female",TBL_Employees[[#This Row],[Ethnicity]]="Black"), "Female_Black", "Others")</f>
        <v>Others</v>
      </c>
    </row>
    <row r="396" spans="1:17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7">
        <v>38984</v>
      </c>
      <c r="J396" s="1">
        <v>52733</v>
      </c>
      <c r="K396" s="2">
        <v>0</v>
      </c>
      <c r="L396" t="s">
        <v>19</v>
      </c>
      <c r="M396" t="s">
        <v>20</v>
      </c>
      <c r="N396" s="7" t="s">
        <v>21</v>
      </c>
      <c r="O396" s="1">
        <f>TBL_Employees[[#This Row],[Annual Salary]]+TBL_Employees[[#This Row],[Bonus %]]*TBL_Employees[[#This Row],[Annual Salary]]</f>
        <v>52733</v>
      </c>
      <c r="P396" t="str">
        <f>IF(AND(TBL_Employees[[#This Row],[Department]]="IT",TBL_Employees[[#This Row],[Gender]]="Female"),"Yes","No")</f>
        <v>No</v>
      </c>
      <c r="Q396" t="str">
        <f>IF(AND(TBL_Employees[[#This Row],[Gender]]="Female",TBL_Employees[[#This Row],[Ethnicity]]="Black"), "Female_Black", "Others")</f>
        <v>Others</v>
      </c>
    </row>
    <row r="397" spans="1:17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7">
        <v>42250</v>
      </c>
      <c r="J397" s="1">
        <v>250953</v>
      </c>
      <c r="K397" s="2">
        <v>0.34</v>
      </c>
      <c r="L397" t="s">
        <v>19</v>
      </c>
      <c r="M397" t="s">
        <v>29</v>
      </c>
      <c r="N397" s="7" t="s">
        <v>21</v>
      </c>
      <c r="O397" s="1">
        <f>TBL_Employees[[#This Row],[Annual Salary]]+TBL_Employees[[#This Row],[Bonus %]]*TBL_Employees[[#This Row],[Annual Salary]]</f>
        <v>336277.02</v>
      </c>
      <c r="P397" t="str">
        <f>IF(AND(TBL_Employees[[#This Row],[Department]]="IT",TBL_Employees[[#This Row],[Gender]]="Female"),"Yes","No")</f>
        <v>No</v>
      </c>
      <c r="Q397" t="str">
        <f>IF(AND(TBL_Employees[[#This Row],[Gender]]="Female",TBL_Employees[[#This Row],[Ethnicity]]="Black"), "Female_Black", "Others")</f>
        <v>Others</v>
      </c>
    </row>
    <row r="398" spans="1:17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7">
        <v>36210</v>
      </c>
      <c r="J398" s="1">
        <v>191807</v>
      </c>
      <c r="K398" s="2">
        <v>0.21</v>
      </c>
      <c r="L398" t="s">
        <v>33</v>
      </c>
      <c r="M398" t="s">
        <v>80</v>
      </c>
      <c r="N398" s="7" t="s">
        <v>21</v>
      </c>
      <c r="O398" s="1">
        <f>TBL_Employees[[#This Row],[Annual Salary]]+TBL_Employees[[#This Row],[Bonus %]]*TBL_Employees[[#This Row],[Annual Salary]]</f>
        <v>232086.47</v>
      </c>
      <c r="P398" t="str">
        <f>IF(AND(TBL_Employees[[#This Row],[Department]]="IT",TBL_Employees[[#This Row],[Gender]]="Female"),"Yes","No")</f>
        <v>No</v>
      </c>
      <c r="Q398" t="str">
        <f>IF(AND(TBL_Employees[[#This Row],[Gender]]="Female",TBL_Employees[[#This Row],[Ethnicity]]="Black"), "Female_Black", "Others")</f>
        <v>Others</v>
      </c>
    </row>
    <row r="399" spans="1:17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7">
        <v>41813</v>
      </c>
      <c r="J399" s="1">
        <v>64677</v>
      </c>
      <c r="K399" s="2">
        <v>0</v>
      </c>
      <c r="L399" t="s">
        <v>33</v>
      </c>
      <c r="M399" t="s">
        <v>80</v>
      </c>
      <c r="N399" s="7" t="s">
        <v>21</v>
      </c>
      <c r="O399" s="1">
        <f>TBL_Employees[[#This Row],[Annual Salary]]+TBL_Employees[[#This Row],[Bonus %]]*TBL_Employees[[#This Row],[Annual Salary]]</f>
        <v>64677</v>
      </c>
      <c r="P399" t="str">
        <f>IF(AND(TBL_Employees[[#This Row],[Department]]="IT",TBL_Employees[[#This Row],[Gender]]="Female"),"Yes","No")</f>
        <v>No</v>
      </c>
      <c r="Q399" t="str">
        <f>IF(AND(TBL_Employees[[#This Row],[Gender]]="Female",TBL_Employees[[#This Row],[Ethnicity]]="Black"), "Female_Black", "Others")</f>
        <v>Others</v>
      </c>
    </row>
    <row r="400" spans="1:17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7">
        <v>38244</v>
      </c>
      <c r="J400" s="1">
        <v>130274</v>
      </c>
      <c r="K400" s="2">
        <v>0.11</v>
      </c>
      <c r="L400" t="s">
        <v>19</v>
      </c>
      <c r="M400" t="s">
        <v>20</v>
      </c>
      <c r="N400" s="7" t="s">
        <v>21</v>
      </c>
      <c r="O400" s="1">
        <f>TBL_Employees[[#This Row],[Annual Salary]]+TBL_Employees[[#This Row],[Bonus %]]*TBL_Employees[[#This Row],[Annual Salary]]</f>
        <v>144604.14000000001</v>
      </c>
      <c r="P400" t="str">
        <f>IF(AND(TBL_Employees[[#This Row],[Department]]="IT",TBL_Employees[[#This Row],[Gender]]="Female"),"Yes","No")</f>
        <v>No</v>
      </c>
      <c r="Q400" t="str">
        <f>IF(AND(TBL_Employees[[#This Row],[Gender]]="Female",TBL_Employees[[#This Row],[Ethnicity]]="Black"), "Female_Black", "Others")</f>
        <v>Others</v>
      </c>
    </row>
    <row r="401" spans="1:17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7">
        <v>42922</v>
      </c>
      <c r="J401" s="1">
        <v>96331</v>
      </c>
      <c r="K401" s="2">
        <v>0</v>
      </c>
      <c r="L401" t="s">
        <v>33</v>
      </c>
      <c r="M401" t="s">
        <v>74</v>
      </c>
      <c r="N401" s="7" t="s">
        <v>21</v>
      </c>
      <c r="O401" s="1">
        <f>TBL_Employees[[#This Row],[Annual Salary]]+TBL_Employees[[#This Row],[Bonus %]]*TBL_Employees[[#This Row],[Annual Salary]]</f>
        <v>96331</v>
      </c>
      <c r="P401" t="str">
        <f>IF(AND(TBL_Employees[[#This Row],[Department]]="IT",TBL_Employees[[#This Row],[Gender]]="Female"),"Yes","No")</f>
        <v>No</v>
      </c>
      <c r="Q401" t="str">
        <f>IF(AND(TBL_Employees[[#This Row],[Gender]]="Female",TBL_Employees[[#This Row],[Ethnicity]]="Black"), "Female_Black", "Others")</f>
        <v>Others</v>
      </c>
    </row>
    <row r="402" spans="1:17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7">
        <v>38835</v>
      </c>
      <c r="J402" s="1">
        <v>150758</v>
      </c>
      <c r="K402" s="2">
        <v>0.13</v>
      </c>
      <c r="L402" t="s">
        <v>19</v>
      </c>
      <c r="M402" t="s">
        <v>20</v>
      </c>
      <c r="N402" s="7">
        <v>39310</v>
      </c>
      <c r="O402" s="1">
        <f>TBL_Employees[[#This Row],[Annual Salary]]+TBL_Employees[[#This Row],[Bonus %]]*TBL_Employees[[#This Row],[Annual Salary]]</f>
        <v>170356.54</v>
      </c>
      <c r="P402" t="str">
        <f>IF(AND(TBL_Employees[[#This Row],[Department]]="IT",TBL_Employees[[#This Row],[Gender]]="Female"),"Yes","No")</f>
        <v>No</v>
      </c>
      <c r="Q402" t="str">
        <f>IF(AND(TBL_Employees[[#This Row],[Gender]]="Female",TBL_Employees[[#This Row],[Ethnicity]]="Black"), "Female_Black", "Others")</f>
        <v>Others</v>
      </c>
    </row>
    <row r="403" spans="1:17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7">
        <v>41839</v>
      </c>
      <c r="J403" s="1">
        <v>173629</v>
      </c>
      <c r="K403" s="2">
        <v>0.21</v>
      </c>
      <c r="L403" t="s">
        <v>52</v>
      </c>
      <c r="M403" t="s">
        <v>53</v>
      </c>
      <c r="N403" s="7" t="s">
        <v>21</v>
      </c>
      <c r="O403" s="1">
        <f>TBL_Employees[[#This Row],[Annual Salary]]+TBL_Employees[[#This Row],[Bonus %]]*TBL_Employees[[#This Row],[Annual Salary]]</f>
        <v>210091.09</v>
      </c>
      <c r="P403" t="str">
        <f>IF(AND(TBL_Employees[[#This Row],[Department]]="IT",TBL_Employees[[#This Row],[Gender]]="Female"),"Yes","No")</f>
        <v>No</v>
      </c>
      <c r="Q403" t="str">
        <f>IF(AND(TBL_Employees[[#This Row],[Gender]]="Female",TBL_Employees[[#This Row],[Ethnicity]]="Black"), "Female_Black", "Others")</f>
        <v>Others</v>
      </c>
    </row>
    <row r="404" spans="1:17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7">
        <v>35919</v>
      </c>
      <c r="J404" s="1">
        <v>62174</v>
      </c>
      <c r="K404" s="2">
        <v>0</v>
      </c>
      <c r="L404" t="s">
        <v>19</v>
      </c>
      <c r="M404" t="s">
        <v>20</v>
      </c>
      <c r="N404" s="7" t="s">
        <v>21</v>
      </c>
      <c r="O404" s="1">
        <f>TBL_Employees[[#This Row],[Annual Salary]]+TBL_Employees[[#This Row],[Bonus %]]*TBL_Employees[[#This Row],[Annual Salary]]</f>
        <v>62174</v>
      </c>
      <c r="P404" t="str">
        <f>IF(AND(TBL_Employees[[#This Row],[Department]]="IT",TBL_Employees[[#This Row],[Gender]]="Female"),"Yes","No")</f>
        <v>No</v>
      </c>
      <c r="Q404" t="str">
        <f>IF(AND(TBL_Employees[[#This Row],[Gender]]="Female",TBL_Employees[[#This Row],[Ethnicity]]="Black"), "Female_Black", "Others")</f>
        <v>Others</v>
      </c>
    </row>
    <row r="405" spans="1:17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7">
        <v>43028</v>
      </c>
      <c r="J405" s="1">
        <v>56555</v>
      </c>
      <c r="K405" s="2">
        <v>0</v>
      </c>
      <c r="L405" t="s">
        <v>19</v>
      </c>
      <c r="M405" t="s">
        <v>39</v>
      </c>
      <c r="N405" s="7" t="s">
        <v>21</v>
      </c>
      <c r="O405" s="1">
        <f>TBL_Employees[[#This Row],[Annual Salary]]+TBL_Employees[[#This Row],[Bonus %]]*TBL_Employees[[#This Row],[Annual Salary]]</f>
        <v>56555</v>
      </c>
      <c r="P405" t="str">
        <f>IF(AND(TBL_Employees[[#This Row],[Department]]="IT",TBL_Employees[[#This Row],[Gender]]="Female"),"Yes","No")</f>
        <v>No</v>
      </c>
      <c r="Q405" t="str">
        <f>IF(AND(TBL_Employees[[#This Row],[Gender]]="Female",TBL_Employees[[#This Row],[Ethnicity]]="Black"), "Female_Black", "Others")</f>
        <v>Others</v>
      </c>
    </row>
    <row r="406" spans="1:17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7">
        <v>38623</v>
      </c>
      <c r="J406" s="1">
        <v>74655</v>
      </c>
      <c r="K406" s="2">
        <v>0</v>
      </c>
      <c r="L406" t="s">
        <v>19</v>
      </c>
      <c r="M406" t="s">
        <v>25</v>
      </c>
      <c r="N406" s="7" t="s">
        <v>21</v>
      </c>
      <c r="O406" s="1">
        <f>TBL_Employees[[#This Row],[Annual Salary]]+TBL_Employees[[#This Row],[Bonus %]]*TBL_Employees[[#This Row],[Annual Salary]]</f>
        <v>74655</v>
      </c>
      <c r="P406" t="str">
        <f>IF(AND(TBL_Employees[[#This Row],[Department]]="IT",TBL_Employees[[#This Row],[Gender]]="Female"),"Yes","No")</f>
        <v>No</v>
      </c>
      <c r="Q406" t="str">
        <f>IF(AND(TBL_Employees[[#This Row],[Gender]]="Female",TBL_Employees[[#This Row],[Ethnicity]]="Black"), "Female_Black", "Others")</f>
        <v>Others</v>
      </c>
    </row>
    <row r="407" spans="1:17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7">
        <v>37844</v>
      </c>
      <c r="J407" s="1">
        <v>93017</v>
      </c>
      <c r="K407" s="2">
        <v>0</v>
      </c>
      <c r="L407" t="s">
        <v>19</v>
      </c>
      <c r="M407" t="s">
        <v>63</v>
      </c>
      <c r="N407" s="7" t="s">
        <v>21</v>
      </c>
      <c r="O407" s="1">
        <f>TBL_Employees[[#This Row],[Annual Salary]]+TBL_Employees[[#This Row],[Bonus %]]*TBL_Employees[[#This Row],[Annual Salary]]</f>
        <v>93017</v>
      </c>
      <c r="P407" t="str">
        <f>IF(AND(TBL_Employees[[#This Row],[Department]]="IT",TBL_Employees[[#This Row],[Gender]]="Female"),"Yes","No")</f>
        <v>No</v>
      </c>
      <c r="Q407" t="str">
        <f>IF(AND(TBL_Employees[[#This Row],[Gender]]="Female",TBL_Employees[[#This Row],[Ethnicity]]="Black"), "Female_Black", "Others")</f>
        <v>Others</v>
      </c>
    </row>
    <row r="408" spans="1:17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7">
        <v>41013</v>
      </c>
      <c r="J408" s="1">
        <v>82300</v>
      </c>
      <c r="K408" s="2">
        <v>0</v>
      </c>
      <c r="L408" t="s">
        <v>33</v>
      </c>
      <c r="M408" t="s">
        <v>34</v>
      </c>
      <c r="N408" s="7" t="s">
        <v>21</v>
      </c>
      <c r="O408" s="1">
        <f>TBL_Employees[[#This Row],[Annual Salary]]+TBL_Employees[[#This Row],[Bonus %]]*TBL_Employees[[#This Row],[Annual Salary]]</f>
        <v>82300</v>
      </c>
      <c r="P408" t="str">
        <f>IF(AND(TBL_Employees[[#This Row],[Department]]="IT",TBL_Employees[[#This Row],[Gender]]="Female"),"Yes","No")</f>
        <v>No</v>
      </c>
      <c r="Q408" t="str">
        <f>IF(AND(TBL_Employees[[#This Row],[Gender]]="Female",TBL_Employees[[#This Row],[Ethnicity]]="Black"), "Female_Black", "Others")</f>
        <v>Others</v>
      </c>
    </row>
    <row r="409" spans="1:17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7">
        <v>39471</v>
      </c>
      <c r="J409" s="1">
        <v>91621</v>
      </c>
      <c r="K409" s="2">
        <v>0</v>
      </c>
      <c r="L409" t="s">
        <v>19</v>
      </c>
      <c r="M409" t="s">
        <v>20</v>
      </c>
      <c r="N409" s="7" t="s">
        <v>21</v>
      </c>
      <c r="O409" s="1">
        <f>TBL_Employees[[#This Row],[Annual Salary]]+TBL_Employees[[#This Row],[Bonus %]]*TBL_Employees[[#This Row],[Annual Salary]]</f>
        <v>91621</v>
      </c>
      <c r="P409" t="str">
        <f>IF(AND(TBL_Employees[[#This Row],[Department]]="IT",TBL_Employees[[#This Row],[Gender]]="Female"),"Yes","No")</f>
        <v>No</v>
      </c>
      <c r="Q409" t="str">
        <f>IF(AND(TBL_Employees[[#This Row],[Gender]]="Female",TBL_Employees[[#This Row],[Ethnicity]]="Black"), "Female_Black", "Others")</f>
        <v>Others</v>
      </c>
    </row>
    <row r="410" spans="1:17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7">
        <v>41973</v>
      </c>
      <c r="J410" s="1">
        <v>91280</v>
      </c>
      <c r="K410" s="2">
        <v>0</v>
      </c>
      <c r="L410" t="s">
        <v>19</v>
      </c>
      <c r="M410" t="s">
        <v>45</v>
      </c>
      <c r="N410" s="7" t="s">
        <v>21</v>
      </c>
      <c r="O410" s="1">
        <f>TBL_Employees[[#This Row],[Annual Salary]]+TBL_Employees[[#This Row],[Bonus %]]*TBL_Employees[[#This Row],[Annual Salary]]</f>
        <v>91280</v>
      </c>
      <c r="P410" t="str">
        <f>IF(AND(TBL_Employees[[#This Row],[Department]]="IT",TBL_Employees[[#This Row],[Gender]]="Female"),"Yes","No")</f>
        <v>No</v>
      </c>
      <c r="Q410" t="str">
        <f>IF(AND(TBL_Employees[[#This Row],[Gender]]="Female",TBL_Employees[[#This Row],[Ethnicity]]="Black"), "Female_Black", "Others")</f>
        <v>Others</v>
      </c>
    </row>
    <row r="411" spans="1:17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7">
        <v>44092</v>
      </c>
      <c r="J411" s="1">
        <v>47071</v>
      </c>
      <c r="K411" s="2">
        <v>0</v>
      </c>
      <c r="L411" t="s">
        <v>19</v>
      </c>
      <c r="M411" t="s">
        <v>29</v>
      </c>
      <c r="N411" s="7" t="s">
        <v>21</v>
      </c>
      <c r="O411" s="1">
        <f>TBL_Employees[[#This Row],[Annual Salary]]+TBL_Employees[[#This Row],[Bonus %]]*TBL_Employees[[#This Row],[Annual Salary]]</f>
        <v>47071</v>
      </c>
      <c r="P411" t="str">
        <f>IF(AND(TBL_Employees[[#This Row],[Department]]="IT",TBL_Employees[[#This Row],[Gender]]="Female"),"Yes","No")</f>
        <v>No</v>
      </c>
      <c r="Q411" t="str">
        <f>IF(AND(TBL_Employees[[#This Row],[Gender]]="Female",TBL_Employees[[#This Row],[Ethnicity]]="Black"), "Female_Black", "Others")</f>
        <v>Female_Black</v>
      </c>
    </row>
    <row r="412" spans="1:17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7">
        <v>40868</v>
      </c>
      <c r="J412" s="1">
        <v>81218</v>
      </c>
      <c r="K412" s="2">
        <v>0</v>
      </c>
      <c r="L412" t="s">
        <v>19</v>
      </c>
      <c r="M412" t="s">
        <v>20</v>
      </c>
      <c r="N412" s="7" t="s">
        <v>21</v>
      </c>
      <c r="O412" s="1">
        <f>TBL_Employees[[#This Row],[Annual Salary]]+TBL_Employees[[#This Row],[Bonus %]]*TBL_Employees[[#This Row],[Annual Salary]]</f>
        <v>81218</v>
      </c>
      <c r="P412" t="str">
        <f>IF(AND(TBL_Employees[[#This Row],[Department]]="IT",TBL_Employees[[#This Row],[Gender]]="Female"),"Yes","No")</f>
        <v>Yes</v>
      </c>
      <c r="Q412" t="str">
        <f>IF(AND(TBL_Employees[[#This Row],[Gender]]="Female",TBL_Employees[[#This Row],[Ethnicity]]="Black"), "Female_Black", "Others")</f>
        <v>Others</v>
      </c>
    </row>
    <row r="413" spans="1:17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7">
        <v>39734</v>
      </c>
      <c r="J413" s="1">
        <v>181801</v>
      </c>
      <c r="K413" s="2">
        <v>0.4</v>
      </c>
      <c r="L413" t="s">
        <v>33</v>
      </c>
      <c r="M413" t="s">
        <v>80</v>
      </c>
      <c r="N413" s="7">
        <v>43810</v>
      </c>
      <c r="O413" s="1">
        <f>TBL_Employees[[#This Row],[Annual Salary]]+TBL_Employees[[#This Row],[Bonus %]]*TBL_Employees[[#This Row],[Annual Salary]]</f>
        <v>254521.40000000002</v>
      </c>
      <c r="P413" t="str">
        <f>IF(AND(TBL_Employees[[#This Row],[Department]]="IT",TBL_Employees[[#This Row],[Gender]]="Female"),"Yes","No")</f>
        <v>No</v>
      </c>
      <c r="Q413" t="str">
        <f>IF(AND(TBL_Employees[[#This Row],[Gender]]="Female",TBL_Employees[[#This Row],[Ethnicity]]="Black"), "Female_Black", "Others")</f>
        <v>Others</v>
      </c>
    </row>
    <row r="414" spans="1:17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7">
        <v>44521</v>
      </c>
      <c r="J414" s="1">
        <v>63137</v>
      </c>
      <c r="K414" s="2">
        <v>0</v>
      </c>
      <c r="L414" t="s">
        <v>19</v>
      </c>
      <c r="M414" t="s">
        <v>20</v>
      </c>
      <c r="N414" s="7" t="s">
        <v>21</v>
      </c>
      <c r="O414" s="1">
        <f>TBL_Employees[[#This Row],[Annual Salary]]+TBL_Employees[[#This Row],[Bonus %]]*TBL_Employees[[#This Row],[Annual Salary]]</f>
        <v>63137</v>
      </c>
      <c r="P414" t="str">
        <f>IF(AND(TBL_Employees[[#This Row],[Department]]="IT",TBL_Employees[[#This Row],[Gender]]="Female"),"Yes","No")</f>
        <v>No</v>
      </c>
      <c r="Q414" t="str">
        <f>IF(AND(TBL_Employees[[#This Row],[Gender]]="Female",TBL_Employees[[#This Row],[Ethnicity]]="Black"), "Female_Black", "Others")</f>
        <v>Others</v>
      </c>
    </row>
    <row r="415" spans="1:17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7">
        <v>43345</v>
      </c>
      <c r="J415" s="1">
        <v>221465</v>
      </c>
      <c r="K415" s="2">
        <v>0.34</v>
      </c>
      <c r="L415" t="s">
        <v>33</v>
      </c>
      <c r="M415" t="s">
        <v>34</v>
      </c>
      <c r="N415" s="7" t="s">
        <v>21</v>
      </c>
      <c r="O415" s="1">
        <f>TBL_Employees[[#This Row],[Annual Salary]]+TBL_Employees[[#This Row],[Bonus %]]*TBL_Employees[[#This Row],[Annual Salary]]</f>
        <v>296763.09999999998</v>
      </c>
      <c r="P415" t="str">
        <f>IF(AND(TBL_Employees[[#This Row],[Department]]="IT",TBL_Employees[[#This Row],[Gender]]="Female"),"Yes","No")</f>
        <v>No</v>
      </c>
      <c r="Q415" t="str">
        <f>IF(AND(TBL_Employees[[#This Row],[Gender]]="Female",TBL_Employees[[#This Row],[Ethnicity]]="Black"), "Female_Black", "Others")</f>
        <v>Others</v>
      </c>
    </row>
    <row r="416" spans="1:17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7">
        <v>41404</v>
      </c>
      <c r="J416" s="1">
        <v>79388</v>
      </c>
      <c r="K416" s="2">
        <v>0</v>
      </c>
      <c r="L416" t="s">
        <v>19</v>
      </c>
      <c r="M416" t="s">
        <v>25</v>
      </c>
      <c r="N416" s="7">
        <v>43681</v>
      </c>
      <c r="O416" s="1">
        <f>TBL_Employees[[#This Row],[Annual Salary]]+TBL_Employees[[#This Row],[Bonus %]]*TBL_Employees[[#This Row],[Annual Salary]]</f>
        <v>79388</v>
      </c>
      <c r="P416" t="str">
        <f>IF(AND(TBL_Employees[[#This Row],[Department]]="IT",TBL_Employees[[#This Row],[Gender]]="Female"),"Yes","No")</f>
        <v>No</v>
      </c>
      <c r="Q416" t="str">
        <f>IF(AND(TBL_Employees[[#This Row],[Gender]]="Female",TBL_Employees[[#This Row],[Ethnicity]]="Black"), "Female_Black", "Others")</f>
        <v>Others</v>
      </c>
    </row>
    <row r="417" spans="1:17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7">
        <v>43122</v>
      </c>
      <c r="J417" s="1">
        <v>68176</v>
      </c>
      <c r="K417" s="2">
        <v>0</v>
      </c>
      <c r="L417" t="s">
        <v>19</v>
      </c>
      <c r="M417" t="s">
        <v>63</v>
      </c>
      <c r="N417" s="7" t="s">
        <v>21</v>
      </c>
      <c r="O417" s="1">
        <f>TBL_Employees[[#This Row],[Annual Salary]]+TBL_Employees[[#This Row],[Bonus %]]*TBL_Employees[[#This Row],[Annual Salary]]</f>
        <v>68176</v>
      </c>
      <c r="P417" t="str">
        <f>IF(AND(TBL_Employees[[#This Row],[Department]]="IT",TBL_Employees[[#This Row],[Gender]]="Female"),"Yes","No")</f>
        <v>Yes</v>
      </c>
      <c r="Q417" t="str">
        <f>IF(AND(TBL_Employees[[#This Row],[Gender]]="Female",TBL_Employees[[#This Row],[Ethnicity]]="Black"), "Female_Black", "Others")</f>
        <v>Others</v>
      </c>
    </row>
    <row r="418" spans="1:17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7">
        <v>43756</v>
      </c>
      <c r="J418" s="1">
        <v>122829</v>
      </c>
      <c r="K418" s="2">
        <v>0.11</v>
      </c>
      <c r="L418" t="s">
        <v>19</v>
      </c>
      <c r="M418" t="s">
        <v>20</v>
      </c>
      <c r="N418" s="7" t="s">
        <v>21</v>
      </c>
      <c r="O418" s="1">
        <f>TBL_Employees[[#This Row],[Annual Salary]]+TBL_Employees[[#This Row],[Bonus %]]*TBL_Employees[[#This Row],[Annual Salary]]</f>
        <v>136340.19</v>
      </c>
      <c r="P418" t="str">
        <f>IF(AND(TBL_Employees[[#This Row],[Department]]="IT",TBL_Employees[[#This Row],[Gender]]="Female"),"Yes","No")</f>
        <v>No</v>
      </c>
      <c r="Q418" t="str">
        <f>IF(AND(TBL_Employees[[#This Row],[Gender]]="Female",TBL_Employees[[#This Row],[Ethnicity]]="Black"), "Female_Black", "Others")</f>
        <v>Others</v>
      </c>
    </row>
    <row r="419" spans="1:17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7">
        <v>43695</v>
      </c>
      <c r="J419" s="1">
        <v>126353</v>
      </c>
      <c r="K419" s="2">
        <v>0.12</v>
      </c>
      <c r="L419" t="s">
        <v>33</v>
      </c>
      <c r="M419" t="s">
        <v>74</v>
      </c>
      <c r="N419" s="7" t="s">
        <v>21</v>
      </c>
      <c r="O419" s="1">
        <f>TBL_Employees[[#This Row],[Annual Salary]]+TBL_Employees[[#This Row],[Bonus %]]*TBL_Employees[[#This Row],[Annual Salary]]</f>
        <v>141515.35999999999</v>
      </c>
      <c r="P419" t="str">
        <f>IF(AND(TBL_Employees[[#This Row],[Department]]="IT",TBL_Employees[[#This Row],[Gender]]="Female"),"Yes","No")</f>
        <v>No</v>
      </c>
      <c r="Q419" t="str">
        <f>IF(AND(TBL_Employees[[#This Row],[Gender]]="Female",TBL_Employees[[#This Row],[Ethnicity]]="Black"), "Female_Black", "Others")</f>
        <v>Others</v>
      </c>
    </row>
    <row r="420" spans="1:17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7">
        <v>40468</v>
      </c>
      <c r="J420" s="1">
        <v>188727</v>
      </c>
      <c r="K420" s="2">
        <v>0.23</v>
      </c>
      <c r="L420" t="s">
        <v>33</v>
      </c>
      <c r="M420" t="s">
        <v>34</v>
      </c>
      <c r="N420" s="7" t="s">
        <v>21</v>
      </c>
      <c r="O420" s="1">
        <f>TBL_Employees[[#This Row],[Annual Salary]]+TBL_Employees[[#This Row],[Bonus %]]*TBL_Employees[[#This Row],[Annual Salary]]</f>
        <v>232134.21</v>
      </c>
      <c r="P420" t="str">
        <f>IF(AND(TBL_Employees[[#This Row],[Department]]="IT",TBL_Employees[[#This Row],[Gender]]="Female"),"Yes","No")</f>
        <v>No</v>
      </c>
      <c r="Q420" t="str">
        <f>IF(AND(TBL_Employees[[#This Row],[Gender]]="Female",TBL_Employees[[#This Row],[Ethnicity]]="Black"), "Female_Black", "Others")</f>
        <v>Others</v>
      </c>
    </row>
    <row r="421" spans="1:17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7">
        <v>34383</v>
      </c>
      <c r="J421" s="1">
        <v>99624</v>
      </c>
      <c r="K421" s="2">
        <v>0</v>
      </c>
      <c r="L421" t="s">
        <v>19</v>
      </c>
      <c r="M421" t="s">
        <v>63</v>
      </c>
      <c r="N421" s="7" t="s">
        <v>21</v>
      </c>
      <c r="O421" s="1">
        <f>TBL_Employees[[#This Row],[Annual Salary]]+TBL_Employees[[#This Row],[Bonus %]]*TBL_Employees[[#This Row],[Annual Salary]]</f>
        <v>99624</v>
      </c>
      <c r="P421" t="str">
        <f>IF(AND(TBL_Employees[[#This Row],[Department]]="IT",TBL_Employees[[#This Row],[Gender]]="Female"),"Yes","No")</f>
        <v>No</v>
      </c>
      <c r="Q421" t="str">
        <f>IF(AND(TBL_Employees[[#This Row],[Gender]]="Female",TBL_Employees[[#This Row],[Ethnicity]]="Black"), "Female_Black", "Others")</f>
        <v>Others</v>
      </c>
    </row>
    <row r="422" spans="1:17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7">
        <v>41202</v>
      </c>
      <c r="J422" s="1">
        <v>108686</v>
      </c>
      <c r="K422" s="2">
        <v>0.06</v>
      </c>
      <c r="L422" t="s">
        <v>19</v>
      </c>
      <c r="M422" t="s">
        <v>29</v>
      </c>
      <c r="N422" s="7" t="s">
        <v>21</v>
      </c>
      <c r="O422" s="1">
        <f>TBL_Employees[[#This Row],[Annual Salary]]+TBL_Employees[[#This Row],[Bonus %]]*TBL_Employees[[#This Row],[Annual Salary]]</f>
        <v>115207.16</v>
      </c>
      <c r="P422" t="str">
        <f>IF(AND(TBL_Employees[[#This Row],[Department]]="IT",TBL_Employees[[#This Row],[Gender]]="Female"),"Yes","No")</f>
        <v>No</v>
      </c>
      <c r="Q422" t="str">
        <f>IF(AND(TBL_Employees[[#This Row],[Gender]]="Female",TBL_Employees[[#This Row],[Ethnicity]]="Black"), "Female_Black", "Others")</f>
        <v>Others</v>
      </c>
    </row>
    <row r="423" spans="1:17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7">
        <v>34802</v>
      </c>
      <c r="J423" s="1">
        <v>50857</v>
      </c>
      <c r="K423" s="2">
        <v>0</v>
      </c>
      <c r="L423" t="s">
        <v>52</v>
      </c>
      <c r="M423" t="s">
        <v>81</v>
      </c>
      <c r="N423" s="7" t="s">
        <v>21</v>
      </c>
      <c r="O423" s="1">
        <f>TBL_Employees[[#This Row],[Annual Salary]]+TBL_Employees[[#This Row],[Bonus %]]*TBL_Employees[[#This Row],[Annual Salary]]</f>
        <v>50857</v>
      </c>
      <c r="P423" t="str">
        <f>IF(AND(TBL_Employees[[#This Row],[Department]]="IT",TBL_Employees[[#This Row],[Gender]]="Female"),"Yes","No")</f>
        <v>No</v>
      </c>
      <c r="Q423" t="str">
        <f>IF(AND(TBL_Employees[[#This Row],[Gender]]="Female",TBL_Employees[[#This Row],[Ethnicity]]="Black"), "Female_Black", "Others")</f>
        <v>Others</v>
      </c>
    </row>
    <row r="424" spans="1:17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7">
        <v>36893</v>
      </c>
      <c r="J424" s="1">
        <v>120628</v>
      </c>
      <c r="K424" s="2">
        <v>0</v>
      </c>
      <c r="L424" t="s">
        <v>19</v>
      </c>
      <c r="M424" t="s">
        <v>20</v>
      </c>
      <c r="N424" s="7" t="s">
        <v>21</v>
      </c>
      <c r="O424" s="1">
        <f>TBL_Employees[[#This Row],[Annual Salary]]+TBL_Employees[[#This Row],[Bonus %]]*TBL_Employees[[#This Row],[Annual Salary]]</f>
        <v>120628</v>
      </c>
      <c r="P424" t="str">
        <f>IF(AND(TBL_Employees[[#This Row],[Department]]="IT",TBL_Employees[[#This Row],[Gender]]="Female"),"Yes","No")</f>
        <v>No</v>
      </c>
      <c r="Q424" t="str">
        <f>IF(AND(TBL_Employees[[#This Row],[Gender]]="Female",TBL_Employees[[#This Row],[Ethnicity]]="Black"), "Female_Black", "Others")</f>
        <v>Others</v>
      </c>
    </row>
    <row r="425" spans="1:17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7">
        <v>43996</v>
      </c>
      <c r="J425" s="1">
        <v>181216</v>
      </c>
      <c r="K425" s="2">
        <v>0.27</v>
      </c>
      <c r="L425" t="s">
        <v>19</v>
      </c>
      <c r="M425" t="s">
        <v>29</v>
      </c>
      <c r="N425" s="7" t="s">
        <v>21</v>
      </c>
      <c r="O425" s="1">
        <f>TBL_Employees[[#This Row],[Annual Salary]]+TBL_Employees[[#This Row],[Bonus %]]*TBL_Employees[[#This Row],[Annual Salary]]</f>
        <v>230144.32</v>
      </c>
      <c r="P425" t="str">
        <f>IF(AND(TBL_Employees[[#This Row],[Department]]="IT",TBL_Employees[[#This Row],[Gender]]="Female"),"Yes","No")</f>
        <v>No</v>
      </c>
      <c r="Q425" t="str">
        <f>IF(AND(TBL_Employees[[#This Row],[Gender]]="Female",TBL_Employees[[#This Row],[Ethnicity]]="Black"), "Female_Black", "Others")</f>
        <v>Others</v>
      </c>
    </row>
    <row r="426" spans="1:17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7">
        <v>40984</v>
      </c>
      <c r="J426" s="1">
        <v>46081</v>
      </c>
      <c r="K426" s="2">
        <v>0</v>
      </c>
      <c r="L426" t="s">
        <v>19</v>
      </c>
      <c r="M426" t="s">
        <v>20</v>
      </c>
      <c r="N426" s="7" t="s">
        <v>21</v>
      </c>
      <c r="O426" s="1">
        <f>TBL_Employees[[#This Row],[Annual Salary]]+TBL_Employees[[#This Row],[Bonus %]]*TBL_Employees[[#This Row],[Annual Salary]]</f>
        <v>46081</v>
      </c>
      <c r="P426" t="str">
        <f>IF(AND(TBL_Employees[[#This Row],[Department]]="IT",TBL_Employees[[#This Row],[Gender]]="Female"),"Yes","No")</f>
        <v>No</v>
      </c>
      <c r="Q426" t="str">
        <f>IF(AND(TBL_Employees[[#This Row],[Gender]]="Female",TBL_Employees[[#This Row],[Ethnicity]]="Black"), "Female_Black", "Others")</f>
        <v>Others</v>
      </c>
    </row>
    <row r="427" spans="1:17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7">
        <v>38135</v>
      </c>
      <c r="J427" s="1">
        <v>159885</v>
      </c>
      <c r="K427" s="2">
        <v>0.12</v>
      </c>
      <c r="L427" t="s">
        <v>19</v>
      </c>
      <c r="M427" t="s">
        <v>29</v>
      </c>
      <c r="N427" s="7" t="s">
        <v>21</v>
      </c>
      <c r="O427" s="1">
        <f>TBL_Employees[[#This Row],[Annual Salary]]+TBL_Employees[[#This Row],[Bonus %]]*TBL_Employees[[#This Row],[Annual Salary]]</f>
        <v>179071.2</v>
      </c>
      <c r="P427" t="str">
        <f>IF(AND(TBL_Employees[[#This Row],[Department]]="IT",TBL_Employees[[#This Row],[Gender]]="Female"),"Yes","No")</f>
        <v>No</v>
      </c>
      <c r="Q427" t="str">
        <f>IF(AND(TBL_Employees[[#This Row],[Gender]]="Female",TBL_Employees[[#This Row],[Ethnicity]]="Black"), "Female_Black", "Others")</f>
        <v>Others</v>
      </c>
    </row>
    <row r="428" spans="1:17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7">
        <v>35001</v>
      </c>
      <c r="J428" s="1">
        <v>153271</v>
      </c>
      <c r="K428" s="2">
        <v>0.15</v>
      </c>
      <c r="L428" t="s">
        <v>19</v>
      </c>
      <c r="M428" t="s">
        <v>25</v>
      </c>
      <c r="N428" s="7" t="s">
        <v>21</v>
      </c>
      <c r="O428" s="1">
        <f>TBL_Employees[[#This Row],[Annual Salary]]+TBL_Employees[[#This Row],[Bonus %]]*TBL_Employees[[#This Row],[Annual Salary]]</f>
        <v>176261.65</v>
      </c>
      <c r="P428" t="str">
        <f>IF(AND(TBL_Employees[[#This Row],[Department]]="IT",TBL_Employees[[#This Row],[Gender]]="Female"),"Yes","No")</f>
        <v>No</v>
      </c>
      <c r="Q428" t="str">
        <f>IF(AND(TBL_Employees[[#This Row],[Gender]]="Female",TBL_Employees[[#This Row],[Ethnicity]]="Black"), "Female_Black", "Others")</f>
        <v>Others</v>
      </c>
    </row>
    <row r="429" spans="1:17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7">
        <v>40159</v>
      </c>
      <c r="J429" s="1">
        <v>114242</v>
      </c>
      <c r="K429" s="2">
        <v>0.08</v>
      </c>
      <c r="L429" t="s">
        <v>19</v>
      </c>
      <c r="M429" t="s">
        <v>39</v>
      </c>
      <c r="N429" s="7" t="s">
        <v>21</v>
      </c>
      <c r="O429" s="1">
        <f>TBL_Employees[[#This Row],[Annual Salary]]+TBL_Employees[[#This Row],[Bonus %]]*TBL_Employees[[#This Row],[Annual Salary]]</f>
        <v>123381.36</v>
      </c>
      <c r="P429" t="str">
        <f>IF(AND(TBL_Employees[[#This Row],[Department]]="IT",TBL_Employees[[#This Row],[Gender]]="Female"),"Yes","No")</f>
        <v>No</v>
      </c>
      <c r="Q429" t="str">
        <f>IF(AND(TBL_Employees[[#This Row],[Gender]]="Female",TBL_Employees[[#This Row],[Ethnicity]]="Black"), "Female_Black", "Others")</f>
        <v>Others</v>
      </c>
    </row>
    <row r="430" spans="1:17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7">
        <v>44153</v>
      </c>
      <c r="J430" s="1">
        <v>48415</v>
      </c>
      <c r="K430" s="2">
        <v>0</v>
      </c>
      <c r="L430" t="s">
        <v>33</v>
      </c>
      <c r="M430" t="s">
        <v>74</v>
      </c>
      <c r="N430" s="7" t="s">
        <v>21</v>
      </c>
      <c r="O430" s="1">
        <f>TBL_Employees[[#This Row],[Annual Salary]]+TBL_Employees[[#This Row],[Bonus %]]*TBL_Employees[[#This Row],[Annual Salary]]</f>
        <v>48415</v>
      </c>
      <c r="P430" t="str">
        <f>IF(AND(TBL_Employees[[#This Row],[Department]]="IT",TBL_Employees[[#This Row],[Gender]]="Female"),"Yes","No")</f>
        <v>Yes</v>
      </c>
      <c r="Q430" t="str">
        <f>IF(AND(TBL_Employees[[#This Row],[Gender]]="Female",TBL_Employees[[#This Row],[Ethnicity]]="Black"), "Female_Black", "Others")</f>
        <v>Others</v>
      </c>
    </row>
    <row r="431" spans="1:17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7">
        <v>42878</v>
      </c>
      <c r="J431" s="1">
        <v>65566</v>
      </c>
      <c r="K431" s="2">
        <v>0</v>
      </c>
      <c r="L431" t="s">
        <v>19</v>
      </c>
      <c r="M431" t="s">
        <v>63</v>
      </c>
      <c r="N431" s="7" t="s">
        <v>21</v>
      </c>
      <c r="O431" s="1">
        <f>TBL_Employees[[#This Row],[Annual Salary]]+TBL_Employees[[#This Row],[Bonus %]]*TBL_Employees[[#This Row],[Annual Salary]]</f>
        <v>65566</v>
      </c>
      <c r="P431" t="str">
        <f>IF(AND(TBL_Employees[[#This Row],[Department]]="IT",TBL_Employees[[#This Row],[Gender]]="Female"),"Yes","No")</f>
        <v>No</v>
      </c>
      <c r="Q431" t="str">
        <f>IF(AND(TBL_Employees[[#This Row],[Gender]]="Female",TBL_Employees[[#This Row],[Ethnicity]]="Black"), "Female_Black", "Others")</f>
        <v>Others</v>
      </c>
    </row>
    <row r="432" spans="1:17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7">
        <v>37014</v>
      </c>
      <c r="J432" s="1">
        <v>147752</v>
      </c>
      <c r="K432" s="2">
        <v>0.12</v>
      </c>
      <c r="L432" t="s">
        <v>33</v>
      </c>
      <c r="M432" t="s">
        <v>74</v>
      </c>
      <c r="N432" s="7">
        <v>40903</v>
      </c>
      <c r="O432" s="1">
        <f>TBL_Employees[[#This Row],[Annual Salary]]+TBL_Employees[[#This Row],[Bonus %]]*TBL_Employees[[#This Row],[Annual Salary]]</f>
        <v>165482.23999999999</v>
      </c>
      <c r="P432" t="str">
        <f>IF(AND(TBL_Employees[[#This Row],[Department]]="IT",TBL_Employees[[#This Row],[Gender]]="Female"),"Yes","No")</f>
        <v>No</v>
      </c>
      <c r="Q432" t="str">
        <f>IF(AND(TBL_Employees[[#This Row],[Gender]]="Female",TBL_Employees[[#This Row],[Ethnicity]]="Black"), "Female_Black", "Others")</f>
        <v>Others</v>
      </c>
    </row>
    <row r="433" spans="1:17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7">
        <v>44453</v>
      </c>
      <c r="J433" s="1">
        <v>136810</v>
      </c>
      <c r="K433" s="2">
        <v>0.14000000000000001</v>
      </c>
      <c r="L433" t="s">
        <v>33</v>
      </c>
      <c r="M433" t="s">
        <v>80</v>
      </c>
      <c r="N433" s="7" t="s">
        <v>21</v>
      </c>
      <c r="O433" s="1">
        <f>TBL_Employees[[#This Row],[Annual Salary]]+TBL_Employees[[#This Row],[Bonus %]]*TBL_Employees[[#This Row],[Annual Salary]]</f>
        <v>155963.4</v>
      </c>
      <c r="P433" t="str">
        <f>IF(AND(TBL_Employees[[#This Row],[Department]]="IT",TBL_Employees[[#This Row],[Gender]]="Female"),"Yes","No")</f>
        <v>No</v>
      </c>
      <c r="Q433" t="str">
        <f>IF(AND(TBL_Employees[[#This Row],[Gender]]="Female",TBL_Employees[[#This Row],[Ethnicity]]="Black"), "Female_Black", "Others")</f>
        <v>Others</v>
      </c>
    </row>
    <row r="434" spans="1:17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7">
        <v>41333</v>
      </c>
      <c r="J434" s="1">
        <v>54635</v>
      </c>
      <c r="K434" s="2">
        <v>0</v>
      </c>
      <c r="L434" t="s">
        <v>19</v>
      </c>
      <c r="M434" t="s">
        <v>20</v>
      </c>
      <c r="N434" s="7" t="s">
        <v>21</v>
      </c>
      <c r="O434" s="1">
        <f>TBL_Employees[[#This Row],[Annual Salary]]+TBL_Employees[[#This Row],[Bonus %]]*TBL_Employees[[#This Row],[Annual Salary]]</f>
        <v>54635</v>
      </c>
      <c r="P434" t="str">
        <f>IF(AND(TBL_Employees[[#This Row],[Department]]="IT",TBL_Employees[[#This Row],[Gender]]="Female"),"Yes","No")</f>
        <v>No</v>
      </c>
      <c r="Q434" t="str">
        <f>IF(AND(TBL_Employees[[#This Row],[Gender]]="Female",TBL_Employees[[#This Row],[Ethnicity]]="Black"), "Female_Black", "Others")</f>
        <v>Others</v>
      </c>
    </row>
    <row r="435" spans="1:17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7">
        <v>43866</v>
      </c>
      <c r="J435" s="1">
        <v>96636</v>
      </c>
      <c r="K435" s="2">
        <v>0</v>
      </c>
      <c r="L435" t="s">
        <v>19</v>
      </c>
      <c r="M435" t="s">
        <v>29</v>
      </c>
      <c r="N435" s="7" t="s">
        <v>21</v>
      </c>
      <c r="O435" s="1">
        <f>TBL_Employees[[#This Row],[Annual Salary]]+TBL_Employees[[#This Row],[Bonus %]]*TBL_Employees[[#This Row],[Annual Salary]]</f>
        <v>96636</v>
      </c>
      <c r="P435" t="str">
        <f>IF(AND(TBL_Employees[[#This Row],[Department]]="IT",TBL_Employees[[#This Row],[Gender]]="Female"),"Yes","No")</f>
        <v>Yes</v>
      </c>
      <c r="Q435" t="str">
        <f>IF(AND(TBL_Employees[[#This Row],[Gender]]="Female",TBL_Employees[[#This Row],[Ethnicity]]="Black"), "Female_Black", "Others")</f>
        <v>Others</v>
      </c>
    </row>
    <row r="436" spans="1:17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7">
        <v>41941</v>
      </c>
      <c r="J436" s="1">
        <v>91592</v>
      </c>
      <c r="K436" s="2">
        <v>0</v>
      </c>
      <c r="L436" t="s">
        <v>19</v>
      </c>
      <c r="M436" t="s">
        <v>20</v>
      </c>
      <c r="N436" s="7" t="s">
        <v>21</v>
      </c>
      <c r="O436" s="1">
        <f>TBL_Employees[[#This Row],[Annual Salary]]+TBL_Employees[[#This Row],[Bonus %]]*TBL_Employees[[#This Row],[Annual Salary]]</f>
        <v>91592</v>
      </c>
      <c r="P436" t="str">
        <f>IF(AND(TBL_Employees[[#This Row],[Department]]="IT",TBL_Employees[[#This Row],[Gender]]="Female"),"Yes","No")</f>
        <v>Yes</v>
      </c>
      <c r="Q436" t="str">
        <f>IF(AND(TBL_Employees[[#This Row],[Gender]]="Female",TBL_Employees[[#This Row],[Ethnicity]]="Black"), "Female_Black", "Others")</f>
        <v>Female_Black</v>
      </c>
    </row>
    <row r="437" spans="1:17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7">
        <v>36755</v>
      </c>
      <c r="J437" s="1">
        <v>55563</v>
      </c>
      <c r="K437" s="2">
        <v>0</v>
      </c>
      <c r="L437" t="s">
        <v>33</v>
      </c>
      <c r="M437" t="s">
        <v>34</v>
      </c>
      <c r="N437" s="7" t="s">
        <v>21</v>
      </c>
      <c r="O437" s="1">
        <f>TBL_Employees[[#This Row],[Annual Salary]]+TBL_Employees[[#This Row],[Bonus %]]*TBL_Employees[[#This Row],[Annual Salary]]</f>
        <v>55563</v>
      </c>
      <c r="P437" t="str">
        <f>IF(AND(TBL_Employees[[#This Row],[Department]]="IT",TBL_Employees[[#This Row],[Gender]]="Female"),"Yes","No")</f>
        <v>No</v>
      </c>
      <c r="Q437" t="str">
        <f>IF(AND(TBL_Employees[[#This Row],[Gender]]="Female",TBL_Employees[[#This Row],[Ethnicity]]="Black"), "Female_Black", "Others")</f>
        <v>Others</v>
      </c>
    </row>
    <row r="438" spans="1:17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7">
        <v>35109</v>
      </c>
      <c r="J438" s="1">
        <v>159724</v>
      </c>
      <c r="K438" s="2">
        <v>0.23</v>
      </c>
      <c r="L438" t="s">
        <v>33</v>
      </c>
      <c r="M438" t="s">
        <v>60</v>
      </c>
      <c r="N438" s="7" t="s">
        <v>21</v>
      </c>
      <c r="O438" s="1">
        <f>TBL_Employees[[#This Row],[Annual Salary]]+TBL_Employees[[#This Row],[Bonus %]]*TBL_Employees[[#This Row],[Annual Salary]]</f>
        <v>196460.52000000002</v>
      </c>
      <c r="P438" t="str">
        <f>IF(AND(TBL_Employees[[#This Row],[Department]]="IT",TBL_Employees[[#This Row],[Gender]]="Female"),"Yes","No")</f>
        <v>Yes</v>
      </c>
      <c r="Q438" t="str">
        <f>IF(AND(TBL_Employees[[#This Row],[Gender]]="Female",TBL_Employees[[#This Row],[Ethnicity]]="Black"), "Female_Black", "Others")</f>
        <v>Others</v>
      </c>
    </row>
    <row r="439" spans="1:17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7">
        <v>42951</v>
      </c>
      <c r="J439" s="1">
        <v>183190</v>
      </c>
      <c r="K439" s="2">
        <v>0.36</v>
      </c>
      <c r="L439" t="s">
        <v>19</v>
      </c>
      <c r="M439" t="s">
        <v>20</v>
      </c>
      <c r="N439" s="7" t="s">
        <v>21</v>
      </c>
      <c r="O439" s="1">
        <f>TBL_Employees[[#This Row],[Annual Salary]]+TBL_Employees[[#This Row],[Bonus %]]*TBL_Employees[[#This Row],[Annual Salary]]</f>
        <v>249138.4</v>
      </c>
      <c r="P439" t="str">
        <f>IF(AND(TBL_Employees[[#This Row],[Department]]="IT",TBL_Employees[[#This Row],[Gender]]="Female"),"Yes","No")</f>
        <v>No</v>
      </c>
      <c r="Q439" t="str">
        <f>IF(AND(TBL_Employees[[#This Row],[Gender]]="Female",TBL_Employees[[#This Row],[Ethnicity]]="Black"), "Female_Black", "Others")</f>
        <v>Others</v>
      </c>
    </row>
    <row r="440" spans="1:17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7">
        <v>43824</v>
      </c>
      <c r="J440" s="1">
        <v>54829</v>
      </c>
      <c r="K440" s="2">
        <v>0</v>
      </c>
      <c r="L440" t="s">
        <v>19</v>
      </c>
      <c r="M440" t="s">
        <v>39</v>
      </c>
      <c r="N440" s="7" t="s">
        <v>21</v>
      </c>
      <c r="O440" s="1">
        <f>TBL_Employees[[#This Row],[Annual Salary]]+TBL_Employees[[#This Row],[Bonus %]]*TBL_Employees[[#This Row],[Annual Salary]]</f>
        <v>54829</v>
      </c>
      <c r="P440" t="str">
        <f>IF(AND(TBL_Employees[[#This Row],[Department]]="IT",TBL_Employees[[#This Row],[Gender]]="Female"),"Yes","No")</f>
        <v>No</v>
      </c>
      <c r="Q440" t="str">
        <f>IF(AND(TBL_Employees[[#This Row],[Gender]]="Female",TBL_Employees[[#This Row],[Ethnicity]]="Black"), "Female_Black", "Others")</f>
        <v>Others</v>
      </c>
    </row>
    <row r="441" spans="1:17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7">
        <v>38464</v>
      </c>
      <c r="J441" s="1">
        <v>96639</v>
      </c>
      <c r="K441" s="2">
        <v>0</v>
      </c>
      <c r="L441" t="s">
        <v>52</v>
      </c>
      <c r="M441" t="s">
        <v>66</v>
      </c>
      <c r="N441" s="7" t="s">
        <v>21</v>
      </c>
      <c r="O441" s="1">
        <f>TBL_Employees[[#This Row],[Annual Salary]]+TBL_Employees[[#This Row],[Bonus %]]*TBL_Employees[[#This Row],[Annual Salary]]</f>
        <v>96639</v>
      </c>
      <c r="P441" t="str">
        <f>IF(AND(TBL_Employees[[#This Row],[Department]]="IT",TBL_Employees[[#This Row],[Gender]]="Female"),"Yes","No")</f>
        <v>No</v>
      </c>
      <c r="Q441" t="str">
        <f>IF(AND(TBL_Employees[[#This Row],[Gender]]="Female",TBL_Employees[[#This Row],[Ethnicity]]="Black"), "Female_Black", "Others")</f>
        <v>Others</v>
      </c>
    </row>
    <row r="442" spans="1:17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7">
        <v>38879</v>
      </c>
      <c r="J442" s="1">
        <v>117278</v>
      </c>
      <c r="K442" s="2">
        <v>0.09</v>
      </c>
      <c r="L442" t="s">
        <v>19</v>
      </c>
      <c r="M442" t="s">
        <v>45</v>
      </c>
      <c r="N442" s="7" t="s">
        <v>21</v>
      </c>
      <c r="O442" s="1">
        <f>TBL_Employees[[#This Row],[Annual Salary]]+TBL_Employees[[#This Row],[Bonus %]]*TBL_Employees[[#This Row],[Annual Salary]]</f>
        <v>127833.02</v>
      </c>
      <c r="P442" t="str">
        <f>IF(AND(TBL_Employees[[#This Row],[Department]]="IT",TBL_Employees[[#This Row],[Gender]]="Female"),"Yes","No")</f>
        <v>No</v>
      </c>
      <c r="Q442" t="str">
        <f>IF(AND(TBL_Employees[[#This Row],[Gender]]="Female",TBL_Employees[[#This Row],[Ethnicity]]="Black"), "Female_Black", "Others")</f>
        <v>Others</v>
      </c>
    </row>
    <row r="443" spans="1:17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7">
        <v>39487</v>
      </c>
      <c r="J443" s="1">
        <v>84193</v>
      </c>
      <c r="K443" s="2">
        <v>0.09</v>
      </c>
      <c r="L443" t="s">
        <v>33</v>
      </c>
      <c r="M443" t="s">
        <v>74</v>
      </c>
      <c r="N443" s="7" t="s">
        <v>21</v>
      </c>
      <c r="O443" s="1">
        <f>TBL_Employees[[#This Row],[Annual Salary]]+TBL_Employees[[#This Row],[Bonus %]]*TBL_Employees[[#This Row],[Annual Salary]]</f>
        <v>91770.37</v>
      </c>
      <c r="P443" t="str">
        <f>IF(AND(TBL_Employees[[#This Row],[Department]]="IT",TBL_Employees[[#This Row],[Gender]]="Female"),"Yes","No")</f>
        <v>No</v>
      </c>
      <c r="Q443" t="str">
        <f>IF(AND(TBL_Employees[[#This Row],[Gender]]="Female",TBL_Employees[[#This Row],[Ethnicity]]="Black"), "Female_Black", "Others")</f>
        <v>Others</v>
      </c>
    </row>
    <row r="444" spans="1:17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7">
        <v>43309</v>
      </c>
      <c r="J444" s="1">
        <v>87806</v>
      </c>
      <c r="K444" s="2">
        <v>0</v>
      </c>
      <c r="L444" t="s">
        <v>19</v>
      </c>
      <c r="M444" t="s">
        <v>63</v>
      </c>
      <c r="N444" s="7" t="s">
        <v>21</v>
      </c>
      <c r="O444" s="1">
        <f>TBL_Employees[[#This Row],[Annual Salary]]+TBL_Employees[[#This Row],[Bonus %]]*TBL_Employees[[#This Row],[Annual Salary]]</f>
        <v>87806</v>
      </c>
      <c r="P444" t="str">
        <f>IF(AND(TBL_Employees[[#This Row],[Department]]="IT",TBL_Employees[[#This Row],[Gender]]="Female"),"Yes","No")</f>
        <v>Yes</v>
      </c>
      <c r="Q444" t="str">
        <f>IF(AND(TBL_Employees[[#This Row],[Gender]]="Female",TBL_Employees[[#This Row],[Ethnicity]]="Black"), "Female_Black", "Others")</f>
        <v>Others</v>
      </c>
    </row>
    <row r="445" spans="1:17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7">
        <v>40820</v>
      </c>
      <c r="J445" s="1">
        <v>63959</v>
      </c>
      <c r="K445" s="2">
        <v>0</v>
      </c>
      <c r="L445" t="s">
        <v>19</v>
      </c>
      <c r="M445" t="s">
        <v>63</v>
      </c>
      <c r="N445" s="7" t="s">
        <v>21</v>
      </c>
      <c r="O445" s="1">
        <f>TBL_Employees[[#This Row],[Annual Salary]]+TBL_Employees[[#This Row],[Bonus %]]*TBL_Employees[[#This Row],[Annual Salary]]</f>
        <v>63959</v>
      </c>
      <c r="P445" t="str">
        <f>IF(AND(TBL_Employees[[#This Row],[Department]]="IT",TBL_Employees[[#This Row],[Gender]]="Female"),"Yes","No")</f>
        <v>No</v>
      </c>
      <c r="Q445" t="str">
        <f>IF(AND(TBL_Employees[[#This Row],[Gender]]="Female",TBL_Employees[[#This Row],[Ethnicity]]="Black"), "Female_Black", "Others")</f>
        <v>Others</v>
      </c>
    </row>
    <row r="446" spans="1:17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7">
        <v>42166</v>
      </c>
      <c r="J446" s="1">
        <v>234723</v>
      </c>
      <c r="K446" s="2">
        <v>0.36</v>
      </c>
      <c r="L446" t="s">
        <v>33</v>
      </c>
      <c r="M446" t="s">
        <v>74</v>
      </c>
      <c r="N446" s="7" t="s">
        <v>21</v>
      </c>
      <c r="O446" s="1">
        <f>TBL_Employees[[#This Row],[Annual Salary]]+TBL_Employees[[#This Row],[Bonus %]]*TBL_Employees[[#This Row],[Annual Salary]]</f>
        <v>319223.28000000003</v>
      </c>
      <c r="P446" t="str">
        <f>IF(AND(TBL_Employees[[#This Row],[Department]]="IT",TBL_Employees[[#This Row],[Gender]]="Female"),"Yes","No")</f>
        <v>No</v>
      </c>
      <c r="Q446" t="str">
        <f>IF(AND(TBL_Employees[[#This Row],[Gender]]="Female",TBL_Employees[[#This Row],[Ethnicity]]="Black"), "Female_Black", "Others")</f>
        <v>Others</v>
      </c>
    </row>
    <row r="447" spans="1:17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7">
        <v>43701</v>
      </c>
      <c r="J447" s="1">
        <v>50809</v>
      </c>
      <c r="K447" s="2">
        <v>0</v>
      </c>
      <c r="L447" t="s">
        <v>33</v>
      </c>
      <c r="M447" t="s">
        <v>80</v>
      </c>
      <c r="N447" s="7" t="s">
        <v>21</v>
      </c>
      <c r="O447" s="1">
        <f>TBL_Employees[[#This Row],[Annual Salary]]+TBL_Employees[[#This Row],[Bonus %]]*TBL_Employees[[#This Row],[Annual Salary]]</f>
        <v>50809</v>
      </c>
      <c r="P447" t="str">
        <f>IF(AND(TBL_Employees[[#This Row],[Department]]="IT",TBL_Employees[[#This Row],[Gender]]="Female"),"Yes","No")</f>
        <v>No</v>
      </c>
      <c r="Q447" t="str">
        <f>IF(AND(TBL_Employees[[#This Row],[Gender]]="Female",TBL_Employees[[#This Row],[Ethnicity]]="Black"), "Female_Black", "Others")</f>
        <v>Others</v>
      </c>
    </row>
    <row r="448" spans="1:17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7">
        <v>37456</v>
      </c>
      <c r="J448" s="1">
        <v>77396</v>
      </c>
      <c r="K448" s="2">
        <v>0</v>
      </c>
      <c r="L448" t="s">
        <v>19</v>
      </c>
      <c r="M448" t="s">
        <v>45</v>
      </c>
      <c r="N448" s="7" t="s">
        <v>21</v>
      </c>
      <c r="O448" s="1">
        <f>TBL_Employees[[#This Row],[Annual Salary]]+TBL_Employees[[#This Row],[Bonus %]]*TBL_Employees[[#This Row],[Annual Salary]]</f>
        <v>77396</v>
      </c>
      <c r="P448" t="str">
        <f>IF(AND(TBL_Employees[[#This Row],[Department]]="IT",TBL_Employees[[#This Row],[Gender]]="Female"),"Yes","No")</f>
        <v>No</v>
      </c>
      <c r="Q448" t="str">
        <f>IF(AND(TBL_Employees[[#This Row],[Gender]]="Female",TBL_Employees[[#This Row],[Ethnicity]]="Black"), "Female_Black", "Others")</f>
        <v>Others</v>
      </c>
    </row>
    <row r="449" spans="1:17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7">
        <v>36525</v>
      </c>
      <c r="J449" s="1">
        <v>89523</v>
      </c>
      <c r="K449" s="2">
        <v>0</v>
      </c>
      <c r="L449" t="s">
        <v>19</v>
      </c>
      <c r="M449" t="s">
        <v>39</v>
      </c>
      <c r="N449" s="7" t="s">
        <v>21</v>
      </c>
      <c r="O449" s="1">
        <f>TBL_Employees[[#This Row],[Annual Salary]]+TBL_Employees[[#This Row],[Bonus %]]*TBL_Employees[[#This Row],[Annual Salary]]</f>
        <v>89523</v>
      </c>
      <c r="P449" t="str">
        <f>IF(AND(TBL_Employees[[#This Row],[Department]]="IT",TBL_Employees[[#This Row],[Gender]]="Female"),"Yes","No")</f>
        <v>No</v>
      </c>
      <c r="Q449" t="str">
        <f>IF(AND(TBL_Employees[[#This Row],[Gender]]="Female",TBL_Employees[[#This Row],[Ethnicity]]="Black"), "Female_Black", "Others")</f>
        <v>Others</v>
      </c>
    </row>
    <row r="450" spans="1:17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7">
        <v>40744</v>
      </c>
      <c r="J450" s="1">
        <v>86173</v>
      </c>
      <c r="K450" s="2">
        <v>0</v>
      </c>
      <c r="L450" t="s">
        <v>33</v>
      </c>
      <c r="M450" t="s">
        <v>80</v>
      </c>
      <c r="N450" s="7" t="s">
        <v>21</v>
      </c>
      <c r="O450" s="1">
        <f>TBL_Employees[[#This Row],[Annual Salary]]+TBL_Employees[[#This Row],[Bonus %]]*TBL_Employees[[#This Row],[Annual Salary]]</f>
        <v>86173</v>
      </c>
      <c r="P450" t="str">
        <f>IF(AND(TBL_Employees[[#This Row],[Department]]="IT",TBL_Employees[[#This Row],[Gender]]="Female"),"Yes","No")</f>
        <v>Yes</v>
      </c>
      <c r="Q450" t="str">
        <f>IF(AND(TBL_Employees[[#This Row],[Gender]]="Female",TBL_Employees[[#This Row],[Ethnicity]]="Black"), "Female_Black", "Others")</f>
        <v>Others</v>
      </c>
    </row>
    <row r="451" spans="1:17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7">
        <v>36757</v>
      </c>
      <c r="J451" s="1">
        <v>222224</v>
      </c>
      <c r="K451" s="2">
        <v>0.38</v>
      </c>
      <c r="L451" t="s">
        <v>19</v>
      </c>
      <c r="M451" t="s">
        <v>29</v>
      </c>
      <c r="N451" s="7" t="s">
        <v>21</v>
      </c>
      <c r="O451" s="1">
        <f>TBL_Employees[[#This Row],[Annual Salary]]+TBL_Employees[[#This Row],[Bonus %]]*TBL_Employees[[#This Row],[Annual Salary]]</f>
        <v>306669.12</v>
      </c>
      <c r="P451" t="str">
        <f>IF(AND(TBL_Employees[[#This Row],[Department]]="IT",TBL_Employees[[#This Row],[Gender]]="Female"),"Yes","No")</f>
        <v>No</v>
      </c>
      <c r="Q451" t="str">
        <f>IF(AND(TBL_Employees[[#This Row],[Gender]]="Female",TBL_Employees[[#This Row],[Ethnicity]]="Black"), "Female_Black", "Others")</f>
        <v>Female_Black</v>
      </c>
    </row>
    <row r="452" spans="1:17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7">
        <v>44303</v>
      </c>
      <c r="J452" s="1">
        <v>146140</v>
      </c>
      <c r="K452" s="2">
        <v>0.15</v>
      </c>
      <c r="L452" t="s">
        <v>19</v>
      </c>
      <c r="M452" t="s">
        <v>63</v>
      </c>
      <c r="N452" s="7" t="s">
        <v>21</v>
      </c>
      <c r="O452" s="1">
        <f>TBL_Employees[[#This Row],[Annual Salary]]+TBL_Employees[[#This Row],[Bonus %]]*TBL_Employees[[#This Row],[Annual Salary]]</f>
        <v>168061</v>
      </c>
      <c r="P452" t="str">
        <f>IF(AND(TBL_Employees[[#This Row],[Department]]="IT",TBL_Employees[[#This Row],[Gender]]="Female"),"Yes","No")</f>
        <v>No</v>
      </c>
      <c r="Q452" t="str">
        <f>IF(AND(TBL_Employees[[#This Row],[Gender]]="Female",TBL_Employees[[#This Row],[Ethnicity]]="Black"), "Female_Black", "Others")</f>
        <v>Others</v>
      </c>
    </row>
    <row r="453" spans="1:17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7">
        <v>34505</v>
      </c>
      <c r="J453" s="1">
        <v>109456</v>
      </c>
      <c r="K453" s="2">
        <v>0.1</v>
      </c>
      <c r="L453" t="s">
        <v>19</v>
      </c>
      <c r="M453" t="s">
        <v>20</v>
      </c>
      <c r="N453" s="7" t="s">
        <v>21</v>
      </c>
      <c r="O453" s="1">
        <f>TBL_Employees[[#This Row],[Annual Salary]]+TBL_Employees[[#This Row],[Bonus %]]*TBL_Employees[[#This Row],[Annual Salary]]</f>
        <v>120401.60000000001</v>
      </c>
      <c r="P453" t="str">
        <f>IF(AND(TBL_Employees[[#This Row],[Department]]="IT",TBL_Employees[[#This Row],[Gender]]="Female"),"Yes","No")</f>
        <v>No</v>
      </c>
      <c r="Q453" t="str">
        <f>IF(AND(TBL_Employees[[#This Row],[Gender]]="Female",TBL_Employees[[#This Row],[Ethnicity]]="Black"), "Female_Black", "Others")</f>
        <v>Others</v>
      </c>
    </row>
    <row r="454" spans="1:17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7">
        <v>39728</v>
      </c>
      <c r="J454" s="1">
        <v>170221</v>
      </c>
      <c r="K454" s="2">
        <v>0.15</v>
      </c>
      <c r="L454" t="s">
        <v>52</v>
      </c>
      <c r="M454" t="s">
        <v>81</v>
      </c>
      <c r="N454" s="7" t="s">
        <v>21</v>
      </c>
      <c r="O454" s="1">
        <f>TBL_Employees[[#This Row],[Annual Salary]]+TBL_Employees[[#This Row],[Bonus %]]*TBL_Employees[[#This Row],[Annual Salary]]</f>
        <v>195754.15</v>
      </c>
      <c r="P454" t="str">
        <f>IF(AND(TBL_Employees[[#This Row],[Department]]="IT",TBL_Employees[[#This Row],[Gender]]="Female"),"Yes","No")</f>
        <v>No</v>
      </c>
      <c r="Q454" t="str">
        <f>IF(AND(TBL_Employees[[#This Row],[Gender]]="Female",TBL_Employees[[#This Row],[Ethnicity]]="Black"), "Female_Black", "Others")</f>
        <v>Others</v>
      </c>
    </row>
    <row r="455" spans="1:17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7">
        <v>38777</v>
      </c>
      <c r="J455" s="1">
        <v>97433</v>
      </c>
      <c r="K455" s="2">
        <v>0.05</v>
      </c>
      <c r="L455" t="s">
        <v>19</v>
      </c>
      <c r="M455" t="s">
        <v>63</v>
      </c>
      <c r="N455" s="7">
        <v>42224</v>
      </c>
      <c r="O455" s="1">
        <f>TBL_Employees[[#This Row],[Annual Salary]]+TBL_Employees[[#This Row],[Bonus %]]*TBL_Employees[[#This Row],[Annual Salary]]</f>
        <v>102304.65</v>
      </c>
      <c r="P455" t="str">
        <f>IF(AND(TBL_Employees[[#This Row],[Department]]="IT",TBL_Employees[[#This Row],[Gender]]="Female"),"Yes","No")</f>
        <v>Yes</v>
      </c>
      <c r="Q455" t="str">
        <f>IF(AND(TBL_Employees[[#This Row],[Gender]]="Female",TBL_Employees[[#This Row],[Ethnicity]]="Black"), "Female_Black", "Others")</f>
        <v>Others</v>
      </c>
    </row>
    <row r="456" spans="1:17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7">
        <v>41516</v>
      </c>
      <c r="J456" s="1">
        <v>59646</v>
      </c>
      <c r="K456" s="2">
        <v>0</v>
      </c>
      <c r="L456" t="s">
        <v>33</v>
      </c>
      <c r="M456" t="s">
        <v>74</v>
      </c>
      <c r="N456" s="7" t="s">
        <v>21</v>
      </c>
      <c r="O456" s="1">
        <f>TBL_Employees[[#This Row],[Annual Salary]]+TBL_Employees[[#This Row],[Bonus %]]*TBL_Employees[[#This Row],[Annual Salary]]</f>
        <v>59646</v>
      </c>
      <c r="P456" t="str">
        <f>IF(AND(TBL_Employees[[#This Row],[Department]]="IT",TBL_Employees[[#This Row],[Gender]]="Female"),"Yes","No")</f>
        <v>No</v>
      </c>
      <c r="Q456" t="str">
        <f>IF(AND(TBL_Employees[[#This Row],[Gender]]="Female",TBL_Employees[[#This Row],[Ethnicity]]="Black"), "Female_Black", "Others")</f>
        <v>Others</v>
      </c>
    </row>
    <row r="457" spans="1:17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7">
        <v>34940</v>
      </c>
      <c r="J457" s="1">
        <v>158787</v>
      </c>
      <c r="K457" s="2">
        <v>0.18</v>
      </c>
      <c r="L457" t="s">
        <v>33</v>
      </c>
      <c r="M457" t="s">
        <v>34</v>
      </c>
      <c r="N457" s="7" t="s">
        <v>21</v>
      </c>
      <c r="O457" s="1">
        <f>TBL_Employees[[#This Row],[Annual Salary]]+TBL_Employees[[#This Row],[Bonus %]]*TBL_Employees[[#This Row],[Annual Salary]]</f>
        <v>187368.66</v>
      </c>
      <c r="P457" t="str">
        <f>IF(AND(TBL_Employees[[#This Row],[Department]]="IT",TBL_Employees[[#This Row],[Gender]]="Female"),"Yes","No")</f>
        <v>No</v>
      </c>
      <c r="Q457" t="str">
        <f>IF(AND(TBL_Employees[[#This Row],[Gender]]="Female",TBL_Employees[[#This Row],[Ethnicity]]="Black"), "Female_Black", "Others")</f>
        <v>Others</v>
      </c>
    </row>
    <row r="458" spans="1:17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7">
        <v>43219</v>
      </c>
      <c r="J458" s="1">
        <v>83378</v>
      </c>
      <c r="K458" s="2">
        <v>0</v>
      </c>
      <c r="L458" t="s">
        <v>33</v>
      </c>
      <c r="M458" t="s">
        <v>60</v>
      </c>
      <c r="N458" s="7" t="s">
        <v>21</v>
      </c>
      <c r="O458" s="1">
        <f>TBL_Employees[[#This Row],[Annual Salary]]+TBL_Employees[[#This Row],[Bonus %]]*TBL_Employees[[#This Row],[Annual Salary]]</f>
        <v>83378</v>
      </c>
      <c r="P458" t="str">
        <f>IF(AND(TBL_Employees[[#This Row],[Department]]="IT",TBL_Employees[[#This Row],[Gender]]="Female"),"Yes","No")</f>
        <v>No</v>
      </c>
      <c r="Q458" t="str">
        <f>IF(AND(TBL_Employees[[#This Row],[Gender]]="Female",TBL_Employees[[#This Row],[Ethnicity]]="Black"), "Female_Black", "Others")</f>
        <v>Others</v>
      </c>
    </row>
    <row r="459" spans="1:17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7">
        <v>41590</v>
      </c>
      <c r="J459" s="1">
        <v>88895</v>
      </c>
      <c r="K459" s="2">
        <v>0</v>
      </c>
      <c r="L459" t="s">
        <v>19</v>
      </c>
      <c r="M459" t="s">
        <v>20</v>
      </c>
      <c r="N459" s="7" t="s">
        <v>21</v>
      </c>
      <c r="O459" s="1">
        <f>TBL_Employees[[#This Row],[Annual Salary]]+TBL_Employees[[#This Row],[Bonus %]]*TBL_Employees[[#This Row],[Annual Salary]]</f>
        <v>88895</v>
      </c>
      <c r="P459" t="str">
        <f>IF(AND(TBL_Employees[[#This Row],[Department]]="IT",TBL_Employees[[#This Row],[Gender]]="Female"),"Yes","No")</f>
        <v>No</v>
      </c>
      <c r="Q459" t="str">
        <f>IF(AND(TBL_Employees[[#This Row],[Gender]]="Female",TBL_Employees[[#This Row],[Ethnicity]]="Black"), "Female_Black", "Others")</f>
        <v>Others</v>
      </c>
    </row>
    <row r="460" spans="1:17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7">
        <v>38332</v>
      </c>
      <c r="J460" s="1">
        <v>168846</v>
      </c>
      <c r="K460" s="2">
        <v>0.24</v>
      </c>
      <c r="L460" t="s">
        <v>33</v>
      </c>
      <c r="M460" t="s">
        <v>80</v>
      </c>
      <c r="N460" s="7" t="s">
        <v>21</v>
      </c>
      <c r="O460" s="1">
        <f>TBL_Employees[[#This Row],[Annual Salary]]+TBL_Employees[[#This Row],[Bonus %]]*TBL_Employees[[#This Row],[Annual Salary]]</f>
        <v>209369.04</v>
      </c>
      <c r="P460" t="str">
        <f>IF(AND(TBL_Employees[[#This Row],[Department]]="IT",TBL_Employees[[#This Row],[Gender]]="Female"),"Yes","No")</f>
        <v>No</v>
      </c>
      <c r="Q460" t="str">
        <f>IF(AND(TBL_Employees[[#This Row],[Gender]]="Female",TBL_Employees[[#This Row],[Ethnicity]]="Black"), "Female_Black", "Others")</f>
        <v>Others</v>
      </c>
    </row>
    <row r="461" spans="1:17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7">
        <v>40596</v>
      </c>
      <c r="J461" s="1">
        <v>43336</v>
      </c>
      <c r="K461" s="2">
        <v>0</v>
      </c>
      <c r="L461" t="s">
        <v>19</v>
      </c>
      <c r="M461" t="s">
        <v>25</v>
      </c>
      <c r="N461" s="7">
        <v>44024</v>
      </c>
      <c r="O461" s="1">
        <f>TBL_Employees[[#This Row],[Annual Salary]]+TBL_Employees[[#This Row],[Bonus %]]*TBL_Employees[[#This Row],[Annual Salary]]</f>
        <v>43336</v>
      </c>
      <c r="P461" t="str">
        <f>IF(AND(TBL_Employees[[#This Row],[Department]]="IT",TBL_Employees[[#This Row],[Gender]]="Female"),"Yes","No")</f>
        <v>No</v>
      </c>
      <c r="Q461" t="str">
        <f>IF(AND(TBL_Employees[[#This Row],[Gender]]="Female",TBL_Employees[[#This Row],[Ethnicity]]="Black"), "Female_Black", "Others")</f>
        <v>Others</v>
      </c>
    </row>
    <row r="462" spans="1:17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7">
        <v>40083</v>
      </c>
      <c r="J462" s="1">
        <v>127801</v>
      </c>
      <c r="K462" s="2">
        <v>0.15</v>
      </c>
      <c r="L462" t="s">
        <v>19</v>
      </c>
      <c r="M462" t="s">
        <v>39</v>
      </c>
      <c r="N462" s="7" t="s">
        <v>21</v>
      </c>
      <c r="O462" s="1">
        <f>TBL_Employees[[#This Row],[Annual Salary]]+TBL_Employees[[#This Row],[Bonus %]]*TBL_Employees[[#This Row],[Annual Salary]]</f>
        <v>146971.15</v>
      </c>
      <c r="P462" t="str">
        <f>IF(AND(TBL_Employees[[#This Row],[Department]]="IT",TBL_Employees[[#This Row],[Gender]]="Female"),"Yes","No")</f>
        <v>No</v>
      </c>
      <c r="Q462" t="str">
        <f>IF(AND(TBL_Employees[[#This Row],[Gender]]="Female",TBL_Employees[[#This Row],[Ethnicity]]="Black"), "Female_Black", "Others")</f>
        <v>Others</v>
      </c>
    </row>
    <row r="463" spans="1:17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7">
        <v>36617</v>
      </c>
      <c r="J463" s="1">
        <v>76352</v>
      </c>
      <c r="K463" s="2">
        <v>0</v>
      </c>
      <c r="L463" t="s">
        <v>19</v>
      </c>
      <c r="M463" t="s">
        <v>25</v>
      </c>
      <c r="N463" s="7" t="s">
        <v>21</v>
      </c>
      <c r="O463" s="1">
        <f>TBL_Employees[[#This Row],[Annual Salary]]+TBL_Employees[[#This Row],[Bonus %]]*TBL_Employees[[#This Row],[Annual Salary]]</f>
        <v>76352</v>
      </c>
      <c r="P463" t="str">
        <f>IF(AND(TBL_Employees[[#This Row],[Department]]="IT",TBL_Employees[[#This Row],[Gender]]="Female"),"Yes","No")</f>
        <v>No</v>
      </c>
      <c r="Q463" t="str">
        <f>IF(AND(TBL_Employees[[#This Row],[Gender]]="Female",TBL_Employees[[#This Row],[Ethnicity]]="Black"), "Female_Black", "Others")</f>
        <v>Others</v>
      </c>
    </row>
    <row r="464" spans="1:17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7">
        <v>43638</v>
      </c>
      <c r="J464" s="1">
        <v>250767</v>
      </c>
      <c r="K464" s="2">
        <v>0.38</v>
      </c>
      <c r="L464" t="s">
        <v>19</v>
      </c>
      <c r="M464" t="s">
        <v>63</v>
      </c>
      <c r="N464" s="7" t="s">
        <v>21</v>
      </c>
      <c r="O464" s="1">
        <f>TBL_Employees[[#This Row],[Annual Salary]]+TBL_Employees[[#This Row],[Bonus %]]*TBL_Employees[[#This Row],[Annual Salary]]</f>
        <v>346058.46</v>
      </c>
      <c r="P464" t="str">
        <f>IF(AND(TBL_Employees[[#This Row],[Department]]="IT",TBL_Employees[[#This Row],[Gender]]="Female"),"Yes","No")</f>
        <v>No</v>
      </c>
      <c r="Q464" t="str">
        <f>IF(AND(TBL_Employees[[#This Row],[Gender]]="Female",TBL_Employees[[#This Row],[Ethnicity]]="Black"), "Female_Black", "Others")</f>
        <v>Others</v>
      </c>
    </row>
    <row r="465" spans="1:17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7">
        <v>44101</v>
      </c>
      <c r="J465" s="1">
        <v>223055</v>
      </c>
      <c r="K465" s="2">
        <v>0.3</v>
      </c>
      <c r="L465" t="s">
        <v>19</v>
      </c>
      <c r="M465" t="s">
        <v>29</v>
      </c>
      <c r="N465" s="7" t="s">
        <v>21</v>
      </c>
      <c r="O465" s="1">
        <f>TBL_Employees[[#This Row],[Annual Salary]]+TBL_Employees[[#This Row],[Bonus %]]*TBL_Employees[[#This Row],[Annual Salary]]</f>
        <v>289971.5</v>
      </c>
      <c r="P465" t="str">
        <f>IF(AND(TBL_Employees[[#This Row],[Department]]="IT",TBL_Employees[[#This Row],[Gender]]="Female"),"Yes","No")</f>
        <v>No</v>
      </c>
      <c r="Q465" t="str">
        <f>IF(AND(TBL_Employees[[#This Row],[Gender]]="Female",TBL_Employees[[#This Row],[Ethnicity]]="Black"), "Female_Black", "Others")</f>
        <v>Others</v>
      </c>
    </row>
    <row r="466" spans="1:17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7">
        <v>39185</v>
      </c>
      <c r="J466" s="1">
        <v>189680</v>
      </c>
      <c r="K466" s="2">
        <v>0.23</v>
      </c>
      <c r="L466" t="s">
        <v>52</v>
      </c>
      <c r="M466" t="s">
        <v>53</v>
      </c>
      <c r="N466" s="7" t="s">
        <v>21</v>
      </c>
      <c r="O466" s="1">
        <f>TBL_Employees[[#This Row],[Annual Salary]]+TBL_Employees[[#This Row],[Bonus %]]*TBL_Employees[[#This Row],[Annual Salary]]</f>
        <v>233306.4</v>
      </c>
      <c r="P466" t="str">
        <f>IF(AND(TBL_Employees[[#This Row],[Department]]="IT",TBL_Employees[[#This Row],[Gender]]="Female"),"Yes","No")</f>
        <v>No</v>
      </c>
      <c r="Q466" t="str">
        <f>IF(AND(TBL_Employees[[#This Row],[Gender]]="Female",TBL_Employees[[#This Row],[Ethnicity]]="Black"), "Female_Black", "Others")</f>
        <v>Others</v>
      </c>
    </row>
    <row r="467" spans="1:17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7">
        <v>43299</v>
      </c>
      <c r="J467" s="1">
        <v>71167</v>
      </c>
      <c r="K467" s="2">
        <v>0</v>
      </c>
      <c r="L467" t="s">
        <v>19</v>
      </c>
      <c r="M467" t="s">
        <v>29</v>
      </c>
      <c r="N467" s="7" t="s">
        <v>21</v>
      </c>
      <c r="O467" s="1">
        <f>TBL_Employees[[#This Row],[Annual Salary]]+TBL_Employees[[#This Row],[Bonus %]]*TBL_Employees[[#This Row],[Annual Salary]]</f>
        <v>71167</v>
      </c>
      <c r="P467" t="str">
        <f>IF(AND(TBL_Employees[[#This Row],[Department]]="IT",TBL_Employees[[#This Row],[Gender]]="Female"),"Yes","No")</f>
        <v>No</v>
      </c>
      <c r="Q467" t="str">
        <f>IF(AND(TBL_Employees[[#This Row],[Gender]]="Female",TBL_Employees[[#This Row],[Ethnicity]]="Black"), "Female_Black", "Others")</f>
        <v>Others</v>
      </c>
    </row>
    <row r="468" spans="1:17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7">
        <v>40272</v>
      </c>
      <c r="J468" s="1">
        <v>76027</v>
      </c>
      <c r="K468" s="2">
        <v>0</v>
      </c>
      <c r="L468" t="s">
        <v>19</v>
      </c>
      <c r="M468" t="s">
        <v>63</v>
      </c>
      <c r="N468" s="7" t="s">
        <v>21</v>
      </c>
      <c r="O468" s="1">
        <f>TBL_Employees[[#This Row],[Annual Salary]]+TBL_Employees[[#This Row],[Bonus %]]*TBL_Employees[[#This Row],[Annual Salary]]</f>
        <v>76027</v>
      </c>
      <c r="P468" t="str">
        <f>IF(AND(TBL_Employees[[#This Row],[Department]]="IT",TBL_Employees[[#This Row],[Gender]]="Female"),"Yes","No")</f>
        <v>Yes</v>
      </c>
      <c r="Q468" t="str">
        <f>IF(AND(TBL_Employees[[#This Row],[Gender]]="Female",TBL_Employees[[#This Row],[Ethnicity]]="Black"), "Female_Black", "Others")</f>
        <v>Others</v>
      </c>
    </row>
    <row r="469" spans="1:17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7">
        <v>43809</v>
      </c>
      <c r="J469" s="1">
        <v>183113</v>
      </c>
      <c r="K469" s="2">
        <v>0.24</v>
      </c>
      <c r="L469" t="s">
        <v>52</v>
      </c>
      <c r="M469" t="s">
        <v>66</v>
      </c>
      <c r="N469" s="7" t="s">
        <v>21</v>
      </c>
      <c r="O469" s="1">
        <f>TBL_Employees[[#This Row],[Annual Salary]]+TBL_Employees[[#This Row],[Bonus %]]*TBL_Employees[[#This Row],[Annual Salary]]</f>
        <v>227060.12</v>
      </c>
      <c r="P469" t="str">
        <f>IF(AND(TBL_Employees[[#This Row],[Department]]="IT",TBL_Employees[[#This Row],[Gender]]="Female"),"Yes","No")</f>
        <v>No</v>
      </c>
      <c r="Q469" t="str">
        <f>IF(AND(TBL_Employees[[#This Row],[Gender]]="Female",TBL_Employees[[#This Row],[Ethnicity]]="Black"), "Female_Black", "Others")</f>
        <v>Others</v>
      </c>
    </row>
    <row r="470" spans="1:17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7">
        <v>44124</v>
      </c>
      <c r="J470" s="1">
        <v>67753</v>
      </c>
      <c r="K470" s="2">
        <v>0</v>
      </c>
      <c r="L470" t="s">
        <v>19</v>
      </c>
      <c r="M470" t="s">
        <v>39</v>
      </c>
      <c r="N470" s="7" t="s">
        <v>21</v>
      </c>
      <c r="O470" s="1">
        <f>TBL_Employees[[#This Row],[Annual Salary]]+TBL_Employees[[#This Row],[Bonus %]]*TBL_Employees[[#This Row],[Annual Salary]]</f>
        <v>67753</v>
      </c>
      <c r="P470" t="str">
        <f>IF(AND(TBL_Employees[[#This Row],[Department]]="IT",TBL_Employees[[#This Row],[Gender]]="Female"),"Yes","No")</f>
        <v>No</v>
      </c>
      <c r="Q470" t="str">
        <f>IF(AND(TBL_Employees[[#This Row],[Gender]]="Female",TBL_Employees[[#This Row],[Ethnicity]]="Black"), "Female_Black", "Others")</f>
        <v>Others</v>
      </c>
    </row>
    <row r="471" spans="1:17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7">
        <v>42656</v>
      </c>
      <c r="J471" s="1">
        <v>63744</v>
      </c>
      <c r="K471" s="2">
        <v>0.08</v>
      </c>
      <c r="L471" t="s">
        <v>19</v>
      </c>
      <c r="M471" t="s">
        <v>25</v>
      </c>
      <c r="N471" s="7" t="s">
        <v>21</v>
      </c>
      <c r="O471" s="1">
        <f>TBL_Employees[[#This Row],[Annual Salary]]+TBL_Employees[[#This Row],[Bonus %]]*TBL_Employees[[#This Row],[Annual Salary]]</f>
        <v>68843.520000000004</v>
      </c>
      <c r="P471" t="str">
        <f>IF(AND(TBL_Employees[[#This Row],[Department]]="IT",TBL_Employees[[#This Row],[Gender]]="Female"),"Yes","No")</f>
        <v>No</v>
      </c>
      <c r="Q471" t="str">
        <f>IF(AND(TBL_Employees[[#This Row],[Gender]]="Female",TBL_Employees[[#This Row],[Ethnicity]]="Black"), "Female_Black", "Others")</f>
        <v>Others</v>
      </c>
    </row>
    <row r="472" spans="1:17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7">
        <v>37446</v>
      </c>
      <c r="J472" s="1">
        <v>92209</v>
      </c>
      <c r="K472" s="2">
        <v>0</v>
      </c>
      <c r="L472" t="s">
        <v>33</v>
      </c>
      <c r="M472" t="s">
        <v>74</v>
      </c>
      <c r="N472" s="7" t="s">
        <v>21</v>
      </c>
      <c r="O472" s="1">
        <f>TBL_Employees[[#This Row],[Annual Salary]]+TBL_Employees[[#This Row],[Bonus %]]*TBL_Employees[[#This Row],[Annual Salary]]</f>
        <v>92209</v>
      </c>
      <c r="P472" t="str">
        <f>IF(AND(TBL_Employees[[#This Row],[Department]]="IT",TBL_Employees[[#This Row],[Gender]]="Female"),"Yes","No")</f>
        <v>No</v>
      </c>
      <c r="Q472" t="str">
        <f>IF(AND(TBL_Employees[[#This Row],[Gender]]="Female",TBL_Employees[[#This Row],[Ethnicity]]="Black"), "Female_Black", "Others")</f>
        <v>Others</v>
      </c>
    </row>
    <row r="473" spans="1:17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7">
        <v>36770</v>
      </c>
      <c r="J473" s="1">
        <v>157487</v>
      </c>
      <c r="K473" s="2">
        <v>0.12</v>
      </c>
      <c r="L473" t="s">
        <v>19</v>
      </c>
      <c r="M473" t="s">
        <v>39</v>
      </c>
      <c r="N473" s="7" t="s">
        <v>21</v>
      </c>
      <c r="O473" s="1">
        <f>TBL_Employees[[#This Row],[Annual Salary]]+TBL_Employees[[#This Row],[Bonus %]]*TBL_Employees[[#This Row],[Annual Salary]]</f>
        <v>176385.44</v>
      </c>
      <c r="P473" t="str">
        <f>IF(AND(TBL_Employees[[#This Row],[Department]]="IT",TBL_Employees[[#This Row],[Gender]]="Female"),"Yes","No")</f>
        <v>No</v>
      </c>
      <c r="Q473" t="str">
        <f>IF(AND(TBL_Employees[[#This Row],[Gender]]="Female",TBL_Employees[[#This Row],[Ethnicity]]="Black"), "Female_Black", "Others")</f>
        <v>Others</v>
      </c>
    </row>
    <row r="474" spans="1:17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7">
        <v>42101</v>
      </c>
      <c r="J474" s="1">
        <v>99697</v>
      </c>
      <c r="K474" s="2">
        <v>0</v>
      </c>
      <c r="L474" t="s">
        <v>52</v>
      </c>
      <c r="M474" t="s">
        <v>66</v>
      </c>
      <c r="N474" s="7" t="s">
        <v>21</v>
      </c>
      <c r="O474" s="1">
        <f>TBL_Employees[[#This Row],[Annual Salary]]+TBL_Employees[[#This Row],[Bonus %]]*TBL_Employees[[#This Row],[Annual Salary]]</f>
        <v>99697</v>
      </c>
      <c r="P474" t="str">
        <f>IF(AND(TBL_Employees[[#This Row],[Department]]="IT",TBL_Employees[[#This Row],[Gender]]="Female"),"Yes","No")</f>
        <v>No</v>
      </c>
      <c r="Q474" t="str">
        <f>IF(AND(TBL_Employees[[#This Row],[Gender]]="Female",TBL_Employees[[#This Row],[Ethnicity]]="Black"), "Female_Black", "Others")</f>
        <v>Others</v>
      </c>
    </row>
    <row r="475" spans="1:17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7">
        <v>40235</v>
      </c>
      <c r="J475" s="1">
        <v>90770</v>
      </c>
      <c r="K475" s="2">
        <v>0</v>
      </c>
      <c r="L475" t="s">
        <v>19</v>
      </c>
      <c r="M475" t="s">
        <v>29</v>
      </c>
      <c r="N475" s="7" t="s">
        <v>21</v>
      </c>
      <c r="O475" s="1">
        <f>TBL_Employees[[#This Row],[Annual Salary]]+TBL_Employees[[#This Row],[Bonus %]]*TBL_Employees[[#This Row],[Annual Salary]]</f>
        <v>90770</v>
      </c>
      <c r="P475" t="str">
        <f>IF(AND(TBL_Employees[[#This Row],[Department]]="IT",TBL_Employees[[#This Row],[Gender]]="Female"),"Yes","No")</f>
        <v>No</v>
      </c>
      <c r="Q475" t="str">
        <f>IF(AND(TBL_Employees[[#This Row],[Gender]]="Female",TBL_Employees[[#This Row],[Ethnicity]]="Black"), "Female_Black", "Others")</f>
        <v>Others</v>
      </c>
    </row>
    <row r="476" spans="1:17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7">
        <v>38380</v>
      </c>
      <c r="J476" s="1">
        <v>55369</v>
      </c>
      <c r="K476" s="2">
        <v>0</v>
      </c>
      <c r="L476" t="s">
        <v>19</v>
      </c>
      <c r="M476" t="s">
        <v>39</v>
      </c>
      <c r="N476" s="7" t="s">
        <v>21</v>
      </c>
      <c r="O476" s="1">
        <f>TBL_Employees[[#This Row],[Annual Salary]]+TBL_Employees[[#This Row],[Bonus %]]*TBL_Employees[[#This Row],[Annual Salary]]</f>
        <v>55369</v>
      </c>
      <c r="P476" t="str">
        <f>IF(AND(TBL_Employees[[#This Row],[Department]]="IT",TBL_Employees[[#This Row],[Gender]]="Female"),"Yes","No")</f>
        <v>No</v>
      </c>
      <c r="Q476" t="str">
        <f>IF(AND(TBL_Employees[[#This Row],[Gender]]="Female",TBL_Employees[[#This Row],[Ethnicity]]="Black"), "Female_Black", "Others")</f>
        <v>Others</v>
      </c>
    </row>
    <row r="477" spans="1:17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7">
        <v>41898</v>
      </c>
      <c r="J477" s="1">
        <v>69578</v>
      </c>
      <c r="K477" s="2">
        <v>0</v>
      </c>
      <c r="L477" t="s">
        <v>52</v>
      </c>
      <c r="M477" t="s">
        <v>66</v>
      </c>
      <c r="N477" s="7" t="s">
        <v>21</v>
      </c>
      <c r="O477" s="1">
        <f>TBL_Employees[[#This Row],[Annual Salary]]+TBL_Employees[[#This Row],[Bonus %]]*TBL_Employees[[#This Row],[Annual Salary]]</f>
        <v>69578</v>
      </c>
      <c r="P477" t="str">
        <f>IF(AND(TBL_Employees[[#This Row],[Department]]="IT",TBL_Employees[[#This Row],[Gender]]="Female"),"Yes","No")</f>
        <v>No</v>
      </c>
      <c r="Q477" t="str">
        <f>IF(AND(TBL_Employees[[#This Row],[Gender]]="Female",TBL_Employees[[#This Row],[Ethnicity]]="Black"), "Female_Black", "Others")</f>
        <v>Others</v>
      </c>
    </row>
    <row r="478" spans="1:17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7">
        <v>41429</v>
      </c>
      <c r="J478" s="1">
        <v>167526</v>
      </c>
      <c r="K478" s="2">
        <v>0.26</v>
      </c>
      <c r="L478" t="s">
        <v>19</v>
      </c>
      <c r="M478" t="s">
        <v>45</v>
      </c>
      <c r="N478" s="7" t="s">
        <v>21</v>
      </c>
      <c r="O478" s="1">
        <f>TBL_Employees[[#This Row],[Annual Salary]]+TBL_Employees[[#This Row],[Bonus %]]*TBL_Employees[[#This Row],[Annual Salary]]</f>
        <v>211082.76</v>
      </c>
      <c r="P478" t="str">
        <f>IF(AND(TBL_Employees[[#This Row],[Department]]="IT",TBL_Employees[[#This Row],[Gender]]="Female"),"Yes","No")</f>
        <v>No</v>
      </c>
      <c r="Q478" t="str">
        <f>IF(AND(TBL_Employees[[#This Row],[Gender]]="Female",TBL_Employees[[#This Row],[Ethnicity]]="Black"), "Female_Black", "Others")</f>
        <v>Others</v>
      </c>
    </row>
    <row r="479" spans="1:17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7">
        <v>44232</v>
      </c>
      <c r="J479" s="1">
        <v>65507</v>
      </c>
      <c r="K479" s="2">
        <v>0</v>
      </c>
      <c r="L479" t="s">
        <v>52</v>
      </c>
      <c r="M479" t="s">
        <v>81</v>
      </c>
      <c r="N479" s="7" t="s">
        <v>21</v>
      </c>
      <c r="O479" s="1">
        <f>TBL_Employees[[#This Row],[Annual Salary]]+TBL_Employees[[#This Row],[Bonus %]]*TBL_Employees[[#This Row],[Annual Salary]]</f>
        <v>65507</v>
      </c>
      <c r="P479" t="str">
        <f>IF(AND(TBL_Employees[[#This Row],[Department]]="IT",TBL_Employees[[#This Row],[Gender]]="Female"),"Yes","No")</f>
        <v>No</v>
      </c>
      <c r="Q479" t="str">
        <f>IF(AND(TBL_Employees[[#This Row],[Gender]]="Female",TBL_Employees[[#This Row],[Ethnicity]]="Black"), "Female_Black", "Others")</f>
        <v>Others</v>
      </c>
    </row>
    <row r="480" spans="1:17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7">
        <v>35913</v>
      </c>
      <c r="J480" s="1">
        <v>108268</v>
      </c>
      <c r="K480" s="2">
        <v>0.09</v>
      </c>
      <c r="L480" t="s">
        <v>52</v>
      </c>
      <c r="M480" t="s">
        <v>53</v>
      </c>
      <c r="N480" s="7">
        <v>38122</v>
      </c>
      <c r="O480" s="1">
        <f>TBL_Employees[[#This Row],[Annual Salary]]+TBL_Employees[[#This Row],[Bonus %]]*TBL_Employees[[#This Row],[Annual Salary]]</f>
        <v>118012.12</v>
      </c>
      <c r="P480" t="str">
        <f>IF(AND(TBL_Employees[[#This Row],[Department]]="IT",TBL_Employees[[#This Row],[Gender]]="Female"),"Yes","No")</f>
        <v>No</v>
      </c>
      <c r="Q480" t="str">
        <f>IF(AND(TBL_Employees[[#This Row],[Gender]]="Female",TBL_Employees[[#This Row],[Ethnicity]]="Black"), "Female_Black", "Others")</f>
        <v>Others</v>
      </c>
    </row>
    <row r="481" spans="1:17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7">
        <v>42405</v>
      </c>
      <c r="J481" s="1">
        <v>80055</v>
      </c>
      <c r="K481" s="2">
        <v>0</v>
      </c>
      <c r="L481" t="s">
        <v>33</v>
      </c>
      <c r="M481" t="s">
        <v>60</v>
      </c>
      <c r="N481" s="7" t="s">
        <v>21</v>
      </c>
      <c r="O481" s="1">
        <f>TBL_Employees[[#This Row],[Annual Salary]]+TBL_Employees[[#This Row],[Bonus %]]*TBL_Employees[[#This Row],[Annual Salary]]</f>
        <v>80055</v>
      </c>
      <c r="P481" t="str">
        <f>IF(AND(TBL_Employees[[#This Row],[Department]]="IT",TBL_Employees[[#This Row],[Gender]]="Female"),"Yes","No")</f>
        <v>No</v>
      </c>
      <c r="Q481" t="str">
        <f>IF(AND(TBL_Employees[[#This Row],[Gender]]="Female",TBL_Employees[[#This Row],[Ethnicity]]="Black"), "Female_Black", "Others")</f>
        <v>Others</v>
      </c>
    </row>
    <row r="482" spans="1:17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7">
        <v>39930</v>
      </c>
      <c r="J482" s="1">
        <v>76802</v>
      </c>
      <c r="K482" s="2">
        <v>0</v>
      </c>
      <c r="L482" t="s">
        <v>52</v>
      </c>
      <c r="M482" t="s">
        <v>81</v>
      </c>
      <c r="N482" s="7" t="s">
        <v>21</v>
      </c>
      <c r="O482" s="1">
        <f>TBL_Employees[[#This Row],[Annual Salary]]+TBL_Employees[[#This Row],[Bonus %]]*TBL_Employees[[#This Row],[Annual Salary]]</f>
        <v>76802</v>
      </c>
      <c r="P482" t="str">
        <f>IF(AND(TBL_Employees[[#This Row],[Department]]="IT",TBL_Employees[[#This Row],[Gender]]="Female"),"Yes","No")</f>
        <v>No</v>
      </c>
      <c r="Q482" t="str">
        <f>IF(AND(TBL_Employees[[#This Row],[Gender]]="Female",TBL_Employees[[#This Row],[Ethnicity]]="Black"), "Female_Black", "Others")</f>
        <v>Others</v>
      </c>
    </row>
    <row r="483" spans="1:17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7">
        <v>42696</v>
      </c>
      <c r="J483" s="1">
        <v>253249</v>
      </c>
      <c r="K483" s="2">
        <v>0.31</v>
      </c>
      <c r="L483" t="s">
        <v>19</v>
      </c>
      <c r="M483" t="s">
        <v>25</v>
      </c>
      <c r="N483" s="7" t="s">
        <v>21</v>
      </c>
      <c r="O483" s="1">
        <f>TBL_Employees[[#This Row],[Annual Salary]]+TBL_Employees[[#This Row],[Bonus %]]*TBL_Employees[[#This Row],[Annual Salary]]</f>
        <v>331756.19</v>
      </c>
      <c r="P483" t="str">
        <f>IF(AND(TBL_Employees[[#This Row],[Department]]="IT",TBL_Employees[[#This Row],[Gender]]="Female"),"Yes","No")</f>
        <v>No</v>
      </c>
      <c r="Q483" t="str">
        <f>IF(AND(TBL_Employees[[#This Row],[Gender]]="Female",TBL_Employees[[#This Row],[Ethnicity]]="Black"), "Female_Black", "Others")</f>
        <v>Others</v>
      </c>
    </row>
    <row r="484" spans="1:17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7">
        <v>38667</v>
      </c>
      <c r="J484" s="1">
        <v>78388</v>
      </c>
      <c r="K484" s="2">
        <v>0</v>
      </c>
      <c r="L484" t="s">
        <v>33</v>
      </c>
      <c r="M484" t="s">
        <v>80</v>
      </c>
      <c r="N484" s="7" t="s">
        <v>21</v>
      </c>
      <c r="O484" s="1">
        <f>TBL_Employees[[#This Row],[Annual Salary]]+TBL_Employees[[#This Row],[Bonus %]]*TBL_Employees[[#This Row],[Annual Salary]]</f>
        <v>78388</v>
      </c>
      <c r="P484" t="str">
        <f>IF(AND(TBL_Employees[[#This Row],[Department]]="IT",TBL_Employees[[#This Row],[Gender]]="Female"),"Yes","No")</f>
        <v>No</v>
      </c>
      <c r="Q484" t="str">
        <f>IF(AND(TBL_Employees[[#This Row],[Gender]]="Female",TBL_Employees[[#This Row],[Ethnicity]]="Black"), "Female_Black", "Others")</f>
        <v>Others</v>
      </c>
    </row>
    <row r="485" spans="1:17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7">
        <v>42543</v>
      </c>
      <c r="J485" s="1">
        <v>249870</v>
      </c>
      <c r="K485" s="2">
        <v>0.34</v>
      </c>
      <c r="L485" t="s">
        <v>19</v>
      </c>
      <c r="M485" t="s">
        <v>20</v>
      </c>
      <c r="N485" s="7" t="s">
        <v>21</v>
      </c>
      <c r="O485" s="1">
        <f>TBL_Employees[[#This Row],[Annual Salary]]+TBL_Employees[[#This Row],[Bonus %]]*TBL_Employees[[#This Row],[Annual Salary]]</f>
        <v>334825.8</v>
      </c>
      <c r="P485" t="str">
        <f>IF(AND(TBL_Employees[[#This Row],[Department]]="IT",TBL_Employees[[#This Row],[Gender]]="Female"),"Yes","No")</f>
        <v>No</v>
      </c>
      <c r="Q485" t="str">
        <f>IF(AND(TBL_Employees[[#This Row],[Gender]]="Female",TBL_Employees[[#This Row],[Ethnicity]]="Black"), "Female_Black", "Others")</f>
        <v>Others</v>
      </c>
    </row>
    <row r="486" spans="1:17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7">
        <v>42064</v>
      </c>
      <c r="J486" s="1">
        <v>148321</v>
      </c>
      <c r="K486" s="2">
        <v>0.15</v>
      </c>
      <c r="L486" t="s">
        <v>33</v>
      </c>
      <c r="M486" t="s">
        <v>60</v>
      </c>
      <c r="N486" s="7" t="s">
        <v>21</v>
      </c>
      <c r="O486" s="1">
        <f>TBL_Employees[[#This Row],[Annual Salary]]+TBL_Employees[[#This Row],[Bonus %]]*TBL_Employees[[#This Row],[Annual Salary]]</f>
        <v>170569.15</v>
      </c>
      <c r="P486" t="str">
        <f>IF(AND(TBL_Employees[[#This Row],[Department]]="IT",TBL_Employees[[#This Row],[Gender]]="Female"),"Yes","No")</f>
        <v>No</v>
      </c>
      <c r="Q486" t="str">
        <f>IF(AND(TBL_Employees[[#This Row],[Gender]]="Female",TBL_Employees[[#This Row],[Ethnicity]]="Black"), "Female_Black", "Others")</f>
        <v>Others</v>
      </c>
    </row>
    <row r="487" spans="1:17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7">
        <v>38027</v>
      </c>
      <c r="J487" s="1">
        <v>90258</v>
      </c>
      <c r="K487" s="2">
        <v>0</v>
      </c>
      <c r="L487" t="s">
        <v>33</v>
      </c>
      <c r="M487" t="s">
        <v>80</v>
      </c>
      <c r="N487" s="7" t="s">
        <v>21</v>
      </c>
      <c r="O487" s="1">
        <f>TBL_Employees[[#This Row],[Annual Salary]]+TBL_Employees[[#This Row],[Bonus %]]*TBL_Employees[[#This Row],[Annual Salary]]</f>
        <v>90258</v>
      </c>
      <c r="P487" t="str">
        <f>IF(AND(TBL_Employees[[#This Row],[Department]]="IT",TBL_Employees[[#This Row],[Gender]]="Female"),"Yes","No")</f>
        <v>Yes</v>
      </c>
      <c r="Q487" t="str">
        <f>IF(AND(TBL_Employees[[#This Row],[Gender]]="Female",TBL_Employees[[#This Row],[Ethnicity]]="Black"), "Female_Black", "Others")</f>
        <v>Others</v>
      </c>
    </row>
    <row r="488" spans="1:17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7">
        <v>40593</v>
      </c>
      <c r="J488" s="1">
        <v>72486</v>
      </c>
      <c r="K488" s="2">
        <v>0</v>
      </c>
      <c r="L488" t="s">
        <v>19</v>
      </c>
      <c r="M488" t="s">
        <v>63</v>
      </c>
      <c r="N488" s="7" t="s">
        <v>21</v>
      </c>
      <c r="O488" s="1">
        <f>TBL_Employees[[#This Row],[Annual Salary]]+TBL_Employees[[#This Row],[Bonus %]]*TBL_Employees[[#This Row],[Annual Salary]]</f>
        <v>72486</v>
      </c>
      <c r="P488" t="str">
        <f>IF(AND(TBL_Employees[[#This Row],[Department]]="IT",TBL_Employees[[#This Row],[Gender]]="Female"),"Yes","No")</f>
        <v>Yes</v>
      </c>
      <c r="Q488" t="str">
        <f>IF(AND(TBL_Employees[[#This Row],[Gender]]="Female",TBL_Employees[[#This Row],[Ethnicity]]="Black"), "Female_Black", "Others")</f>
        <v>Female_Black</v>
      </c>
    </row>
    <row r="489" spans="1:17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7">
        <v>41886</v>
      </c>
      <c r="J489" s="1">
        <v>95499</v>
      </c>
      <c r="K489" s="2">
        <v>0</v>
      </c>
      <c r="L489" t="s">
        <v>52</v>
      </c>
      <c r="M489" t="s">
        <v>53</v>
      </c>
      <c r="N489" s="7">
        <v>42958</v>
      </c>
      <c r="O489" s="1">
        <f>TBL_Employees[[#This Row],[Annual Salary]]+TBL_Employees[[#This Row],[Bonus %]]*TBL_Employees[[#This Row],[Annual Salary]]</f>
        <v>95499</v>
      </c>
      <c r="P489" t="str">
        <f>IF(AND(TBL_Employees[[#This Row],[Department]]="IT",TBL_Employees[[#This Row],[Gender]]="Female"),"Yes","No")</f>
        <v>No</v>
      </c>
      <c r="Q489" t="str">
        <f>IF(AND(TBL_Employees[[#This Row],[Gender]]="Female",TBL_Employees[[#This Row],[Ethnicity]]="Black"), "Female_Black", "Others")</f>
        <v>Others</v>
      </c>
    </row>
    <row r="490" spans="1:17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7">
        <v>38344</v>
      </c>
      <c r="J490" s="1">
        <v>90212</v>
      </c>
      <c r="K490" s="2">
        <v>0</v>
      </c>
      <c r="L490" t="s">
        <v>52</v>
      </c>
      <c r="M490" t="s">
        <v>53</v>
      </c>
      <c r="N490" s="7" t="s">
        <v>21</v>
      </c>
      <c r="O490" s="1">
        <f>TBL_Employees[[#This Row],[Annual Salary]]+TBL_Employees[[#This Row],[Bonus %]]*TBL_Employees[[#This Row],[Annual Salary]]</f>
        <v>90212</v>
      </c>
      <c r="P490" t="str">
        <f>IF(AND(TBL_Employees[[#This Row],[Department]]="IT",TBL_Employees[[#This Row],[Gender]]="Female"),"Yes","No")</f>
        <v>No</v>
      </c>
      <c r="Q490" t="str">
        <f>IF(AND(TBL_Employees[[#This Row],[Gender]]="Female",TBL_Employees[[#This Row],[Ethnicity]]="Black"), "Female_Black", "Others")</f>
        <v>Others</v>
      </c>
    </row>
    <row r="491" spans="1:17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7">
        <v>43804</v>
      </c>
      <c r="J491" s="1">
        <v>254057</v>
      </c>
      <c r="K491" s="2">
        <v>0.39</v>
      </c>
      <c r="L491" t="s">
        <v>33</v>
      </c>
      <c r="M491" t="s">
        <v>74</v>
      </c>
      <c r="N491" s="7" t="s">
        <v>21</v>
      </c>
      <c r="O491" s="1">
        <f>TBL_Employees[[#This Row],[Annual Salary]]+TBL_Employees[[#This Row],[Bonus %]]*TBL_Employees[[#This Row],[Annual Salary]]</f>
        <v>353139.23</v>
      </c>
      <c r="P491" t="str">
        <f>IF(AND(TBL_Employees[[#This Row],[Department]]="IT",TBL_Employees[[#This Row],[Gender]]="Female"),"Yes","No")</f>
        <v>No</v>
      </c>
      <c r="Q491" t="str">
        <f>IF(AND(TBL_Employees[[#This Row],[Gender]]="Female",TBL_Employees[[#This Row],[Ethnicity]]="Black"), "Female_Black", "Others")</f>
        <v>Others</v>
      </c>
    </row>
    <row r="492" spans="1:17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7">
        <v>40463</v>
      </c>
      <c r="J492" s="1">
        <v>43001</v>
      </c>
      <c r="K492" s="2">
        <v>0</v>
      </c>
      <c r="L492" t="s">
        <v>19</v>
      </c>
      <c r="M492" t="s">
        <v>25</v>
      </c>
      <c r="N492" s="7" t="s">
        <v>21</v>
      </c>
      <c r="O492" s="1">
        <f>TBL_Employees[[#This Row],[Annual Salary]]+TBL_Employees[[#This Row],[Bonus %]]*TBL_Employees[[#This Row],[Annual Salary]]</f>
        <v>43001</v>
      </c>
      <c r="P492" t="str">
        <f>IF(AND(TBL_Employees[[#This Row],[Department]]="IT",TBL_Employees[[#This Row],[Gender]]="Female"),"Yes","No")</f>
        <v>No</v>
      </c>
      <c r="Q492" t="str">
        <f>IF(AND(TBL_Employees[[#This Row],[Gender]]="Female",TBL_Employees[[#This Row],[Ethnicity]]="Black"), "Female_Black", "Others")</f>
        <v>Others</v>
      </c>
    </row>
    <row r="493" spans="1:17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7">
        <v>36010</v>
      </c>
      <c r="J493" s="1">
        <v>85120</v>
      </c>
      <c r="K493" s="2">
        <v>0.09</v>
      </c>
      <c r="L493" t="s">
        <v>19</v>
      </c>
      <c r="M493" t="s">
        <v>63</v>
      </c>
      <c r="N493" s="7" t="s">
        <v>21</v>
      </c>
      <c r="O493" s="1">
        <f>TBL_Employees[[#This Row],[Annual Salary]]+TBL_Employees[[#This Row],[Bonus %]]*TBL_Employees[[#This Row],[Annual Salary]]</f>
        <v>92780.800000000003</v>
      </c>
      <c r="P493" t="str">
        <f>IF(AND(TBL_Employees[[#This Row],[Department]]="IT",TBL_Employees[[#This Row],[Gender]]="Female"),"Yes","No")</f>
        <v>No</v>
      </c>
      <c r="Q493" t="str">
        <f>IF(AND(TBL_Employees[[#This Row],[Gender]]="Female",TBL_Employees[[#This Row],[Ethnicity]]="Black"), "Female_Black", "Others")</f>
        <v>Others</v>
      </c>
    </row>
    <row r="494" spans="1:17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7">
        <v>42219</v>
      </c>
      <c r="J494" s="1">
        <v>52200</v>
      </c>
      <c r="K494" s="2">
        <v>0</v>
      </c>
      <c r="L494" t="s">
        <v>19</v>
      </c>
      <c r="M494" t="s">
        <v>29</v>
      </c>
      <c r="N494" s="7" t="s">
        <v>21</v>
      </c>
      <c r="O494" s="1">
        <f>TBL_Employees[[#This Row],[Annual Salary]]+TBL_Employees[[#This Row],[Bonus %]]*TBL_Employees[[#This Row],[Annual Salary]]</f>
        <v>52200</v>
      </c>
      <c r="P494" t="str">
        <f>IF(AND(TBL_Employees[[#This Row],[Department]]="IT",TBL_Employees[[#This Row],[Gender]]="Female"),"Yes","No")</f>
        <v>No</v>
      </c>
      <c r="Q494" t="str">
        <f>IF(AND(TBL_Employees[[#This Row],[Gender]]="Female",TBL_Employees[[#This Row],[Ethnicity]]="Black"), "Female_Black", "Others")</f>
        <v>Others</v>
      </c>
    </row>
    <row r="495" spans="1:17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7">
        <v>39739</v>
      </c>
      <c r="J495" s="1">
        <v>150855</v>
      </c>
      <c r="K495" s="2">
        <v>0.11</v>
      </c>
      <c r="L495" t="s">
        <v>19</v>
      </c>
      <c r="M495" t="s">
        <v>39</v>
      </c>
      <c r="N495" s="7" t="s">
        <v>21</v>
      </c>
      <c r="O495" s="1">
        <f>TBL_Employees[[#This Row],[Annual Salary]]+TBL_Employees[[#This Row],[Bonus %]]*TBL_Employees[[#This Row],[Annual Salary]]</f>
        <v>167449.04999999999</v>
      </c>
      <c r="P495" t="str">
        <f>IF(AND(TBL_Employees[[#This Row],[Department]]="IT",TBL_Employees[[#This Row],[Gender]]="Female"),"Yes","No")</f>
        <v>No</v>
      </c>
      <c r="Q495" t="str">
        <f>IF(AND(TBL_Employees[[#This Row],[Gender]]="Female",TBL_Employees[[#This Row],[Ethnicity]]="Black"), "Female_Black", "Others")</f>
        <v>Others</v>
      </c>
    </row>
    <row r="496" spans="1:17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7">
        <v>38188</v>
      </c>
      <c r="J496" s="1">
        <v>65702</v>
      </c>
      <c r="K496" s="2">
        <v>0</v>
      </c>
      <c r="L496" t="s">
        <v>19</v>
      </c>
      <c r="M496" t="s">
        <v>29</v>
      </c>
      <c r="N496" s="7" t="s">
        <v>21</v>
      </c>
      <c r="O496" s="1">
        <f>TBL_Employees[[#This Row],[Annual Salary]]+TBL_Employees[[#This Row],[Bonus %]]*TBL_Employees[[#This Row],[Annual Salary]]</f>
        <v>65702</v>
      </c>
      <c r="P496" t="str">
        <f>IF(AND(TBL_Employees[[#This Row],[Department]]="IT",TBL_Employees[[#This Row],[Gender]]="Female"),"Yes","No")</f>
        <v>Yes</v>
      </c>
      <c r="Q496" t="str">
        <f>IF(AND(TBL_Employees[[#This Row],[Gender]]="Female",TBL_Employees[[#This Row],[Ethnicity]]="Black"), "Female_Black", "Others")</f>
        <v>Others</v>
      </c>
    </row>
    <row r="497" spans="1:17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7">
        <v>39367</v>
      </c>
      <c r="J497" s="1">
        <v>162038</v>
      </c>
      <c r="K497" s="2">
        <v>0.24</v>
      </c>
      <c r="L497" t="s">
        <v>33</v>
      </c>
      <c r="M497" t="s">
        <v>80</v>
      </c>
      <c r="N497" s="7" t="s">
        <v>21</v>
      </c>
      <c r="O497" s="1">
        <f>TBL_Employees[[#This Row],[Annual Salary]]+TBL_Employees[[#This Row],[Bonus %]]*TBL_Employees[[#This Row],[Annual Salary]]</f>
        <v>200927.12</v>
      </c>
      <c r="P497" t="str">
        <f>IF(AND(TBL_Employees[[#This Row],[Department]]="IT",TBL_Employees[[#This Row],[Gender]]="Female"),"Yes","No")</f>
        <v>No</v>
      </c>
      <c r="Q497" t="str">
        <f>IF(AND(TBL_Employees[[#This Row],[Gender]]="Female",TBL_Employees[[#This Row],[Ethnicity]]="Black"), "Female_Black", "Others")</f>
        <v>Others</v>
      </c>
    </row>
    <row r="498" spans="1:17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7">
        <v>43930</v>
      </c>
      <c r="J498" s="1">
        <v>157057</v>
      </c>
      <c r="K498" s="2">
        <v>0.1</v>
      </c>
      <c r="L498" t="s">
        <v>19</v>
      </c>
      <c r="M498" t="s">
        <v>29</v>
      </c>
      <c r="N498" s="7" t="s">
        <v>21</v>
      </c>
      <c r="O498" s="1">
        <f>TBL_Employees[[#This Row],[Annual Salary]]+TBL_Employees[[#This Row],[Bonus %]]*TBL_Employees[[#This Row],[Annual Salary]]</f>
        <v>172762.7</v>
      </c>
      <c r="P498" t="str">
        <f>IF(AND(TBL_Employees[[#This Row],[Department]]="IT",TBL_Employees[[#This Row],[Gender]]="Female"),"Yes","No")</f>
        <v>No</v>
      </c>
      <c r="Q498" t="str">
        <f>IF(AND(TBL_Employees[[#This Row],[Gender]]="Female",TBL_Employees[[#This Row],[Ethnicity]]="Black"), "Female_Black", "Others")</f>
        <v>Others</v>
      </c>
    </row>
    <row r="499" spans="1:17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7">
        <v>44419</v>
      </c>
      <c r="J499" s="1">
        <v>127559</v>
      </c>
      <c r="K499" s="2">
        <v>0.1</v>
      </c>
      <c r="L499" t="s">
        <v>19</v>
      </c>
      <c r="M499" t="s">
        <v>25</v>
      </c>
      <c r="N499" s="7" t="s">
        <v>21</v>
      </c>
      <c r="O499" s="1">
        <f>TBL_Employees[[#This Row],[Annual Salary]]+TBL_Employees[[#This Row],[Bonus %]]*TBL_Employees[[#This Row],[Annual Salary]]</f>
        <v>140314.9</v>
      </c>
      <c r="P499" t="str">
        <f>IF(AND(TBL_Employees[[#This Row],[Department]]="IT",TBL_Employees[[#This Row],[Gender]]="Female"),"Yes","No")</f>
        <v>No</v>
      </c>
      <c r="Q499" t="str">
        <f>IF(AND(TBL_Employees[[#This Row],[Gender]]="Female",TBL_Employees[[#This Row],[Ethnicity]]="Black"), "Female_Black", "Others")</f>
        <v>Others</v>
      </c>
    </row>
    <row r="500" spans="1:17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7">
        <v>43536</v>
      </c>
      <c r="J500" s="1">
        <v>62644</v>
      </c>
      <c r="K500" s="2">
        <v>0</v>
      </c>
      <c r="L500" t="s">
        <v>19</v>
      </c>
      <c r="M500" t="s">
        <v>63</v>
      </c>
      <c r="N500" s="7" t="s">
        <v>21</v>
      </c>
      <c r="O500" s="1">
        <f>TBL_Employees[[#This Row],[Annual Salary]]+TBL_Employees[[#This Row],[Bonus %]]*TBL_Employees[[#This Row],[Annual Salary]]</f>
        <v>62644</v>
      </c>
      <c r="P500" t="str">
        <f>IF(AND(TBL_Employees[[#This Row],[Department]]="IT",TBL_Employees[[#This Row],[Gender]]="Female"),"Yes","No")</f>
        <v>No</v>
      </c>
      <c r="Q500" t="str">
        <f>IF(AND(TBL_Employees[[#This Row],[Gender]]="Female",TBL_Employees[[#This Row],[Ethnicity]]="Black"), "Female_Black", "Others")</f>
        <v>Others</v>
      </c>
    </row>
    <row r="501" spans="1:17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7">
        <v>36956</v>
      </c>
      <c r="J501" s="1">
        <v>73907</v>
      </c>
      <c r="K501" s="2">
        <v>0</v>
      </c>
      <c r="L501" t="s">
        <v>33</v>
      </c>
      <c r="M501" t="s">
        <v>74</v>
      </c>
      <c r="N501" s="7" t="s">
        <v>21</v>
      </c>
      <c r="O501" s="1">
        <f>TBL_Employees[[#This Row],[Annual Salary]]+TBL_Employees[[#This Row],[Bonus %]]*TBL_Employees[[#This Row],[Annual Salary]]</f>
        <v>73907</v>
      </c>
      <c r="P501" t="str">
        <f>IF(AND(TBL_Employees[[#This Row],[Department]]="IT",TBL_Employees[[#This Row],[Gender]]="Female"),"Yes","No")</f>
        <v>No</v>
      </c>
      <c r="Q501" t="str">
        <f>IF(AND(TBL_Employees[[#This Row],[Gender]]="Female",TBL_Employees[[#This Row],[Ethnicity]]="Black"), "Female_Black", "Others")</f>
        <v>Others</v>
      </c>
    </row>
    <row r="502" spans="1:17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7">
        <v>43169</v>
      </c>
      <c r="J502" s="1">
        <v>90040</v>
      </c>
      <c r="K502" s="2">
        <v>0</v>
      </c>
      <c r="L502" t="s">
        <v>19</v>
      </c>
      <c r="M502" t="s">
        <v>20</v>
      </c>
      <c r="N502" s="7" t="s">
        <v>21</v>
      </c>
      <c r="O502" s="1">
        <f>TBL_Employees[[#This Row],[Annual Salary]]+TBL_Employees[[#This Row],[Bonus %]]*TBL_Employees[[#This Row],[Annual Salary]]</f>
        <v>90040</v>
      </c>
      <c r="P502" t="str">
        <f>IF(AND(TBL_Employees[[#This Row],[Department]]="IT",TBL_Employees[[#This Row],[Gender]]="Female"),"Yes","No")</f>
        <v>No</v>
      </c>
      <c r="Q502" t="str">
        <f>IF(AND(TBL_Employees[[#This Row],[Gender]]="Female",TBL_Employees[[#This Row],[Ethnicity]]="Black"), "Female_Black", "Others")</f>
        <v>Others</v>
      </c>
    </row>
    <row r="503" spans="1:17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7">
        <v>42516</v>
      </c>
      <c r="J503" s="1">
        <v>91134</v>
      </c>
      <c r="K503" s="2">
        <v>0</v>
      </c>
      <c r="L503" t="s">
        <v>52</v>
      </c>
      <c r="M503" t="s">
        <v>53</v>
      </c>
      <c r="N503" s="7" t="s">
        <v>21</v>
      </c>
      <c r="O503" s="1">
        <f>TBL_Employees[[#This Row],[Annual Salary]]+TBL_Employees[[#This Row],[Bonus %]]*TBL_Employees[[#This Row],[Annual Salary]]</f>
        <v>91134</v>
      </c>
      <c r="P503" t="str">
        <f>IF(AND(TBL_Employees[[#This Row],[Department]]="IT",TBL_Employees[[#This Row],[Gender]]="Female"),"Yes","No")</f>
        <v>No</v>
      </c>
      <c r="Q503" t="str">
        <f>IF(AND(TBL_Employees[[#This Row],[Gender]]="Female",TBL_Employees[[#This Row],[Ethnicity]]="Black"), "Female_Black", "Others")</f>
        <v>Others</v>
      </c>
    </row>
    <row r="504" spans="1:17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7">
        <v>44461</v>
      </c>
      <c r="J504" s="1">
        <v>201396</v>
      </c>
      <c r="K504" s="2">
        <v>0.32</v>
      </c>
      <c r="L504" t="s">
        <v>19</v>
      </c>
      <c r="M504" t="s">
        <v>45</v>
      </c>
      <c r="N504" s="7" t="s">
        <v>21</v>
      </c>
      <c r="O504" s="1">
        <f>TBL_Employees[[#This Row],[Annual Salary]]+TBL_Employees[[#This Row],[Bonus %]]*TBL_Employees[[#This Row],[Annual Salary]]</f>
        <v>265842.71999999997</v>
      </c>
      <c r="P504" t="str">
        <f>IF(AND(TBL_Employees[[#This Row],[Department]]="IT",TBL_Employees[[#This Row],[Gender]]="Female"),"Yes","No")</f>
        <v>No</v>
      </c>
      <c r="Q504" t="str">
        <f>IF(AND(TBL_Employees[[#This Row],[Gender]]="Female",TBL_Employees[[#This Row],[Ethnicity]]="Black"), "Female_Black", "Others")</f>
        <v>Others</v>
      </c>
    </row>
    <row r="505" spans="1:17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7">
        <v>40899</v>
      </c>
      <c r="J505" s="1">
        <v>54733</v>
      </c>
      <c r="K505" s="2">
        <v>0</v>
      </c>
      <c r="L505" t="s">
        <v>33</v>
      </c>
      <c r="M505" t="s">
        <v>80</v>
      </c>
      <c r="N505" s="7" t="s">
        <v>21</v>
      </c>
      <c r="O505" s="1">
        <f>TBL_Employees[[#This Row],[Annual Salary]]+TBL_Employees[[#This Row],[Bonus %]]*TBL_Employees[[#This Row],[Annual Salary]]</f>
        <v>54733</v>
      </c>
      <c r="P505" t="str">
        <f>IF(AND(TBL_Employees[[#This Row],[Department]]="IT",TBL_Employees[[#This Row],[Gender]]="Female"),"Yes","No")</f>
        <v>No</v>
      </c>
      <c r="Q505" t="str">
        <f>IF(AND(TBL_Employees[[#This Row],[Gender]]="Female",TBL_Employees[[#This Row],[Ethnicity]]="Black"), "Female_Black", "Others")</f>
        <v>Others</v>
      </c>
    </row>
    <row r="506" spans="1:17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7">
        <v>43633</v>
      </c>
      <c r="J506" s="1">
        <v>65341</v>
      </c>
      <c r="K506" s="2">
        <v>0</v>
      </c>
      <c r="L506" t="s">
        <v>19</v>
      </c>
      <c r="M506" t="s">
        <v>45</v>
      </c>
      <c r="N506" s="7">
        <v>44662</v>
      </c>
      <c r="O506" s="1">
        <f>TBL_Employees[[#This Row],[Annual Salary]]+TBL_Employees[[#This Row],[Bonus %]]*TBL_Employees[[#This Row],[Annual Salary]]</f>
        <v>65341</v>
      </c>
      <c r="P506" t="str">
        <f>IF(AND(TBL_Employees[[#This Row],[Department]]="IT",TBL_Employees[[#This Row],[Gender]]="Female"),"Yes","No")</f>
        <v>No</v>
      </c>
      <c r="Q506" t="str">
        <f>IF(AND(TBL_Employees[[#This Row],[Gender]]="Female",TBL_Employees[[#This Row],[Ethnicity]]="Black"), "Female_Black", "Others")</f>
        <v>Others</v>
      </c>
    </row>
    <row r="507" spans="1:17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7">
        <v>43400</v>
      </c>
      <c r="J507" s="1">
        <v>139208</v>
      </c>
      <c r="K507" s="2">
        <v>0.11</v>
      </c>
      <c r="L507" t="s">
        <v>19</v>
      </c>
      <c r="M507" t="s">
        <v>25</v>
      </c>
      <c r="N507" s="7" t="s">
        <v>21</v>
      </c>
      <c r="O507" s="1">
        <f>TBL_Employees[[#This Row],[Annual Salary]]+TBL_Employees[[#This Row],[Bonus %]]*TBL_Employees[[#This Row],[Annual Salary]]</f>
        <v>154520.88</v>
      </c>
      <c r="P507" t="str">
        <f>IF(AND(TBL_Employees[[#This Row],[Department]]="IT",TBL_Employees[[#This Row],[Gender]]="Female"),"Yes","No")</f>
        <v>No</v>
      </c>
      <c r="Q507" t="str">
        <f>IF(AND(TBL_Employees[[#This Row],[Gender]]="Female",TBL_Employees[[#This Row],[Ethnicity]]="Black"), "Female_Black", "Others")</f>
        <v>Female_Black</v>
      </c>
    </row>
    <row r="508" spans="1:17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7">
        <v>43171</v>
      </c>
      <c r="J508" s="1">
        <v>73200</v>
      </c>
      <c r="K508" s="2">
        <v>0</v>
      </c>
      <c r="L508" t="s">
        <v>33</v>
      </c>
      <c r="M508" t="s">
        <v>74</v>
      </c>
      <c r="N508" s="7" t="s">
        <v>21</v>
      </c>
      <c r="O508" s="1">
        <f>TBL_Employees[[#This Row],[Annual Salary]]+TBL_Employees[[#This Row],[Bonus %]]*TBL_Employees[[#This Row],[Annual Salary]]</f>
        <v>73200</v>
      </c>
      <c r="P508" t="str">
        <f>IF(AND(TBL_Employees[[#This Row],[Department]]="IT",TBL_Employees[[#This Row],[Gender]]="Female"),"Yes","No")</f>
        <v>No</v>
      </c>
      <c r="Q508" t="str">
        <f>IF(AND(TBL_Employees[[#This Row],[Gender]]="Female",TBL_Employees[[#This Row],[Ethnicity]]="Black"), "Female_Black", "Others")</f>
        <v>Others</v>
      </c>
    </row>
    <row r="509" spans="1:17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7">
        <v>40292</v>
      </c>
      <c r="J509" s="1">
        <v>102636</v>
      </c>
      <c r="K509" s="2">
        <v>0.06</v>
      </c>
      <c r="L509" t="s">
        <v>19</v>
      </c>
      <c r="M509" t="s">
        <v>63</v>
      </c>
      <c r="N509" s="7" t="s">
        <v>21</v>
      </c>
      <c r="O509" s="1">
        <f>TBL_Employees[[#This Row],[Annual Salary]]+TBL_Employees[[#This Row],[Bonus %]]*TBL_Employees[[#This Row],[Annual Salary]]</f>
        <v>108794.16</v>
      </c>
      <c r="P509" t="str">
        <f>IF(AND(TBL_Employees[[#This Row],[Department]]="IT",TBL_Employees[[#This Row],[Gender]]="Female"),"Yes","No")</f>
        <v>No</v>
      </c>
      <c r="Q509" t="str">
        <f>IF(AND(TBL_Employees[[#This Row],[Gender]]="Female",TBL_Employees[[#This Row],[Ethnicity]]="Black"), "Female_Black", "Others")</f>
        <v>Others</v>
      </c>
    </row>
    <row r="510" spans="1:17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7">
        <v>44236</v>
      </c>
      <c r="J510" s="1">
        <v>87427</v>
      </c>
      <c r="K510" s="2">
        <v>0</v>
      </c>
      <c r="L510" t="s">
        <v>52</v>
      </c>
      <c r="M510" t="s">
        <v>53</v>
      </c>
      <c r="N510" s="7" t="s">
        <v>21</v>
      </c>
      <c r="O510" s="1">
        <f>TBL_Employees[[#This Row],[Annual Salary]]+TBL_Employees[[#This Row],[Bonus %]]*TBL_Employees[[#This Row],[Annual Salary]]</f>
        <v>87427</v>
      </c>
      <c r="P510" t="str">
        <f>IF(AND(TBL_Employees[[#This Row],[Department]]="IT",TBL_Employees[[#This Row],[Gender]]="Female"),"Yes","No")</f>
        <v>No</v>
      </c>
      <c r="Q510" t="str">
        <f>IF(AND(TBL_Employees[[#This Row],[Gender]]="Female",TBL_Employees[[#This Row],[Ethnicity]]="Black"), "Female_Black", "Others")</f>
        <v>Others</v>
      </c>
    </row>
    <row r="511" spans="1:17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7">
        <v>43248</v>
      </c>
      <c r="J511" s="1">
        <v>49219</v>
      </c>
      <c r="K511" s="2">
        <v>0</v>
      </c>
      <c r="L511" t="s">
        <v>19</v>
      </c>
      <c r="M511" t="s">
        <v>29</v>
      </c>
      <c r="N511" s="7" t="s">
        <v>21</v>
      </c>
      <c r="O511" s="1">
        <f>TBL_Employees[[#This Row],[Annual Salary]]+TBL_Employees[[#This Row],[Bonus %]]*TBL_Employees[[#This Row],[Annual Salary]]</f>
        <v>49219</v>
      </c>
      <c r="P511" t="str">
        <f>IF(AND(TBL_Employees[[#This Row],[Department]]="IT",TBL_Employees[[#This Row],[Gender]]="Female"),"Yes","No")</f>
        <v>No</v>
      </c>
      <c r="Q511" t="str">
        <f>IF(AND(TBL_Employees[[#This Row],[Gender]]="Female",TBL_Employees[[#This Row],[Ethnicity]]="Black"), "Female_Black", "Others")</f>
        <v>Others</v>
      </c>
    </row>
    <row r="512" spans="1:17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7">
        <v>43239</v>
      </c>
      <c r="J512" s="1">
        <v>106437</v>
      </c>
      <c r="K512" s="2">
        <v>7.0000000000000007E-2</v>
      </c>
      <c r="L512" t="s">
        <v>33</v>
      </c>
      <c r="M512" t="s">
        <v>80</v>
      </c>
      <c r="N512" s="7" t="s">
        <v>21</v>
      </c>
      <c r="O512" s="1">
        <f>TBL_Employees[[#This Row],[Annual Salary]]+TBL_Employees[[#This Row],[Bonus %]]*TBL_Employees[[#This Row],[Annual Salary]]</f>
        <v>113887.59</v>
      </c>
      <c r="P512" t="str">
        <f>IF(AND(TBL_Employees[[#This Row],[Department]]="IT",TBL_Employees[[#This Row],[Gender]]="Female"),"Yes","No")</f>
        <v>No</v>
      </c>
      <c r="Q512" t="str">
        <f>IF(AND(TBL_Employees[[#This Row],[Gender]]="Female",TBL_Employees[[#This Row],[Ethnicity]]="Black"), "Female_Black", "Others")</f>
        <v>Others</v>
      </c>
    </row>
    <row r="513" spans="1:17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7">
        <v>42129</v>
      </c>
      <c r="J513" s="1">
        <v>64364</v>
      </c>
      <c r="K513" s="2">
        <v>0</v>
      </c>
      <c r="L513" t="s">
        <v>52</v>
      </c>
      <c r="M513" t="s">
        <v>53</v>
      </c>
      <c r="N513" s="7" t="s">
        <v>21</v>
      </c>
      <c r="O513" s="1">
        <f>TBL_Employees[[#This Row],[Annual Salary]]+TBL_Employees[[#This Row],[Bonus %]]*TBL_Employees[[#This Row],[Annual Salary]]</f>
        <v>64364</v>
      </c>
      <c r="P513" t="str">
        <f>IF(AND(TBL_Employees[[#This Row],[Department]]="IT",TBL_Employees[[#This Row],[Gender]]="Female"),"Yes","No")</f>
        <v>No</v>
      </c>
      <c r="Q513" t="str">
        <f>IF(AND(TBL_Employees[[#This Row],[Gender]]="Female",TBL_Employees[[#This Row],[Ethnicity]]="Black"), "Female_Black", "Others")</f>
        <v>Others</v>
      </c>
    </row>
    <row r="514" spans="1:17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7">
        <v>44486</v>
      </c>
      <c r="J514" s="1">
        <v>172180</v>
      </c>
      <c r="K514" s="2">
        <v>0.3</v>
      </c>
      <c r="L514" t="s">
        <v>19</v>
      </c>
      <c r="M514" t="s">
        <v>29</v>
      </c>
      <c r="N514" s="7" t="s">
        <v>21</v>
      </c>
      <c r="O514" s="1">
        <f>TBL_Employees[[#This Row],[Annual Salary]]+TBL_Employees[[#This Row],[Bonus %]]*TBL_Employees[[#This Row],[Annual Salary]]</f>
        <v>223834</v>
      </c>
      <c r="P514" t="str">
        <f>IF(AND(TBL_Employees[[#This Row],[Department]]="IT",TBL_Employees[[#This Row],[Gender]]="Female"),"Yes","No")</f>
        <v>No</v>
      </c>
      <c r="Q514" t="str">
        <f>IF(AND(TBL_Employees[[#This Row],[Gender]]="Female",TBL_Employees[[#This Row],[Ethnicity]]="Black"), "Female_Black", "Others")</f>
        <v>Others</v>
      </c>
    </row>
    <row r="515" spans="1:17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7">
        <v>41043</v>
      </c>
      <c r="J515" s="1">
        <v>88343</v>
      </c>
      <c r="K515" s="2">
        <v>0</v>
      </c>
      <c r="L515" t="s">
        <v>52</v>
      </c>
      <c r="M515" t="s">
        <v>66</v>
      </c>
      <c r="N515" s="7" t="s">
        <v>21</v>
      </c>
      <c r="O515" s="1">
        <f>TBL_Employees[[#This Row],[Annual Salary]]+TBL_Employees[[#This Row],[Bonus %]]*TBL_Employees[[#This Row],[Annual Salary]]</f>
        <v>88343</v>
      </c>
      <c r="P515" t="str">
        <f>IF(AND(TBL_Employees[[#This Row],[Department]]="IT",TBL_Employees[[#This Row],[Gender]]="Female"),"Yes","No")</f>
        <v>No</v>
      </c>
      <c r="Q515" t="str">
        <f>IF(AND(TBL_Employees[[#This Row],[Gender]]="Female",TBL_Employees[[#This Row],[Ethnicity]]="Black"), "Female_Black", "Others")</f>
        <v>Others</v>
      </c>
    </row>
    <row r="516" spans="1:17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7">
        <v>41830</v>
      </c>
      <c r="J516" s="1">
        <v>66649</v>
      </c>
      <c r="K516" s="2">
        <v>0</v>
      </c>
      <c r="L516" t="s">
        <v>52</v>
      </c>
      <c r="M516" t="s">
        <v>66</v>
      </c>
      <c r="N516" s="7" t="s">
        <v>21</v>
      </c>
      <c r="O516" s="1">
        <f>TBL_Employees[[#This Row],[Annual Salary]]+TBL_Employees[[#This Row],[Bonus %]]*TBL_Employees[[#This Row],[Annual Salary]]</f>
        <v>66649</v>
      </c>
      <c r="P516" t="str">
        <f>IF(AND(TBL_Employees[[#This Row],[Department]]="IT",TBL_Employees[[#This Row],[Gender]]="Female"),"Yes","No")</f>
        <v>No</v>
      </c>
      <c r="Q516" t="str">
        <f>IF(AND(TBL_Employees[[#This Row],[Gender]]="Female",TBL_Employees[[#This Row],[Ethnicity]]="Black"), "Female_Black", "Others")</f>
        <v>Others</v>
      </c>
    </row>
    <row r="517" spans="1:17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7">
        <v>36272</v>
      </c>
      <c r="J517" s="1">
        <v>102847</v>
      </c>
      <c r="K517" s="2">
        <v>0.05</v>
      </c>
      <c r="L517" t="s">
        <v>19</v>
      </c>
      <c r="M517" t="s">
        <v>20</v>
      </c>
      <c r="N517" s="7" t="s">
        <v>21</v>
      </c>
      <c r="O517" s="1">
        <f>TBL_Employees[[#This Row],[Annual Salary]]+TBL_Employees[[#This Row],[Bonus %]]*TBL_Employees[[#This Row],[Annual Salary]]</f>
        <v>107989.35</v>
      </c>
      <c r="P517" t="str">
        <f>IF(AND(TBL_Employees[[#This Row],[Department]]="IT",TBL_Employees[[#This Row],[Gender]]="Female"),"Yes","No")</f>
        <v>No</v>
      </c>
      <c r="Q517" t="str">
        <f>IF(AND(TBL_Employees[[#This Row],[Gender]]="Female",TBL_Employees[[#This Row],[Ethnicity]]="Black"), "Female_Black", "Others")</f>
        <v>Others</v>
      </c>
    </row>
    <row r="518" spans="1:17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7">
        <v>40378</v>
      </c>
      <c r="J518" s="1">
        <v>134881</v>
      </c>
      <c r="K518" s="2">
        <v>0.15</v>
      </c>
      <c r="L518" t="s">
        <v>52</v>
      </c>
      <c r="M518" t="s">
        <v>81</v>
      </c>
      <c r="N518" s="7" t="s">
        <v>21</v>
      </c>
      <c r="O518" s="1">
        <f>TBL_Employees[[#This Row],[Annual Salary]]+TBL_Employees[[#This Row],[Bonus %]]*TBL_Employees[[#This Row],[Annual Salary]]</f>
        <v>155113.15</v>
      </c>
      <c r="P518" t="str">
        <f>IF(AND(TBL_Employees[[#This Row],[Department]]="IT",TBL_Employees[[#This Row],[Gender]]="Female"),"Yes","No")</f>
        <v>No</v>
      </c>
      <c r="Q518" t="str">
        <f>IF(AND(TBL_Employees[[#This Row],[Gender]]="Female",TBL_Employees[[#This Row],[Ethnicity]]="Black"), "Female_Black", "Others")</f>
        <v>Others</v>
      </c>
    </row>
    <row r="519" spans="1:17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7">
        <v>36303</v>
      </c>
      <c r="J519" s="1">
        <v>68807</v>
      </c>
      <c r="K519" s="2">
        <v>0</v>
      </c>
      <c r="L519" t="s">
        <v>33</v>
      </c>
      <c r="M519" t="s">
        <v>34</v>
      </c>
      <c r="N519" s="7">
        <v>42338</v>
      </c>
      <c r="O519" s="1">
        <f>TBL_Employees[[#This Row],[Annual Salary]]+TBL_Employees[[#This Row],[Bonus %]]*TBL_Employees[[#This Row],[Annual Salary]]</f>
        <v>68807</v>
      </c>
      <c r="P519" t="str">
        <f>IF(AND(TBL_Employees[[#This Row],[Department]]="IT",TBL_Employees[[#This Row],[Gender]]="Female"),"Yes","No")</f>
        <v>No</v>
      </c>
      <c r="Q519" t="str">
        <f>IF(AND(TBL_Employees[[#This Row],[Gender]]="Female",TBL_Employees[[#This Row],[Ethnicity]]="Black"), "Female_Black", "Others")</f>
        <v>Others</v>
      </c>
    </row>
    <row r="520" spans="1:17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7">
        <v>38866</v>
      </c>
      <c r="J520" s="1">
        <v>228822</v>
      </c>
      <c r="K520" s="2">
        <v>0.36</v>
      </c>
      <c r="L520" t="s">
        <v>19</v>
      </c>
      <c r="M520" t="s">
        <v>45</v>
      </c>
      <c r="N520" s="7" t="s">
        <v>21</v>
      </c>
      <c r="O520" s="1">
        <f>TBL_Employees[[#This Row],[Annual Salary]]+TBL_Employees[[#This Row],[Bonus %]]*TBL_Employees[[#This Row],[Annual Salary]]</f>
        <v>311197.92</v>
      </c>
      <c r="P520" t="str">
        <f>IF(AND(TBL_Employees[[#This Row],[Department]]="IT",TBL_Employees[[#This Row],[Gender]]="Female"),"Yes","No")</f>
        <v>No</v>
      </c>
      <c r="Q520" t="str">
        <f>IF(AND(TBL_Employees[[#This Row],[Gender]]="Female",TBL_Employees[[#This Row],[Ethnicity]]="Black"), "Female_Black", "Others")</f>
        <v>Others</v>
      </c>
    </row>
    <row r="521" spans="1:17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7">
        <v>44395</v>
      </c>
      <c r="J521" s="1">
        <v>43391</v>
      </c>
      <c r="K521" s="2">
        <v>0</v>
      </c>
      <c r="L521" t="s">
        <v>19</v>
      </c>
      <c r="M521" t="s">
        <v>29</v>
      </c>
      <c r="N521" s="7" t="s">
        <v>21</v>
      </c>
      <c r="O521" s="1">
        <f>TBL_Employees[[#This Row],[Annual Salary]]+TBL_Employees[[#This Row],[Bonus %]]*TBL_Employees[[#This Row],[Annual Salary]]</f>
        <v>43391</v>
      </c>
      <c r="P521" t="str">
        <f>IF(AND(TBL_Employees[[#This Row],[Department]]="IT",TBL_Employees[[#This Row],[Gender]]="Female"),"Yes","No")</f>
        <v>No</v>
      </c>
      <c r="Q521" t="str">
        <f>IF(AND(TBL_Employees[[#This Row],[Gender]]="Female",TBL_Employees[[#This Row],[Ethnicity]]="Black"), "Female_Black", "Others")</f>
        <v>Others</v>
      </c>
    </row>
    <row r="522" spans="1:17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7">
        <v>44515</v>
      </c>
      <c r="J522" s="1">
        <v>91782</v>
      </c>
      <c r="K522" s="2">
        <v>0</v>
      </c>
      <c r="L522" t="s">
        <v>33</v>
      </c>
      <c r="M522" t="s">
        <v>80</v>
      </c>
      <c r="N522" s="7" t="s">
        <v>21</v>
      </c>
      <c r="O522" s="1">
        <f>TBL_Employees[[#This Row],[Annual Salary]]+TBL_Employees[[#This Row],[Bonus %]]*TBL_Employees[[#This Row],[Annual Salary]]</f>
        <v>91782</v>
      </c>
      <c r="P522" t="str">
        <f>IF(AND(TBL_Employees[[#This Row],[Department]]="IT",TBL_Employees[[#This Row],[Gender]]="Female"),"Yes","No")</f>
        <v>No</v>
      </c>
      <c r="Q522" t="str">
        <f>IF(AND(TBL_Employees[[#This Row],[Gender]]="Female",TBL_Employees[[#This Row],[Ethnicity]]="Black"), "Female_Black", "Others")</f>
        <v>Others</v>
      </c>
    </row>
    <row r="523" spans="1:17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7">
        <v>42428</v>
      </c>
      <c r="J523" s="1">
        <v>211637</v>
      </c>
      <c r="K523" s="2">
        <v>0.31</v>
      </c>
      <c r="L523" t="s">
        <v>19</v>
      </c>
      <c r="M523" t="s">
        <v>20</v>
      </c>
      <c r="N523" s="7" t="s">
        <v>21</v>
      </c>
      <c r="O523" s="1">
        <f>TBL_Employees[[#This Row],[Annual Salary]]+TBL_Employees[[#This Row],[Bonus %]]*TBL_Employees[[#This Row],[Annual Salary]]</f>
        <v>277244.46999999997</v>
      </c>
      <c r="P523" t="str">
        <f>IF(AND(TBL_Employees[[#This Row],[Department]]="IT",TBL_Employees[[#This Row],[Gender]]="Female"),"Yes","No")</f>
        <v>No</v>
      </c>
      <c r="Q523" t="str">
        <f>IF(AND(TBL_Employees[[#This Row],[Gender]]="Female",TBL_Employees[[#This Row],[Ethnicity]]="Black"), "Female_Black", "Others")</f>
        <v>Others</v>
      </c>
    </row>
    <row r="524" spans="1:17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7">
        <v>44051</v>
      </c>
      <c r="J524" s="1">
        <v>73255</v>
      </c>
      <c r="K524" s="2">
        <v>0.09</v>
      </c>
      <c r="L524" t="s">
        <v>19</v>
      </c>
      <c r="M524" t="s">
        <v>39</v>
      </c>
      <c r="N524" s="7" t="s">
        <v>21</v>
      </c>
      <c r="O524" s="1">
        <f>TBL_Employees[[#This Row],[Annual Salary]]+TBL_Employees[[#This Row],[Bonus %]]*TBL_Employees[[#This Row],[Annual Salary]]</f>
        <v>79847.95</v>
      </c>
      <c r="P524" t="str">
        <f>IF(AND(TBL_Employees[[#This Row],[Department]]="IT",TBL_Employees[[#This Row],[Gender]]="Female"),"Yes","No")</f>
        <v>No</v>
      </c>
      <c r="Q524" t="str">
        <f>IF(AND(TBL_Employees[[#This Row],[Gender]]="Female",TBL_Employees[[#This Row],[Ethnicity]]="Black"), "Female_Black", "Others")</f>
        <v>Others</v>
      </c>
    </row>
    <row r="525" spans="1:17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7">
        <v>44204</v>
      </c>
      <c r="J525" s="1">
        <v>108826</v>
      </c>
      <c r="K525" s="2">
        <v>0.1</v>
      </c>
      <c r="L525" t="s">
        <v>19</v>
      </c>
      <c r="M525" t="s">
        <v>45</v>
      </c>
      <c r="N525" s="7" t="s">
        <v>21</v>
      </c>
      <c r="O525" s="1">
        <f>TBL_Employees[[#This Row],[Annual Salary]]+TBL_Employees[[#This Row],[Bonus %]]*TBL_Employees[[#This Row],[Annual Salary]]</f>
        <v>119708.6</v>
      </c>
      <c r="P525" t="str">
        <f>IF(AND(TBL_Employees[[#This Row],[Department]]="IT",TBL_Employees[[#This Row],[Gender]]="Female"),"Yes","No")</f>
        <v>No</v>
      </c>
      <c r="Q525" t="str">
        <f>IF(AND(TBL_Employees[[#This Row],[Gender]]="Female",TBL_Employees[[#This Row],[Ethnicity]]="Black"), "Female_Black", "Others")</f>
        <v>Others</v>
      </c>
    </row>
    <row r="526" spans="1:17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7">
        <v>42514</v>
      </c>
      <c r="J526" s="1">
        <v>94352</v>
      </c>
      <c r="K526" s="2">
        <v>0</v>
      </c>
      <c r="L526" t="s">
        <v>19</v>
      </c>
      <c r="M526" t="s">
        <v>45</v>
      </c>
      <c r="N526" s="7" t="s">
        <v>21</v>
      </c>
      <c r="O526" s="1">
        <f>TBL_Employees[[#This Row],[Annual Salary]]+TBL_Employees[[#This Row],[Bonus %]]*TBL_Employees[[#This Row],[Annual Salary]]</f>
        <v>94352</v>
      </c>
      <c r="P526" t="str">
        <f>IF(AND(TBL_Employees[[#This Row],[Department]]="IT",TBL_Employees[[#This Row],[Gender]]="Female"),"Yes","No")</f>
        <v>No</v>
      </c>
      <c r="Q526" t="str">
        <f>IF(AND(TBL_Employees[[#This Row],[Gender]]="Female",TBL_Employees[[#This Row],[Ethnicity]]="Black"), "Female_Black", "Others")</f>
        <v>Others</v>
      </c>
    </row>
    <row r="527" spans="1:17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7">
        <v>34576</v>
      </c>
      <c r="J527" s="1">
        <v>73955</v>
      </c>
      <c r="K527" s="2">
        <v>0</v>
      </c>
      <c r="L527" t="s">
        <v>19</v>
      </c>
      <c r="M527" t="s">
        <v>39</v>
      </c>
      <c r="N527" s="7" t="s">
        <v>21</v>
      </c>
      <c r="O527" s="1">
        <f>TBL_Employees[[#This Row],[Annual Salary]]+TBL_Employees[[#This Row],[Bonus %]]*TBL_Employees[[#This Row],[Annual Salary]]</f>
        <v>73955</v>
      </c>
      <c r="P527" t="str">
        <f>IF(AND(TBL_Employees[[#This Row],[Department]]="IT",TBL_Employees[[#This Row],[Gender]]="Female"),"Yes","No")</f>
        <v>Yes</v>
      </c>
      <c r="Q527" t="str">
        <f>IF(AND(TBL_Employees[[#This Row],[Gender]]="Female",TBL_Employees[[#This Row],[Ethnicity]]="Black"), "Female_Black", "Others")</f>
        <v>Others</v>
      </c>
    </row>
    <row r="528" spans="1:17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7">
        <v>41499</v>
      </c>
      <c r="J528" s="1">
        <v>113909</v>
      </c>
      <c r="K528" s="2">
        <v>0.06</v>
      </c>
      <c r="L528" t="s">
        <v>52</v>
      </c>
      <c r="M528" t="s">
        <v>66</v>
      </c>
      <c r="N528" s="7" t="s">
        <v>21</v>
      </c>
      <c r="O528" s="1">
        <f>TBL_Employees[[#This Row],[Annual Salary]]+TBL_Employees[[#This Row],[Bonus %]]*TBL_Employees[[#This Row],[Annual Salary]]</f>
        <v>120743.54</v>
      </c>
      <c r="P528" t="str">
        <f>IF(AND(TBL_Employees[[#This Row],[Department]]="IT",TBL_Employees[[#This Row],[Gender]]="Female"),"Yes","No")</f>
        <v>No</v>
      </c>
      <c r="Q528" t="str">
        <f>IF(AND(TBL_Employees[[#This Row],[Gender]]="Female",TBL_Employees[[#This Row],[Ethnicity]]="Black"), "Female_Black", "Others")</f>
        <v>Others</v>
      </c>
    </row>
    <row r="529" spans="1:17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7">
        <v>44189</v>
      </c>
      <c r="J529" s="1">
        <v>92321</v>
      </c>
      <c r="K529" s="2">
        <v>0</v>
      </c>
      <c r="L529" t="s">
        <v>19</v>
      </c>
      <c r="M529" t="s">
        <v>20</v>
      </c>
      <c r="N529" s="7" t="s">
        <v>21</v>
      </c>
      <c r="O529" s="1">
        <f>TBL_Employees[[#This Row],[Annual Salary]]+TBL_Employees[[#This Row],[Bonus %]]*TBL_Employees[[#This Row],[Annual Salary]]</f>
        <v>92321</v>
      </c>
      <c r="P529" t="str">
        <f>IF(AND(TBL_Employees[[#This Row],[Department]]="IT",TBL_Employees[[#This Row],[Gender]]="Female"),"Yes","No")</f>
        <v>No</v>
      </c>
      <c r="Q529" t="str">
        <f>IF(AND(TBL_Employees[[#This Row],[Gender]]="Female",TBL_Employees[[#This Row],[Ethnicity]]="Black"), "Female_Black", "Others")</f>
        <v>Others</v>
      </c>
    </row>
    <row r="530" spans="1:17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7">
        <v>41417</v>
      </c>
      <c r="J530" s="1">
        <v>99557</v>
      </c>
      <c r="K530" s="2">
        <v>0.09</v>
      </c>
      <c r="L530" t="s">
        <v>19</v>
      </c>
      <c r="M530" t="s">
        <v>63</v>
      </c>
      <c r="N530" s="7" t="s">
        <v>21</v>
      </c>
      <c r="O530" s="1">
        <f>TBL_Employees[[#This Row],[Annual Salary]]+TBL_Employees[[#This Row],[Bonus %]]*TBL_Employees[[#This Row],[Annual Salary]]</f>
        <v>108517.13</v>
      </c>
      <c r="P530" t="str">
        <f>IF(AND(TBL_Employees[[#This Row],[Department]]="IT",TBL_Employees[[#This Row],[Gender]]="Female"),"Yes","No")</f>
        <v>No</v>
      </c>
      <c r="Q530" t="str">
        <f>IF(AND(TBL_Employees[[#This Row],[Gender]]="Female",TBL_Employees[[#This Row],[Ethnicity]]="Black"), "Female_Black", "Others")</f>
        <v>Others</v>
      </c>
    </row>
    <row r="531" spans="1:17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7">
        <v>43418</v>
      </c>
      <c r="J531" s="1">
        <v>115854</v>
      </c>
      <c r="K531" s="2">
        <v>0</v>
      </c>
      <c r="L531" t="s">
        <v>19</v>
      </c>
      <c r="M531" t="s">
        <v>39</v>
      </c>
      <c r="N531" s="7" t="s">
        <v>21</v>
      </c>
      <c r="O531" s="1">
        <f>TBL_Employees[[#This Row],[Annual Salary]]+TBL_Employees[[#This Row],[Bonus %]]*TBL_Employees[[#This Row],[Annual Salary]]</f>
        <v>115854</v>
      </c>
      <c r="P531" t="str">
        <f>IF(AND(TBL_Employees[[#This Row],[Department]]="IT",TBL_Employees[[#This Row],[Gender]]="Female"),"Yes","No")</f>
        <v>No</v>
      </c>
      <c r="Q531" t="str">
        <f>IF(AND(TBL_Employees[[#This Row],[Gender]]="Female",TBL_Employees[[#This Row],[Ethnicity]]="Black"), "Female_Black", "Others")</f>
        <v>Others</v>
      </c>
    </row>
    <row r="532" spans="1:17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7">
        <v>40603</v>
      </c>
      <c r="J532" s="1">
        <v>82462</v>
      </c>
      <c r="K532" s="2">
        <v>0</v>
      </c>
      <c r="L532" t="s">
        <v>19</v>
      </c>
      <c r="M532" t="s">
        <v>25</v>
      </c>
      <c r="N532" s="7" t="s">
        <v>21</v>
      </c>
      <c r="O532" s="1">
        <f>TBL_Employees[[#This Row],[Annual Salary]]+TBL_Employees[[#This Row],[Bonus %]]*TBL_Employees[[#This Row],[Annual Salary]]</f>
        <v>82462</v>
      </c>
      <c r="P532" t="str">
        <f>IF(AND(TBL_Employees[[#This Row],[Department]]="IT",TBL_Employees[[#This Row],[Gender]]="Female"),"Yes","No")</f>
        <v>Yes</v>
      </c>
      <c r="Q532" t="str">
        <f>IF(AND(TBL_Employees[[#This Row],[Gender]]="Female",TBL_Employees[[#This Row],[Ethnicity]]="Black"), "Female_Black", "Others")</f>
        <v>Others</v>
      </c>
    </row>
    <row r="533" spans="1:17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7">
        <v>40856</v>
      </c>
      <c r="J533" s="1">
        <v>198473</v>
      </c>
      <c r="K533" s="2">
        <v>0.32</v>
      </c>
      <c r="L533" t="s">
        <v>19</v>
      </c>
      <c r="M533" t="s">
        <v>45</v>
      </c>
      <c r="N533" s="7" t="s">
        <v>21</v>
      </c>
      <c r="O533" s="1">
        <f>TBL_Employees[[#This Row],[Annual Salary]]+TBL_Employees[[#This Row],[Bonus %]]*TBL_Employees[[#This Row],[Annual Salary]]</f>
        <v>261984.36</v>
      </c>
      <c r="P533" t="str">
        <f>IF(AND(TBL_Employees[[#This Row],[Department]]="IT",TBL_Employees[[#This Row],[Gender]]="Female"),"Yes","No")</f>
        <v>Yes</v>
      </c>
      <c r="Q533" t="str">
        <f>IF(AND(TBL_Employees[[#This Row],[Gender]]="Female",TBL_Employees[[#This Row],[Ethnicity]]="Black"), "Female_Black", "Others")</f>
        <v>Others</v>
      </c>
    </row>
    <row r="534" spans="1:17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7">
        <v>39005</v>
      </c>
      <c r="J534" s="1">
        <v>153492</v>
      </c>
      <c r="K534" s="2">
        <v>0.11</v>
      </c>
      <c r="L534" t="s">
        <v>19</v>
      </c>
      <c r="M534" t="s">
        <v>20</v>
      </c>
      <c r="N534" s="7" t="s">
        <v>21</v>
      </c>
      <c r="O534" s="1">
        <f>TBL_Employees[[#This Row],[Annual Salary]]+TBL_Employees[[#This Row],[Bonus %]]*TBL_Employees[[#This Row],[Annual Salary]]</f>
        <v>170376.12</v>
      </c>
      <c r="P534" t="str">
        <f>IF(AND(TBL_Employees[[#This Row],[Department]]="IT",TBL_Employees[[#This Row],[Gender]]="Female"),"Yes","No")</f>
        <v>No</v>
      </c>
      <c r="Q534" t="str">
        <f>IF(AND(TBL_Employees[[#This Row],[Gender]]="Female",TBL_Employees[[#This Row],[Ethnicity]]="Black"), "Female_Black", "Others")</f>
        <v>Others</v>
      </c>
    </row>
    <row r="535" spans="1:17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7">
        <v>43121</v>
      </c>
      <c r="J535" s="1">
        <v>208210</v>
      </c>
      <c r="K535" s="2">
        <v>0.3</v>
      </c>
      <c r="L535" t="s">
        <v>19</v>
      </c>
      <c r="M535" t="s">
        <v>63</v>
      </c>
      <c r="N535" s="7" t="s">
        <v>21</v>
      </c>
      <c r="O535" s="1">
        <f>TBL_Employees[[#This Row],[Annual Salary]]+TBL_Employees[[#This Row],[Bonus %]]*TBL_Employees[[#This Row],[Annual Salary]]</f>
        <v>270673</v>
      </c>
      <c r="P535" t="str">
        <f>IF(AND(TBL_Employees[[#This Row],[Department]]="IT",TBL_Employees[[#This Row],[Gender]]="Female"),"Yes","No")</f>
        <v>No</v>
      </c>
      <c r="Q535" t="str">
        <f>IF(AND(TBL_Employees[[#This Row],[Gender]]="Female",TBL_Employees[[#This Row],[Ethnicity]]="Black"), "Female_Black", "Others")</f>
        <v>Female_Black</v>
      </c>
    </row>
    <row r="536" spans="1:17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7">
        <v>42325</v>
      </c>
      <c r="J536" s="1">
        <v>91632</v>
      </c>
      <c r="K536" s="2">
        <v>0</v>
      </c>
      <c r="L536" t="s">
        <v>19</v>
      </c>
      <c r="M536" t="s">
        <v>39</v>
      </c>
      <c r="N536" s="7" t="s">
        <v>21</v>
      </c>
      <c r="O536" s="1">
        <f>TBL_Employees[[#This Row],[Annual Salary]]+TBL_Employees[[#This Row],[Bonus %]]*TBL_Employees[[#This Row],[Annual Salary]]</f>
        <v>91632</v>
      </c>
      <c r="P536" t="str">
        <f>IF(AND(TBL_Employees[[#This Row],[Department]]="IT",TBL_Employees[[#This Row],[Gender]]="Female"),"Yes","No")</f>
        <v>No</v>
      </c>
      <c r="Q536" t="str">
        <f>IF(AND(TBL_Employees[[#This Row],[Gender]]="Female",TBL_Employees[[#This Row],[Ethnicity]]="Black"), "Female_Black", "Others")</f>
        <v>Others</v>
      </c>
    </row>
    <row r="537" spans="1:17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7">
        <v>43002</v>
      </c>
      <c r="J537" s="1">
        <v>71755</v>
      </c>
      <c r="K537" s="2">
        <v>0</v>
      </c>
      <c r="L537" t="s">
        <v>33</v>
      </c>
      <c r="M537" t="s">
        <v>80</v>
      </c>
      <c r="N537" s="7" t="s">
        <v>21</v>
      </c>
      <c r="O537" s="1">
        <f>TBL_Employees[[#This Row],[Annual Salary]]+TBL_Employees[[#This Row],[Bonus %]]*TBL_Employees[[#This Row],[Annual Salary]]</f>
        <v>71755</v>
      </c>
      <c r="P537" t="str">
        <f>IF(AND(TBL_Employees[[#This Row],[Department]]="IT",TBL_Employees[[#This Row],[Gender]]="Female"),"Yes","No")</f>
        <v>No</v>
      </c>
      <c r="Q537" t="str">
        <f>IF(AND(TBL_Employees[[#This Row],[Gender]]="Female",TBL_Employees[[#This Row],[Ethnicity]]="Black"), "Female_Black", "Others")</f>
        <v>Others</v>
      </c>
    </row>
    <row r="538" spans="1:17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7">
        <v>44519</v>
      </c>
      <c r="J538" s="1">
        <v>111006</v>
      </c>
      <c r="K538" s="2">
        <v>0.08</v>
      </c>
      <c r="L538" t="s">
        <v>33</v>
      </c>
      <c r="M538" t="s">
        <v>80</v>
      </c>
      <c r="N538" s="7" t="s">
        <v>21</v>
      </c>
      <c r="O538" s="1">
        <f>TBL_Employees[[#This Row],[Annual Salary]]+TBL_Employees[[#This Row],[Bonus %]]*TBL_Employees[[#This Row],[Annual Salary]]</f>
        <v>119886.48</v>
      </c>
      <c r="P538" t="str">
        <f>IF(AND(TBL_Employees[[#This Row],[Department]]="IT",TBL_Employees[[#This Row],[Gender]]="Female"),"Yes","No")</f>
        <v>No</v>
      </c>
      <c r="Q538" t="str">
        <f>IF(AND(TBL_Employees[[#This Row],[Gender]]="Female",TBL_Employees[[#This Row],[Ethnicity]]="Black"), "Female_Black", "Others")</f>
        <v>Others</v>
      </c>
    </row>
    <row r="539" spans="1:17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7">
        <v>34692</v>
      </c>
      <c r="J539" s="1">
        <v>99774</v>
      </c>
      <c r="K539" s="2">
        <v>0</v>
      </c>
      <c r="L539" t="s">
        <v>19</v>
      </c>
      <c r="M539" t="s">
        <v>25</v>
      </c>
      <c r="N539" s="7" t="s">
        <v>21</v>
      </c>
      <c r="O539" s="1">
        <f>TBL_Employees[[#This Row],[Annual Salary]]+TBL_Employees[[#This Row],[Bonus %]]*TBL_Employees[[#This Row],[Annual Salary]]</f>
        <v>99774</v>
      </c>
      <c r="P539" t="str">
        <f>IF(AND(TBL_Employees[[#This Row],[Department]]="IT",TBL_Employees[[#This Row],[Gender]]="Female"),"Yes","No")</f>
        <v>No</v>
      </c>
      <c r="Q539" t="str">
        <f>IF(AND(TBL_Employees[[#This Row],[Gender]]="Female",TBL_Employees[[#This Row],[Ethnicity]]="Black"), "Female_Black", "Others")</f>
        <v>Others</v>
      </c>
    </row>
    <row r="540" spans="1:17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7">
        <v>39154</v>
      </c>
      <c r="J540" s="1">
        <v>184648</v>
      </c>
      <c r="K540" s="2">
        <v>0.24</v>
      </c>
      <c r="L540" t="s">
        <v>33</v>
      </c>
      <c r="M540" t="s">
        <v>74</v>
      </c>
      <c r="N540" s="7" t="s">
        <v>21</v>
      </c>
      <c r="O540" s="1">
        <f>TBL_Employees[[#This Row],[Annual Salary]]+TBL_Employees[[#This Row],[Bonus %]]*TBL_Employees[[#This Row],[Annual Salary]]</f>
        <v>228963.52</v>
      </c>
      <c r="P540" t="str">
        <f>IF(AND(TBL_Employees[[#This Row],[Department]]="IT",TBL_Employees[[#This Row],[Gender]]="Female"),"Yes","No")</f>
        <v>No</v>
      </c>
      <c r="Q540" t="str">
        <f>IF(AND(TBL_Employees[[#This Row],[Gender]]="Female",TBL_Employees[[#This Row],[Ethnicity]]="Black"), "Female_Black", "Others")</f>
        <v>Others</v>
      </c>
    </row>
    <row r="541" spans="1:17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7">
        <v>37091</v>
      </c>
      <c r="J541" s="1">
        <v>247874</v>
      </c>
      <c r="K541" s="2">
        <v>0.33</v>
      </c>
      <c r="L541" t="s">
        <v>52</v>
      </c>
      <c r="M541" t="s">
        <v>81</v>
      </c>
      <c r="N541" s="7" t="s">
        <v>21</v>
      </c>
      <c r="O541" s="1">
        <f>TBL_Employees[[#This Row],[Annual Salary]]+TBL_Employees[[#This Row],[Bonus %]]*TBL_Employees[[#This Row],[Annual Salary]]</f>
        <v>329672.42</v>
      </c>
      <c r="P541" t="str">
        <f>IF(AND(TBL_Employees[[#This Row],[Department]]="IT",TBL_Employees[[#This Row],[Gender]]="Female"),"Yes","No")</f>
        <v>No</v>
      </c>
      <c r="Q541" t="str">
        <f>IF(AND(TBL_Employees[[#This Row],[Gender]]="Female",TBL_Employees[[#This Row],[Ethnicity]]="Black"), "Female_Black", "Others")</f>
        <v>Others</v>
      </c>
    </row>
    <row r="542" spans="1:17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7">
        <v>39944</v>
      </c>
      <c r="J542" s="1">
        <v>62239</v>
      </c>
      <c r="K542" s="2">
        <v>0</v>
      </c>
      <c r="L542" t="s">
        <v>33</v>
      </c>
      <c r="M542" t="s">
        <v>60</v>
      </c>
      <c r="N542" s="7" t="s">
        <v>21</v>
      </c>
      <c r="O542" s="1">
        <f>TBL_Employees[[#This Row],[Annual Salary]]+TBL_Employees[[#This Row],[Bonus %]]*TBL_Employees[[#This Row],[Annual Salary]]</f>
        <v>62239</v>
      </c>
      <c r="P542" t="str">
        <f>IF(AND(TBL_Employees[[#This Row],[Department]]="IT",TBL_Employees[[#This Row],[Gender]]="Female"),"Yes","No")</f>
        <v>No</v>
      </c>
      <c r="Q542" t="str">
        <f>IF(AND(TBL_Employees[[#This Row],[Gender]]="Female",TBL_Employees[[#This Row],[Ethnicity]]="Black"), "Female_Black", "Others")</f>
        <v>Others</v>
      </c>
    </row>
    <row r="543" spans="1:17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7">
        <v>41919</v>
      </c>
      <c r="J543" s="1">
        <v>114911</v>
      </c>
      <c r="K543" s="2">
        <v>7.0000000000000007E-2</v>
      </c>
      <c r="L543" t="s">
        <v>19</v>
      </c>
      <c r="M543" t="s">
        <v>20</v>
      </c>
      <c r="N543" s="7" t="s">
        <v>21</v>
      </c>
      <c r="O543" s="1">
        <f>TBL_Employees[[#This Row],[Annual Salary]]+TBL_Employees[[#This Row],[Bonus %]]*TBL_Employees[[#This Row],[Annual Salary]]</f>
        <v>122954.77</v>
      </c>
      <c r="P543" t="str">
        <f>IF(AND(TBL_Employees[[#This Row],[Department]]="IT",TBL_Employees[[#This Row],[Gender]]="Female"),"Yes","No")</f>
        <v>No</v>
      </c>
      <c r="Q543" t="str">
        <f>IF(AND(TBL_Employees[[#This Row],[Gender]]="Female",TBL_Employees[[#This Row],[Ethnicity]]="Black"), "Female_Black", "Others")</f>
        <v>Others</v>
      </c>
    </row>
    <row r="544" spans="1:17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7">
        <v>43217</v>
      </c>
      <c r="J544" s="1">
        <v>115490</v>
      </c>
      <c r="K544" s="2">
        <v>0.12</v>
      </c>
      <c r="L544" t="s">
        <v>19</v>
      </c>
      <c r="M544" t="s">
        <v>20</v>
      </c>
      <c r="N544" s="7" t="s">
        <v>21</v>
      </c>
      <c r="O544" s="1">
        <f>TBL_Employees[[#This Row],[Annual Salary]]+TBL_Employees[[#This Row],[Bonus %]]*TBL_Employees[[#This Row],[Annual Salary]]</f>
        <v>129348.8</v>
      </c>
      <c r="P544" t="str">
        <f>IF(AND(TBL_Employees[[#This Row],[Department]]="IT",TBL_Employees[[#This Row],[Gender]]="Female"),"Yes","No")</f>
        <v>No</v>
      </c>
      <c r="Q544" t="str">
        <f>IF(AND(TBL_Employees[[#This Row],[Gender]]="Female",TBL_Employees[[#This Row],[Ethnicity]]="Black"), "Female_Black", "Others")</f>
        <v>Others</v>
      </c>
    </row>
    <row r="545" spans="1:17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7">
        <v>40952</v>
      </c>
      <c r="J545" s="1">
        <v>118708</v>
      </c>
      <c r="K545" s="2">
        <v>7.0000000000000007E-2</v>
      </c>
      <c r="L545" t="s">
        <v>33</v>
      </c>
      <c r="M545" t="s">
        <v>74</v>
      </c>
      <c r="N545" s="7" t="s">
        <v>21</v>
      </c>
      <c r="O545" s="1">
        <f>TBL_Employees[[#This Row],[Annual Salary]]+TBL_Employees[[#This Row],[Bonus %]]*TBL_Employees[[#This Row],[Annual Salary]]</f>
        <v>127017.56</v>
      </c>
      <c r="P545" t="str">
        <f>IF(AND(TBL_Employees[[#This Row],[Department]]="IT",TBL_Employees[[#This Row],[Gender]]="Female"),"Yes","No")</f>
        <v>No</v>
      </c>
      <c r="Q545" t="str">
        <f>IF(AND(TBL_Employees[[#This Row],[Gender]]="Female",TBL_Employees[[#This Row],[Ethnicity]]="Black"), "Female_Black", "Others")</f>
        <v>Others</v>
      </c>
    </row>
    <row r="546" spans="1:17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7">
        <v>42914</v>
      </c>
      <c r="J546" s="1">
        <v>197649</v>
      </c>
      <c r="K546" s="2">
        <v>0.2</v>
      </c>
      <c r="L546" t="s">
        <v>19</v>
      </c>
      <c r="M546" t="s">
        <v>29</v>
      </c>
      <c r="N546" s="7" t="s">
        <v>21</v>
      </c>
      <c r="O546" s="1">
        <f>TBL_Employees[[#This Row],[Annual Salary]]+TBL_Employees[[#This Row],[Bonus %]]*TBL_Employees[[#This Row],[Annual Salary]]</f>
        <v>237178.8</v>
      </c>
      <c r="P546" t="str">
        <f>IF(AND(TBL_Employees[[#This Row],[Department]]="IT",TBL_Employees[[#This Row],[Gender]]="Female"),"Yes","No")</f>
        <v>No</v>
      </c>
      <c r="Q546" t="str">
        <f>IF(AND(TBL_Employees[[#This Row],[Gender]]="Female",TBL_Employees[[#This Row],[Ethnicity]]="Black"), "Female_Black", "Others")</f>
        <v>Others</v>
      </c>
    </row>
    <row r="547" spans="1:17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7">
        <v>43999</v>
      </c>
      <c r="J547" s="1">
        <v>89841</v>
      </c>
      <c r="K547" s="2">
        <v>0</v>
      </c>
      <c r="L547" t="s">
        <v>33</v>
      </c>
      <c r="M547" t="s">
        <v>60</v>
      </c>
      <c r="N547" s="7" t="s">
        <v>21</v>
      </c>
      <c r="O547" s="1">
        <f>TBL_Employees[[#This Row],[Annual Salary]]+TBL_Employees[[#This Row],[Bonus %]]*TBL_Employees[[#This Row],[Annual Salary]]</f>
        <v>89841</v>
      </c>
      <c r="P547" t="str">
        <f>IF(AND(TBL_Employees[[#This Row],[Department]]="IT",TBL_Employees[[#This Row],[Gender]]="Female"),"Yes","No")</f>
        <v>No</v>
      </c>
      <c r="Q547" t="str">
        <f>IF(AND(TBL_Employees[[#This Row],[Gender]]="Female",TBL_Employees[[#This Row],[Ethnicity]]="Black"), "Female_Black", "Others")</f>
        <v>Others</v>
      </c>
    </row>
    <row r="548" spans="1:17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7">
        <v>43819</v>
      </c>
      <c r="J548" s="1">
        <v>61026</v>
      </c>
      <c r="K548" s="2">
        <v>0</v>
      </c>
      <c r="L548" t="s">
        <v>19</v>
      </c>
      <c r="M548" t="s">
        <v>39</v>
      </c>
      <c r="N548" s="7" t="s">
        <v>21</v>
      </c>
      <c r="O548" s="1">
        <f>TBL_Employees[[#This Row],[Annual Salary]]+TBL_Employees[[#This Row],[Bonus %]]*TBL_Employees[[#This Row],[Annual Salary]]</f>
        <v>61026</v>
      </c>
      <c r="P548" t="str">
        <f>IF(AND(TBL_Employees[[#This Row],[Department]]="IT",TBL_Employees[[#This Row],[Gender]]="Female"),"Yes","No")</f>
        <v>No</v>
      </c>
      <c r="Q548" t="str">
        <f>IF(AND(TBL_Employees[[#This Row],[Gender]]="Female",TBL_Employees[[#This Row],[Ethnicity]]="Black"), "Female_Black", "Others")</f>
        <v>Others</v>
      </c>
    </row>
    <row r="549" spans="1:17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7">
        <v>41907</v>
      </c>
      <c r="J549" s="1">
        <v>96693</v>
      </c>
      <c r="K549" s="2">
        <v>0</v>
      </c>
      <c r="L549" t="s">
        <v>19</v>
      </c>
      <c r="M549" t="s">
        <v>20</v>
      </c>
      <c r="N549" s="7" t="s">
        <v>21</v>
      </c>
      <c r="O549" s="1">
        <f>TBL_Employees[[#This Row],[Annual Salary]]+TBL_Employees[[#This Row],[Bonus %]]*TBL_Employees[[#This Row],[Annual Salary]]</f>
        <v>96693</v>
      </c>
      <c r="P549" t="str">
        <f>IF(AND(TBL_Employees[[#This Row],[Department]]="IT",TBL_Employees[[#This Row],[Gender]]="Female"),"Yes","No")</f>
        <v>No</v>
      </c>
      <c r="Q549" t="str">
        <f>IF(AND(TBL_Employees[[#This Row],[Gender]]="Female",TBL_Employees[[#This Row],[Ethnicity]]="Black"), "Female_Black", "Others")</f>
        <v>Others</v>
      </c>
    </row>
    <row r="550" spans="1:17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7">
        <v>39991</v>
      </c>
      <c r="J550" s="1">
        <v>82907</v>
      </c>
      <c r="K550" s="2">
        <v>0</v>
      </c>
      <c r="L550" t="s">
        <v>19</v>
      </c>
      <c r="M550" t="s">
        <v>63</v>
      </c>
      <c r="N550" s="7" t="s">
        <v>21</v>
      </c>
      <c r="O550" s="1">
        <f>TBL_Employees[[#This Row],[Annual Salary]]+TBL_Employees[[#This Row],[Bonus %]]*TBL_Employees[[#This Row],[Annual Salary]]</f>
        <v>82907</v>
      </c>
      <c r="P550" t="str">
        <f>IF(AND(TBL_Employees[[#This Row],[Department]]="IT",TBL_Employees[[#This Row],[Gender]]="Female"),"Yes","No")</f>
        <v>No</v>
      </c>
      <c r="Q550" t="str">
        <f>IF(AND(TBL_Employees[[#This Row],[Gender]]="Female",TBL_Employees[[#This Row],[Ethnicity]]="Black"), "Female_Black", "Others")</f>
        <v>Others</v>
      </c>
    </row>
    <row r="551" spans="1:17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7">
        <v>41916</v>
      </c>
      <c r="J551" s="1">
        <v>257194</v>
      </c>
      <c r="K551" s="2">
        <v>0.35</v>
      </c>
      <c r="L551" t="s">
        <v>33</v>
      </c>
      <c r="M551" t="s">
        <v>80</v>
      </c>
      <c r="N551" s="7" t="s">
        <v>21</v>
      </c>
      <c r="O551" s="1">
        <f>TBL_Employees[[#This Row],[Annual Salary]]+TBL_Employees[[#This Row],[Bonus %]]*TBL_Employees[[#This Row],[Annual Salary]]</f>
        <v>347211.9</v>
      </c>
      <c r="P551" t="str">
        <f>IF(AND(TBL_Employees[[#This Row],[Department]]="IT",TBL_Employees[[#This Row],[Gender]]="Female"),"Yes","No")</f>
        <v>No</v>
      </c>
      <c r="Q551" t="str">
        <f>IF(AND(TBL_Employees[[#This Row],[Gender]]="Female",TBL_Employees[[#This Row],[Ethnicity]]="Black"), "Female_Black", "Others")</f>
        <v>Others</v>
      </c>
    </row>
    <row r="552" spans="1:17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7">
        <v>40929</v>
      </c>
      <c r="J552" s="1">
        <v>94658</v>
      </c>
      <c r="K552" s="2">
        <v>0</v>
      </c>
      <c r="L552" t="s">
        <v>19</v>
      </c>
      <c r="M552" t="s">
        <v>45</v>
      </c>
      <c r="N552" s="7" t="s">
        <v>21</v>
      </c>
      <c r="O552" s="1">
        <f>TBL_Employees[[#This Row],[Annual Salary]]+TBL_Employees[[#This Row],[Bonus %]]*TBL_Employees[[#This Row],[Annual Salary]]</f>
        <v>94658</v>
      </c>
      <c r="P552" t="str">
        <f>IF(AND(TBL_Employees[[#This Row],[Department]]="IT",TBL_Employees[[#This Row],[Gender]]="Female"),"Yes","No")</f>
        <v>No</v>
      </c>
      <c r="Q552" t="str">
        <f>IF(AND(TBL_Employees[[#This Row],[Gender]]="Female",TBL_Employees[[#This Row],[Ethnicity]]="Black"), "Female_Black", "Others")</f>
        <v>Others</v>
      </c>
    </row>
    <row r="553" spans="1:17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7">
        <v>40663</v>
      </c>
      <c r="J553" s="1">
        <v>89419</v>
      </c>
      <c r="K553" s="2">
        <v>0</v>
      </c>
      <c r="L553" t="s">
        <v>33</v>
      </c>
      <c r="M553" t="s">
        <v>74</v>
      </c>
      <c r="N553" s="7" t="s">
        <v>21</v>
      </c>
      <c r="O553" s="1">
        <f>TBL_Employees[[#This Row],[Annual Salary]]+TBL_Employees[[#This Row],[Bonus %]]*TBL_Employees[[#This Row],[Annual Salary]]</f>
        <v>89419</v>
      </c>
      <c r="P553" t="str">
        <f>IF(AND(TBL_Employees[[#This Row],[Department]]="IT",TBL_Employees[[#This Row],[Gender]]="Female"),"Yes","No")</f>
        <v>No</v>
      </c>
      <c r="Q553" t="str">
        <f>IF(AND(TBL_Employees[[#This Row],[Gender]]="Female",TBL_Employees[[#This Row],[Ethnicity]]="Black"), "Female_Black", "Others")</f>
        <v>Others</v>
      </c>
    </row>
    <row r="554" spans="1:17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7">
        <v>42357</v>
      </c>
      <c r="J554" s="1">
        <v>51983</v>
      </c>
      <c r="K554" s="2">
        <v>0</v>
      </c>
      <c r="L554" t="s">
        <v>19</v>
      </c>
      <c r="M554" t="s">
        <v>29</v>
      </c>
      <c r="N554" s="7" t="s">
        <v>21</v>
      </c>
      <c r="O554" s="1">
        <f>TBL_Employees[[#This Row],[Annual Salary]]+TBL_Employees[[#This Row],[Bonus %]]*TBL_Employees[[#This Row],[Annual Salary]]</f>
        <v>51983</v>
      </c>
      <c r="P554" t="str">
        <f>IF(AND(TBL_Employees[[#This Row],[Department]]="IT",TBL_Employees[[#This Row],[Gender]]="Female"),"Yes","No")</f>
        <v>No</v>
      </c>
      <c r="Q554" t="str">
        <f>IF(AND(TBL_Employees[[#This Row],[Gender]]="Female",TBL_Employees[[#This Row],[Ethnicity]]="Black"), "Female_Black", "Others")</f>
        <v>Others</v>
      </c>
    </row>
    <row r="555" spans="1:17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7">
        <v>37304</v>
      </c>
      <c r="J555" s="1">
        <v>179494</v>
      </c>
      <c r="K555" s="2">
        <v>0.2</v>
      </c>
      <c r="L555" t="s">
        <v>33</v>
      </c>
      <c r="M555" t="s">
        <v>80</v>
      </c>
      <c r="N555" s="7" t="s">
        <v>21</v>
      </c>
      <c r="O555" s="1">
        <f>TBL_Employees[[#This Row],[Annual Salary]]+TBL_Employees[[#This Row],[Bonus %]]*TBL_Employees[[#This Row],[Annual Salary]]</f>
        <v>215392.8</v>
      </c>
      <c r="P555" t="str">
        <f>IF(AND(TBL_Employees[[#This Row],[Department]]="IT",TBL_Employees[[#This Row],[Gender]]="Female"),"Yes","No")</f>
        <v>No</v>
      </c>
      <c r="Q555" t="str">
        <f>IF(AND(TBL_Employees[[#This Row],[Gender]]="Female",TBL_Employees[[#This Row],[Ethnicity]]="Black"), "Female_Black", "Others")</f>
        <v>Others</v>
      </c>
    </row>
    <row r="556" spans="1:17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7">
        <v>42545</v>
      </c>
      <c r="J556" s="1">
        <v>68426</v>
      </c>
      <c r="K556" s="2">
        <v>0</v>
      </c>
      <c r="L556" t="s">
        <v>52</v>
      </c>
      <c r="M556" t="s">
        <v>66</v>
      </c>
      <c r="N556" s="7" t="s">
        <v>21</v>
      </c>
      <c r="O556" s="1">
        <f>TBL_Employees[[#This Row],[Annual Salary]]+TBL_Employees[[#This Row],[Bonus %]]*TBL_Employees[[#This Row],[Annual Salary]]</f>
        <v>68426</v>
      </c>
      <c r="P556" t="str">
        <f>IF(AND(TBL_Employees[[#This Row],[Department]]="IT",TBL_Employees[[#This Row],[Gender]]="Female"),"Yes","No")</f>
        <v>No</v>
      </c>
      <c r="Q556" t="str">
        <f>IF(AND(TBL_Employees[[#This Row],[Gender]]="Female",TBL_Employees[[#This Row],[Ethnicity]]="Black"), "Female_Black", "Others")</f>
        <v>Others</v>
      </c>
    </row>
    <row r="557" spans="1:17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7">
        <v>42772</v>
      </c>
      <c r="J557" s="1">
        <v>144986</v>
      </c>
      <c r="K557" s="2">
        <v>0.12</v>
      </c>
      <c r="L557" t="s">
        <v>19</v>
      </c>
      <c r="M557" t="s">
        <v>39</v>
      </c>
      <c r="N557" s="7" t="s">
        <v>21</v>
      </c>
      <c r="O557" s="1">
        <f>TBL_Employees[[#This Row],[Annual Salary]]+TBL_Employees[[#This Row],[Bonus %]]*TBL_Employees[[#This Row],[Annual Salary]]</f>
        <v>162384.32000000001</v>
      </c>
      <c r="P557" t="str">
        <f>IF(AND(TBL_Employees[[#This Row],[Department]]="IT",TBL_Employees[[#This Row],[Gender]]="Female"),"Yes","No")</f>
        <v>No</v>
      </c>
      <c r="Q557" t="str">
        <f>IF(AND(TBL_Employees[[#This Row],[Gender]]="Female",TBL_Employees[[#This Row],[Ethnicity]]="Black"), "Female_Black", "Others")</f>
        <v>Others</v>
      </c>
    </row>
    <row r="558" spans="1:17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7">
        <v>36754</v>
      </c>
      <c r="J558" s="1">
        <v>60113</v>
      </c>
      <c r="K558" s="2">
        <v>0</v>
      </c>
      <c r="L558" t="s">
        <v>19</v>
      </c>
      <c r="M558" t="s">
        <v>20</v>
      </c>
      <c r="N558" s="7" t="s">
        <v>21</v>
      </c>
      <c r="O558" s="1">
        <f>TBL_Employees[[#This Row],[Annual Salary]]+TBL_Employees[[#This Row],[Bonus %]]*TBL_Employees[[#This Row],[Annual Salary]]</f>
        <v>60113</v>
      </c>
      <c r="P558" t="str">
        <f>IF(AND(TBL_Employees[[#This Row],[Department]]="IT",TBL_Employees[[#This Row],[Gender]]="Female"),"Yes","No")</f>
        <v>No</v>
      </c>
      <c r="Q558" t="str">
        <f>IF(AND(TBL_Employees[[#This Row],[Gender]]="Female",TBL_Employees[[#This Row],[Ethnicity]]="Black"), "Female_Black", "Others")</f>
        <v>Others</v>
      </c>
    </row>
    <row r="559" spans="1:17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7">
        <v>44304</v>
      </c>
      <c r="J559" s="1">
        <v>50548</v>
      </c>
      <c r="K559" s="2">
        <v>0</v>
      </c>
      <c r="L559" t="s">
        <v>52</v>
      </c>
      <c r="M559" t="s">
        <v>53</v>
      </c>
      <c r="N559" s="7" t="s">
        <v>21</v>
      </c>
      <c r="O559" s="1">
        <f>TBL_Employees[[#This Row],[Annual Salary]]+TBL_Employees[[#This Row],[Bonus %]]*TBL_Employees[[#This Row],[Annual Salary]]</f>
        <v>50548</v>
      </c>
      <c r="P559" t="str">
        <f>IF(AND(TBL_Employees[[#This Row],[Department]]="IT",TBL_Employees[[#This Row],[Gender]]="Female"),"Yes","No")</f>
        <v>No</v>
      </c>
      <c r="Q559" t="str">
        <f>IF(AND(TBL_Employees[[#This Row],[Gender]]="Female",TBL_Employees[[#This Row],[Ethnicity]]="Black"), "Female_Black", "Others")</f>
        <v>Others</v>
      </c>
    </row>
    <row r="560" spans="1:17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7">
        <v>43904</v>
      </c>
      <c r="J560" s="1">
        <v>68846</v>
      </c>
      <c r="K560" s="2">
        <v>0</v>
      </c>
      <c r="L560" t="s">
        <v>19</v>
      </c>
      <c r="M560" t="s">
        <v>20</v>
      </c>
      <c r="N560" s="7" t="s">
        <v>21</v>
      </c>
      <c r="O560" s="1">
        <f>TBL_Employees[[#This Row],[Annual Salary]]+TBL_Employees[[#This Row],[Bonus %]]*TBL_Employees[[#This Row],[Annual Salary]]</f>
        <v>68846</v>
      </c>
      <c r="P560" t="str">
        <f>IF(AND(TBL_Employees[[#This Row],[Department]]="IT",TBL_Employees[[#This Row],[Gender]]="Female"),"Yes","No")</f>
        <v>No</v>
      </c>
      <c r="Q560" t="str">
        <f>IF(AND(TBL_Employees[[#This Row],[Gender]]="Female",TBL_Employees[[#This Row],[Ethnicity]]="Black"), "Female_Black", "Others")</f>
        <v>Others</v>
      </c>
    </row>
    <row r="561" spans="1:17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7">
        <v>41717</v>
      </c>
      <c r="J561" s="1">
        <v>90901</v>
      </c>
      <c r="K561" s="2">
        <v>0</v>
      </c>
      <c r="L561" t="s">
        <v>19</v>
      </c>
      <c r="M561" t="s">
        <v>63</v>
      </c>
      <c r="N561" s="7" t="s">
        <v>21</v>
      </c>
      <c r="O561" s="1">
        <f>TBL_Employees[[#This Row],[Annual Salary]]+TBL_Employees[[#This Row],[Bonus %]]*TBL_Employees[[#This Row],[Annual Salary]]</f>
        <v>90901</v>
      </c>
      <c r="P561" t="str">
        <f>IF(AND(TBL_Employees[[#This Row],[Department]]="IT",TBL_Employees[[#This Row],[Gender]]="Female"),"Yes","No")</f>
        <v>Yes</v>
      </c>
      <c r="Q561" t="str">
        <f>IF(AND(TBL_Employees[[#This Row],[Gender]]="Female",TBL_Employees[[#This Row],[Ethnicity]]="Black"), "Female_Black", "Others")</f>
        <v>Others</v>
      </c>
    </row>
    <row r="562" spans="1:17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7">
        <v>41155</v>
      </c>
      <c r="J562" s="1">
        <v>102033</v>
      </c>
      <c r="K562" s="2">
        <v>0.08</v>
      </c>
      <c r="L562" t="s">
        <v>19</v>
      </c>
      <c r="M562" t="s">
        <v>25</v>
      </c>
      <c r="N562" s="7" t="s">
        <v>21</v>
      </c>
      <c r="O562" s="1">
        <f>TBL_Employees[[#This Row],[Annual Salary]]+TBL_Employees[[#This Row],[Bonus %]]*TBL_Employees[[#This Row],[Annual Salary]]</f>
        <v>110195.64</v>
      </c>
      <c r="P562" t="str">
        <f>IF(AND(TBL_Employees[[#This Row],[Department]]="IT",TBL_Employees[[#This Row],[Gender]]="Female"),"Yes","No")</f>
        <v>No</v>
      </c>
      <c r="Q562" t="str">
        <f>IF(AND(TBL_Employees[[#This Row],[Gender]]="Female",TBL_Employees[[#This Row],[Ethnicity]]="Black"), "Female_Black", "Others")</f>
        <v>Others</v>
      </c>
    </row>
    <row r="563" spans="1:17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7">
        <v>44219</v>
      </c>
      <c r="J563" s="1">
        <v>151783</v>
      </c>
      <c r="K563" s="2">
        <v>0.26</v>
      </c>
      <c r="L563" t="s">
        <v>19</v>
      </c>
      <c r="M563" t="s">
        <v>63</v>
      </c>
      <c r="N563" s="7" t="s">
        <v>21</v>
      </c>
      <c r="O563" s="1">
        <f>TBL_Employees[[#This Row],[Annual Salary]]+TBL_Employees[[#This Row],[Bonus %]]*TBL_Employees[[#This Row],[Annual Salary]]</f>
        <v>191246.58000000002</v>
      </c>
      <c r="P563" t="str">
        <f>IF(AND(TBL_Employees[[#This Row],[Department]]="IT",TBL_Employees[[#This Row],[Gender]]="Female"),"Yes","No")</f>
        <v>No</v>
      </c>
      <c r="Q563" t="str">
        <f>IF(AND(TBL_Employees[[#This Row],[Gender]]="Female",TBL_Employees[[#This Row],[Ethnicity]]="Black"), "Female_Black", "Others")</f>
        <v>Others</v>
      </c>
    </row>
    <row r="564" spans="1:17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7">
        <v>43441</v>
      </c>
      <c r="J564" s="1">
        <v>170164</v>
      </c>
      <c r="K564" s="2">
        <v>0.17</v>
      </c>
      <c r="L564" t="s">
        <v>19</v>
      </c>
      <c r="M564" t="s">
        <v>25</v>
      </c>
      <c r="N564" s="7" t="s">
        <v>21</v>
      </c>
      <c r="O564" s="1">
        <f>TBL_Employees[[#This Row],[Annual Salary]]+TBL_Employees[[#This Row],[Bonus %]]*TBL_Employees[[#This Row],[Annual Salary]]</f>
        <v>199091.88</v>
      </c>
      <c r="P564" t="str">
        <f>IF(AND(TBL_Employees[[#This Row],[Department]]="IT",TBL_Employees[[#This Row],[Gender]]="Female"),"Yes","No")</f>
        <v>No</v>
      </c>
      <c r="Q564" t="str">
        <f>IF(AND(TBL_Employees[[#This Row],[Gender]]="Female",TBL_Employees[[#This Row],[Ethnicity]]="Black"), "Female_Black", "Others")</f>
        <v>Others</v>
      </c>
    </row>
    <row r="565" spans="1:17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7">
        <v>41690</v>
      </c>
      <c r="J565" s="1">
        <v>155905</v>
      </c>
      <c r="K565" s="2">
        <v>0.14000000000000001</v>
      </c>
      <c r="L565" t="s">
        <v>19</v>
      </c>
      <c r="M565" t="s">
        <v>39</v>
      </c>
      <c r="N565" s="7" t="s">
        <v>21</v>
      </c>
      <c r="O565" s="1">
        <f>TBL_Employees[[#This Row],[Annual Salary]]+TBL_Employees[[#This Row],[Bonus %]]*TBL_Employees[[#This Row],[Annual Salary]]</f>
        <v>177731.7</v>
      </c>
      <c r="P565" t="str">
        <f>IF(AND(TBL_Employees[[#This Row],[Department]]="IT",TBL_Employees[[#This Row],[Gender]]="Female"),"Yes","No")</f>
        <v>No</v>
      </c>
      <c r="Q565" t="str">
        <f>IF(AND(TBL_Employees[[#This Row],[Gender]]="Female",TBL_Employees[[#This Row],[Ethnicity]]="Black"), "Female_Black", "Others")</f>
        <v>Others</v>
      </c>
    </row>
    <row r="566" spans="1:17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7">
        <v>42721</v>
      </c>
      <c r="J566" s="1">
        <v>50733</v>
      </c>
      <c r="K566" s="2">
        <v>0</v>
      </c>
      <c r="L566" t="s">
        <v>19</v>
      </c>
      <c r="M566" t="s">
        <v>45</v>
      </c>
      <c r="N566" s="7" t="s">
        <v>21</v>
      </c>
      <c r="O566" s="1">
        <f>TBL_Employees[[#This Row],[Annual Salary]]+TBL_Employees[[#This Row],[Bonus %]]*TBL_Employees[[#This Row],[Annual Salary]]</f>
        <v>50733</v>
      </c>
      <c r="P566" t="str">
        <f>IF(AND(TBL_Employees[[#This Row],[Department]]="IT",TBL_Employees[[#This Row],[Gender]]="Female"),"Yes","No")</f>
        <v>No</v>
      </c>
      <c r="Q566" t="str">
        <f>IF(AND(TBL_Employees[[#This Row],[Gender]]="Female",TBL_Employees[[#This Row],[Ethnicity]]="Black"), "Female_Black", "Others")</f>
        <v>Others</v>
      </c>
    </row>
    <row r="567" spans="1:17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7">
        <v>42761</v>
      </c>
      <c r="J567" s="1">
        <v>88663</v>
      </c>
      <c r="K567" s="2">
        <v>0</v>
      </c>
      <c r="L567" t="s">
        <v>19</v>
      </c>
      <c r="M567" t="s">
        <v>39</v>
      </c>
      <c r="N567" s="7" t="s">
        <v>21</v>
      </c>
      <c r="O567" s="1">
        <f>TBL_Employees[[#This Row],[Annual Salary]]+TBL_Employees[[#This Row],[Bonus %]]*TBL_Employees[[#This Row],[Annual Salary]]</f>
        <v>88663</v>
      </c>
      <c r="P567" t="str">
        <f>IF(AND(TBL_Employees[[#This Row],[Department]]="IT",TBL_Employees[[#This Row],[Gender]]="Female"),"Yes","No")</f>
        <v>No</v>
      </c>
      <c r="Q567" t="str">
        <f>IF(AND(TBL_Employees[[#This Row],[Gender]]="Female",TBL_Employees[[#This Row],[Ethnicity]]="Black"), "Female_Black", "Others")</f>
        <v>Others</v>
      </c>
    </row>
    <row r="568" spans="1:17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7">
        <v>33890</v>
      </c>
      <c r="J568" s="1">
        <v>88213</v>
      </c>
      <c r="K568" s="2">
        <v>0</v>
      </c>
      <c r="L568" t="s">
        <v>33</v>
      </c>
      <c r="M568" t="s">
        <v>80</v>
      </c>
      <c r="N568" s="7" t="s">
        <v>21</v>
      </c>
      <c r="O568" s="1">
        <f>TBL_Employees[[#This Row],[Annual Salary]]+TBL_Employees[[#This Row],[Bonus %]]*TBL_Employees[[#This Row],[Annual Salary]]</f>
        <v>88213</v>
      </c>
      <c r="P568" t="str">
        <f>IF(AND(TBL_Employees[[#This Row],[Department]]="IT",TBL_Employees[[#This Row],[Gender]]="Female"),"Yes","No")</f>
        <v>No</v>
      </c>
      <c r="Q568" t="str">
        <f>IF(AND(TBL_Employees[[#This Row],[Gender]]="Female",TBL_Employees[[#This Row],[Ethnicity]]="Black"), "Female_Black", "Others")</f>
        <v>Others</v>
      </c>
    </row>
    <row r="569" spans="1:17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7">
        <v>44410</v>
      </c>
      <c r="J569" s="1">
        <v>67130</v>
      </c>
      <c r="K569" s="2">
        <v>0</v>
      </c>
      <c r="L569" t="s">
        <v>19</v>
      </c>
      <c r="M569" t="s">
        <v>45</v>
      </c>
      <c r="N569" s="7" t="s">
        <v>21</v>
      </c>
      <c r="O569" s="1">
        <f>TBL_Employees[[#This Row],[Annual Salary]]+TBL_Employees[[#This Row],[Bonus %]]*TBL_Employees[[#This Row],[Annual Salary]]</f>
        <v>67130</v>
      </c>
      <c r="P569" t="str">
        <f>IF(AND(TBL_Employees[[#This Row],[Department]]="IT",TBL_Employees[[#This Row],[Gender]]="Female"),"Yes","No")</f>
        <v>No</v>
      </c>
      <c r="Q569" t="str">
        <f>IF(AND(TBL_Employees[[#This Row],[Gender]]="Female",TBL_Employees[[#This Row],[Ethnicity]]="Black"), "Female_Black", "Others")</f>
        <v>Others</v>
      </c>
    </row>
    <row r="570" spans="1:17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7">
        <v>42285</v>
      </c>
      <c r="J570" s="1">
        <v>94876</v>
      </c>
      <c r="K570" s="2">
        <v>0</v>
      </c>
      <c r="L570" t="s">
        <v>19</v>
      </c>
      <c r="M570" t="s">
        <v>45</v>
      </c>
      <c r="N570" s="7" t="s">
        <v>21</v>
      </c>
      <c r="O570" s="1">
        <f>TBL_Employees[[#This Row],[Annual Salary]]+TBL_Employees[[#This Row],[Bonus %]]*TBL_Employees[[#This Row],[Annual Salary]]</f>
        <v>94876</v>
      </c>
      <c r="P570" t="str">
        <f>IF(AND(TBL_Employees[[#This Row],[Department]]="IT",TBL_Employees[[#This Row],[Gender]]="Female"),"Yes","No")</f>
        <v>No</v>
      </c>
      <c r="Q570" t="str">
        <f>IF(AND(TBL_Employees[[#This Row],[Gender]]="Female",TBL_Employees[[#This Row],[Ethnicity]]="Black"), "Female_Black", "Others")</f>
        <v>Others</v>
      </c>
    </row>
    <row r="571" spans="1:17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7">
        <v>34616</v>
      </c>
      <c r="J571" s="1">
        <v>98230</v>
      </c>
      <c r="K571" s="2">
        <v>0</v>
      </c>
      <c r="L571" t="s">
        <v>19</v>
      </c>
      <c r="M571" t="s">
        <v>45</v>
      </c>
      <c r="N571" s="7" t="s">
        <v>21</v>
      </c>
      <c r="O571" s="1">
        <f>TBL_Employees[[#This Row],[Annual Salary]]+TBL_Employees[[#This Row],[Bonus %]]*TBL_Employees[[#This Row],[Annual Salary]]</f>
        <v>98230</v>
      </c>
      <c r="P571" t="str">
        <f>IF(AND(TBL_Employees[[#This Row],[Department]]="IT",TBL_Employees[[#This Row],[Gender]]="Female"),"Yes","No")</f>
        <v>No</v>
      </c>
      <c r="Q571" t="str">
        <f>IF(AND(TBL_Employees[[#This Row],[Gender]]="Female",TBL_Employees[[#This Row],[Ethnicity]]="Black"), "Female_Black", "Others")</f>
        <v>Others</v>
      </c>
    </row>
    <row r="572" spans="1:17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7">
        <v>43448</v>
      </c>
      <c r="J572" s="1">
        <v>96757</v>
      </c>
      <c r="K572" s="2">
        <v>0</v>
      </c>
      <c r="L572" t="s">
        <v>19</v>
      </c>
      <c r="M572" t="s">
        <v>29</v>
      </c>
      <c r="N572" s="7" t="s">
        <v>21</v>
      </c>
      <c r="O572" s="1">
        <f>TBL_Employees[[#This Row],[Annual Salary]]+TBL_Employees[[#This Row],[Bonus %]]*TBL_Employees[[#This Row],[Annual Salary]]</f>
        <v>96757</v>
      </c>
      <c r="P572" t="str">
        <f>IF(AND(TBL_Employees[[#This Row],[Department]]="IT",TBL_Employees[[#This Row],[Gender]]="Female"),"Yes","No")</f>
        <v>No</v>
      </c>
      <c r="Q572" t="str">
        <f>IF(AND(TBL_Employees[[#This Row],[Gender]]="Female",TBL_Employees[[#This Row],[Ethnicity]]="Black"), "Female_Black", "Others")</f>
        <v>Others</v>
      </c>
    </row>
    <row r="573" spans="1:17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7">
        <v>44015</v>
      </c>
      <c r="J573" s="1">
        <v>51513</v>
      </c>
      <c r="K573" s="2">
        <v>0</v>
      </c>
      <c r="L573" t="s">
        <v>19</v>
      </c>
      <c r="M573" t="s">
        <v>29</v>
      </c>
      <c r="N573" s="7" t="s">
        <v>21</v>
      </c>
      <c r="O573" s="1">
        <f>TBL_Employees[[#This Row],[Annual Salary]]+TBL_Employees[[#This Row],[Bonus %]]*TBL_Employees[[#This Row],[Annual Salary]]</f>
        <v>51513</v>
      </c>
      <c r="P573" t="str">
        <f>IF(AND(TBL_Employees[[#This Row],[Department]]="IT",TBL_Employees[[#This Row],[Gender]]="Female"),"Yes","No")</f>
        <v>No</v>
      </c>
      <c r="Q573" t="str">
        <f>IF(AND(TBL_Employees[[#This Row],[Gender]]="Female",TBL_Employees[[#This Row],[Ethnicity]]="Black"), "Female_Black", "Others")</f>
        <v>Others</v>
      </c>
    </row>
    <row r="574" spans="1:17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7">
        <v>39109</v>
      </c>
      <c r="J574" s="1">
        <v>234311</v>
      </c>
      <c r="K574" s="2">
        <v>0.37</v>
      </c>
      <c r="L574" t="s">
        <v>19</v>
      </c>
      <c r="M574" t="s">
        <v>45</v>
      </c>
      <c r="N574" s="7" t="s">
        <v>21</v>
      </c>
      <c r="O574" s="1">
        <f>TBL_Employees[[#This Row],[Annual Salary]]+TBL_Employees[[#This Row],[Bonus %]]*TBL_Employees[[#This Row],[Annual Salary]]</f>
        <v>321006.07</v>
      </c>
      <c r="P574" t="str">
        <f>IF(AND(TBL_Employees[[#This Row],[Department]]="IT",TBL_Employees[[#This Row],[Gender]]="Female"),"Yes","No")</f>
        <v>No</v>
      </c>
      <c r="Q574" t="str">
        <f>IF(AND(TBL_Employees[[#This Row],[Gender]]="Female",TBL_Employees[[#This Row],[Ethnicity]]="Black"), "Female_Black", "Others")</f>
        <v>Others</v>
      </c>
    </row>
    <row r="575" spans="1:17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7">
        <v>40685</v>
      </c>
      <c r="J575" s="1">
        <v>152353</v>
      </c>
      <c r="K575" s="2">
        <v>0.14000000000000001</v>
      </c>
      <c r="L575" t="s">
        <v>19</v>
      </c>
      <c r="M575" t="s">
        <v>63</v>
      </c>
      <c r="N575" s="7" t="s">
        <v>21</v>
      </c>
      <c r="O575" s="1">
        <f>TBL_Employees[[#This Row],[Annual Salary]]+TBL_Employees[[#This Row],[Bonus %]]*TBL_Employees[[#This Row],[Annual Salary]]</f>
        <v>173682.42</v>
      </c>
      <c r="P575" t="str">
        <f>IF(AND(TBL_Employees[[#This Row],[Department]]="IT",TBL_Employees[[#This Row],[Gender]]="Female"),"Yes","No")</f>
        <v>No</v>
      </c>
      <c r="Q575" t="str">
        <f>IF(AND(TBL_Employees[[#This Row],[Gender]]="Female",TBL_Employees[[#This Row],[Ethnicity]]="Black"), "Female_Black", "Others")</f>
        <v>Others</v>
      </c>
    </row>
    <row r="576" spans="1:17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7">
        <v>40389</v>
      </c>
      <c r="J576" s="1">
        <v>124774</v>
      </c>
      <c r="K576" s="2">
        <v>0.12</v>
      </c>
      <c r="L576" t="s">
        <v>19</v>
      </c>
      <c r="M576" t="s">
        <v>39</v>
      </c>
      <c r="N576" s="7" t="s">
        <v>21</v>
      </c>
      <c r="O576" s="1">
        <f>TBL_Employees[[#This Row],[Annual Salary]]+TBL_Employees[[#This Row],[Bonus %]]*TBL_Employees[[#This Row],[Annual Salary]]</f>
        <v>139746.88</v>
      </c>
      <c r="P576" t="str">
        <f>IF(AND(TBL_Employees[[#This Row],[Department]]="IT",TBL_Employees[[#This Row],[Gender]]="Female"),"Yes","No")</f>
        <v>No</v>
      </c>
      <c r="Q576" t="str">
        <f>IF(AND(TBL_Employees[[#This Row],[Gender]]="Female",TBL_Employees[[#This Row],[Ethnicity]]="Black"), "Female_Black", "Others")</f>
        <v>Others</v>
      </c>
    </row>
    <row r="577" spans="1:17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7">
        <v>40434</v>
      </c>
      <c r="J577" s="1">
        <v>157070</v>
      </c>
      <c r="K577" s="2">
        <v>0.28000000000000003</v>
      </c>
      <c r="L577" t="s">
        <v>33</v>
      </c>
      <c r="M577" t="s">
        <v>80</v>
      </c>
      <c r="N577" s="7" t="s">
        <v>21</v>
      </c>
      <c r="O577" s="1">
        <f>TBL_Employees[[#This Row],[Annual Salary]]+TBL_Employees[[#This Row],[Bonus %]]*TBL_Employees[[#This Row],[Annual Salary]]</f>
        <v>201049.60000000001</v>
      </c>
      <c r="P577" t="str">
        <f>IF(AND(TBL_Employees[[#This Row],[Department]]="IT",TBL_Employees[[#This Row],[Gender]]="Female"),"Yes","No")</f>
        <v>No</v>
      </c>
      <c r="Q577" t="str">
        <f>IF(AND(TBL_Employees[[#This Row],[Gender]]="Female",TBL_Employees[[#This Row],[Ethnicity]]="Black"), "Female_Black", "Others")</f>
        <v>Others</v>
      </c>
    </row>
    <row r="578" spans="1:17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7">
        <v>43685</v>
      </c>
      <c r="J578" s="1">
        <v>130133</v>
      </c>
      <c r="K578" s="2">
        <v>0.15</v>
      </c>
      <c r="L578" t="s">
        <v>19</v>
      </c>
      <c r="M578" t="s">
        <v>25</v>
      </c>
      <c r="N578" s="7">
        <v>44699</v>
      </c>
      <c r="O578" s="1">
        <f>TBL_Employees[[#This Row],[Annual Salary]]+TBL_Employees[[#This Row],[Bonus %]]*TBL_Employees[[#This Row],[Annual Salary]]</f>
        <v>149652.95000000001</v>
      </c>
      <c r="P578" t="str">
        <f>IF(AND(TBL_Employees[[#This Row],[Department]]="IT",TBL_Employees[[#This Row],[Gender]]="Female"),"Yes","No")</f>
        <v>No</v>
      </c>
      <c r="Q578" t="str">
        <f>IF(AND(TBL_Employees[[#This Row],[Gender]]="Female",TBL_Employees[[#This Row],[Ethnicity]]="Black"), "Female_Black", "Others")</f>
        <v>Others</v>
      </c>
    </row>
    <row r="579" spans="1:17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7">
        <v>43729</v>
      </c>
      <c r="J579" s="1">
        <v>108780</v>
      </c>
      <c r="K579" s="2">
        <v>0.06</v>
      </c>
      <c r="L579" t="s">
        <v>33</v>
      </c>
      <c r="M579" t="s">
        <v>74</v>
      </c>
      <c r="N579" s="7" t="s">
        <v>21</v>
      </c>
      <c r="O579" s="1">
        <f>TBL_Employees[[#This Row],[Annual Salary]]+TBL_Employees[[#This Row],[Bonus %]]*TBL_Employees[[#This Row],[Annual Salary]]</f>
        <v>115306.8</v>
      </c>
      <c r="P579" t="str">
        <f>IF(AND(TBL_Employees[[#This Row],[Department]]="IT",TBL_Employees[[#This Row],[Gender]]="Female"),"Yes","No")</f>
        <v>No</v>
      </c>
      <c r="Q579" t="str">
        <f>IF(AND(TBL_Employees[[#This Row],[Gender]]="Female",TBL_Employees[[#This Row],[Ethnicity]]="Black"), "Female_Black", "Others")</f>
        <v>Others</v>
      </c>
    </row>
    <row r="580" spans="1:17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7">
        <v>44125</v>
      </c>
      <c r="J580" s="1">
        <v>151853</v>
      </c>
      <c r="K580" s="2">
        <v>0.16</v>
      </c>
      <c r="L580" t="s">
        <v>33</v>
      </c>
      <c r="M580" t="s">
        <v>34</v>
      </c>
      <c r="N580" s="7" t="s">
        <v>21</v>
      </c>
      <c r="O580" s="1">
        <f>TBL_Employees[[#This Row],[Annual Salary]]+TBL_Employees[[#This Row],[Bonus %]]*TBL_Employees[[#This Row],[Annual Salary]]</f>
        <v>176149.48</v>
      </c>
      <c r="P580" t="str">
        <f>IF(AND(TBL_Employees[[#This Row],[Department]]="IT",TBL_Employees[[#This Row],[Gender]]="Female"),"Yes","No")</f>
        <v>No</v>
      </c>
      <c r="Q580" t="str">
        <f>IF(AND(TBL_Employees[[#This Row],[Gender]]="Female",TBL_Employees[[#This Row],[Ethnicity]]="Black"), "Female_Black", "Others")</f>
        <v>Others</v>
      </c>
    </row>
    <row r="581" spans="1:17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7">
        <v>38977</v>
      </c>
      <c r="J581" s="1">
        <v>64669</v>
      </c>
      <c r="K581" s="2">
        <v>0</v>
      </c>
      <c r="L581" t="s">
        <v>33</v>
      </c>
      <c r="M581" t="s">
        <v>80</v>
      </c>
      <c r="N581" s="7" t="s">
        <v>21</v>
      </c>
      <c r="O581" s="1">
        <f>TBL_Employees[[#This Row],[Annual Salary]]+TBL_Employees[[#This Row],[Bonus %]]*TBL_Employees[[#This Row],[Annual Salary]]</f>
        <v>64669</v>
      </c>
      <c r="P581" t="str">
        <f>IF(AND(TBL_Employees[[#This Row],[Department]]="IT",TBL_Employees[[#This Row],[Gender]]="Female"),"Yes","No")</f>
        <v>No</v>
      </c>
      <c r="Q581" t="str">
        <f>IF(AND(TBL_Employees[[#This Row],[Gender]]="Female",TBL_Employees[[#This Row],[Ethnicity]]="Black"), "Female_Black", "Others")</f>
        <v>Others</v>
      </c>
    </row>
    <row r="582" spans="1:17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7">
        <v>39568</v>
      </c>
      <c r="J582" s="1">
        <v>69352</v>
      </c>
      <c r="K582" s="2">
        <v>0</v>
      </c>
      <c r="L582" t="s">
        <v>52</v>
      </c>
      <c r="M582" t="s">
        <v>66</v>
      </c>
      <c r="N582" s="7" t="s">
        <v>21</v>
      </c>
      <c r="O582" s="1">
        <f>TBL_Employees[[#This Row],[Annual Salary]]+TBL_Employees[[#This Row],[Bonus %]]*TBL_Employees[[#This Row],[Annual Salary]]</f>
        <v>69352</v>
      </c>
      <c r="P582" t="str">
        <f>IF(AND(TBL_Employees[[#This Row],[Department]]="IT",TBL_Employees[[#This Row],[Gender]]="Female"),"Yes","No")</f>
        <v>No</v>
      </c>
      <c r="Q582" t="str">
        <f>IF(AND(TBL_Employees[[#This Row],[Gender]]="Female",TBL_Employees[[#This Row],[Ethnicity]]="Black"), "Female_Black", "Others")</f>
        <v>Others</v>
      </c>
    </row>
    <row r="583" spans="1:17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7">
        <v>37181</v>
      </c>
      <c r="J583" s="1">
        <v>74631</v>
      </c>
      <c r="K583" s="2">
        <v>0</v>
      </c>
      <c r="L583" t="s">
        <v>33</v>
      </c>
      <c r="M583" t="s">
        <v>80</v>
      </c>
      <c r="N583" s="7" t="s">
        <v>21</v>
      </c>
      <c r="O583" s="1">
        <f>TBL_Employees[[#This Row],[Annual Salary]]+TBL_Employees[[#This Row],[Bonus %]]*TBL_Employees[[#This Row],[Annual Salary]]</f>
        <v>74631</v>
      </c>
      <c r="P583" t="str">
        <f>IF(AND(TBL_Employees[[#This Row],[Department]]="IT",TBL_Employees[[#This Row],[Gender]]="Female"),"Yes","No")</f>
        <v>No</v>
      </c>
      <c r="Q583" t="str">
        <f>IF(AND(TBL_Employees[[#This Row],[Gender]]="Female",TBL_Employees[[#This Row],[Ethnicity]]="Black"), "Female_Black", "Others")</f>
        <v>Others</v>
      </c>
    </row>
    <row r="584" spans="1:17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7">
        <v>41028</v>
      </c>
      <c r="J584" s="1">
        <v>96441</v>
      </c>
      <c r="K584" s="2">
        <v>0</v>
      </c>
      <c r="L584" t="s">
        <v>52</v>
      </c>
      <c r="M584" t="s">
        <v>53</v>
      </c>
      <c r="N584" s="7" t="s">
        <v>21</v>
      </c>
      <c r="O584" s="1">
        <f>TBL_Employees[[#This Row],[Annual Salary]]+TBL_Employees[[#This Row],[Bonus %]]*TBL_Employees[[#This Row],[Annual Salary]]</f>
        <v>96441</v>
      </c>
      <c r="P584" t="str">
        <f>IF(AND(TBL_Employees[[#This Row],[Department]]="IT",TBL_Employees[[#This Row],[Gender]]="Female"),"Yes","No")</f>
        <v>No</v>
      </c>
      <c r="Q584" t="str">
        <f>IF(AND(TBL_Employees[[#This Row],[Gender]]="Female",TBL_Employees[[#This Row],[Ethnicity]]="Black"), "Female_Black", "Others")</f>
        <v>Others</v>
      </c>
    </row>
    <row r="585" spans="1:17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7">
        <v>40836</v>
      </c>
      <c r="J585" s="1">
        <v>114250</v>
      </c>
      <c r="K585" s="2">
        <v>0.14000000000000001</v>
      </c>
      <c r="L585" t="s">
        <v>33</v>
      </c>
      <c r="M585" t="s">
        <v>34</v>
      </c>
      <c r="N585" s="7" t="s">
        <v>21</v>
      </c>
      <c r="O585" s="1">
        <f>TBL_Employees[[#This Row],[Annual Salary]]+TBL_Employees[[#This Row],[Bonus %]]*TBL_Employees[[#This Row],[Annual Salary]]</f>
        <v>130245</v>
      </c>
      <c r="P585" t="str">
        <f>IF(AND(TBL_Employees[[#This Row],[Department]]="IT",TBL_Employees[[#This Row],[Gender]]="Female"),"Yes","No")</f>
        <v>No</v>
      </c>
      <c r="Q585" t="str">
        <f>IF(AND(TBL_Employees[[#This Row],[Gender]]="Female",TBL_Employees[[#This Row],[Ethnicity]]="Black"), "Female_Black", "Others")</f>
        <v>Others</v>
      </c>
    </row>
    <row r="586" spans="1:17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7">
        <v>44192</v>
      </c>
      <c r="J586" s="1">
        <v>70165</v>
      </c>
      <c r="K586" s="2">
        <v>7.0000000000000007E-2</v>
      </c>
      <c r="L586" t="s">
        <v>52</v>
      </c>
      <c r="M586" t="s">
        <v>81</v>
      </c>
      <c r="N586" s="7" t="s">
        <v>21</v>
      </c>
      <c r="O586" s="1">
        <f>TBL_Employees[[#This Row],[Annual Salary]]+TBL_Employees[[#This Row],[Bonus %]]*TBL_Employees[[#This Row],[Annual Salary]]</f>
        <v>75076.55</v>
      </c>
      <c r="P586" t="str">
        <f>IF(AND(TBL_Employees[[#This Row],[Department]]="IT",TBL_Employees[[#This Row],[Gender]]="Female"),"Yes","No")</f>
        <v>No</v>
      </c>
      <c r="Q586" t="str">
        <f>IF(AND(TBL_Employees[[#This Row],[Gender]]="Female",TBL_Employees[[#This Row],[Ethnicity]]="Black"), "Female_Black", "Others")</f>
        <v>Others</v>
      </c>
    </row>
    <row r="587" spans="1:17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7">
        <v>36554</v>
      </c>
      <c r="J587" s="1">
        <v>109059</v>
      </c>
      <c r="K587" s="2">
        <v>7.0000000000000007E-2</v>
      </c>
      <c r="L587" t="s">
        <v>33</v>
      </c>
      <c r="M587" t="s">
        <v>34</v>
      </c>
      <c r="N587" s="7" t="s">
        <v>21</v>
      </c>
      <c r="O587" s="1">
        <f>TBL_Employees[[#This Row],[Annual Salary]]+TBL_Employees[[#This Row],[Bonus %]]*TBL_Employees[[#This Row],[Annual Salary]]</f>
        <v>116693.13</v>
      </c>
      <c r="P587" t="str">
        <f>IF(AND(TBL_Employees[[#This Row],[Department]]="IT",TBL_Employees[[#This Row],[Gender]]="Female"),"Yes","No")</f>
        <v>No</v>
      </c>
      <c r="Q587" t="str">
        <f>IF(AND(TBL_Employees[[#This Row],[Gender]]="Female",TBL_Employees[[#This Row],[Ethnicity]]="Black"), "Female_Black", "Others")</f>
        <v>Others</v>
      </c>
    </row>
    <row r="588" spans="1:17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7">
        <v>42322</v>
      </c>
      <c r="J588" s="1">
        <v>77442</v>
      </c>
      <c r="K588" s="2">
        <v>0</v>
      </c>
      <c r="L588" t="s">
        <v>19</v>
      </c>
      <c r="M588" t="s">
        <v>29</v>
      </c>
      <c r="N588" s="7" t="s">
        <v>21</v>
      </c>
      <c r="O588" s="1">
        <f>TBL_Employees[[#This Row],[Annual Salary]]+TBL_Employees[[#This Row],[Bonus %]]*TBL_Employees[[#This Row],[Annual Salary]]</f>
        <v>77442</v>
      </c>
      <c r="P588" t="str">
        <f>IF(AND(TBL_Employees[[#This Row],[Department]]="IT",TBL_Employees[[#This Row],[Gender]]="Female"),"Yes","No")</f>
        <v>No</v>
      </c>
      <c r="Q588" t="str">
        <f>IF(AND(TBL_Employees[[#This Row],[Gender]]="Female",TBL_Employees[[#This Row],[Ethnicity]]="Black"), "Female_Black", "Others")</f>
        <v>Others</v>
      </c>
    </row>
    <row r="589" spans="1:17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7">
        <v>41066</v>
      </c>
      <c r="J589" s="1">
        <v>72126</v>
      </c>
      <c r="K589" s="2">
        <v>0</v>
      </c>
      <c r="L589" t="s">
        <v>52</v>
      </c>
      <c r="M589" t="s">
        <v>81</v>
      </c>
      <c r="N589" s="7" t="s">
        <v>21</v>
      </c>
      <c r="O589" s="1">
        <f>TBL_Employees[[#This Row],[Annual Salary]]+TBL_Employees[[#This Row],[Bonus %]]*TBL_Employees[[#This Row],[Annual Salary]]</f>
        <v>72126</v>
      </c>
      <c r="P589" t="str">
        <f>IF(AND(TBL_Employees[[#This Row],[Department]]="IT",TBL_Employees[[#This Row],[Gender]]="Female"),"Yes","No")</f>
        <v>No</v>
      </c>
      <c r="Q589" t="str">
        <f>IF(AND(TBL_Employees[[#This Row],[Gender]]="Female",TBL_Employees[[#This Row],[Ethnicity]]="Black"), "Female_Black", "Others")</f>
        <v>Others</v>
      </c>
    </row>
    <row r="590" spans="1:17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7">
        <v>41565</v>
      </c>
      <c r="J590" s="1">
        <v>70334</v>
      </c>
      <c r="K590" s="2">
        <v>0</v>
      </c>
      <c r="L590" t="s">
        <v>19</v>
      </c>
      <c r="M590" t="s">
        <v>45</v>
      </c>
      <c r="N590" s="7" t="s">
        <v>21</v>
      </c>
      <c r="O590" s="1">
        <f>TBL_Employees[[#This Row],[Annual Salary]]+TBL_Employees[[#This Row],[Bonus %]]*TBL_Employees[[#This Row],[Annual Salary]]</f>
        <v>70334</v>
      </c>
      <c r="P590" t="str">
        <f>IF(AND(TBL_Employees[[#This Row],[Department]]="IT",TBL_Employees[[#This Row],[Gender]]="Female"),"Yes","No")</f>
        <v>No</v>
      </c>
      <c r="Q590" t="str">
        <f>IF(AND(TBL_Employees[[#This Row],[Gender]]="Female",TBL_Employees[[#This Row],[Ethnicity]]="Black"), "Female_Black", "Others")</f>
        <v>Others</v>
      </c>
    </row>
    <row r="591" spans="1:17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7">
        <v>40170</v>
      </c>
      <c r="J591" s="1">
        <v>78006</v>
      </c>
      <c r="K591" s="2">
        <v>0</v>
      </c>
      <c r="L591" t="s">
        <v>19</v>
      </c>
      <c r="M591" t="s">
        <v>45</v>
      </c>
      <c r="N591" s="7" t="s">
        <v>21</v>
      </c>
      <c r="O591" s="1">
        <f>TBL_Employees[[#This Row],[Annual Salary]]+TBL_Employees[[#This Row],[Bonus %]]*TBL_Employees[[#This Row],[Annual Salary]]</f>
        <v>78006</v>
      </c>
      <c r="P591" t="str">
        <f>IF(AND(TBL_Employees[[#This Row],[Department]]="IT",TBL_Employees[[#This Row],[Gender]]="Female"),"Yes","No")</f>
        <v>No</v>
      </c>
      <c r="Q591" t="str">
        <f>IF(AND(TBL_Employees[[#This Row],[Gender]]="Female",TBL_Employees[[#This Row],[Ethnicity]]="Black"), "Female_Black", "Others")</f>
        <v>Others</v>
      </c>
    </row>
    <row r="592" spans="1:17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7">
        <v>44221</v>
      </c>
      <c r="J592" s="1">
        <v>160385</v>
      </c>
      <c r="K592" s="2">
        <v>0.23</v>
      </c>
      <c r="L592" t="s">
        <v>19</v>
      </c>
      <c r="M592" t="s">
        <v>45</v>
      </c>
      <c r="N592" s="7">
        <v>44334</v>
      </c>
      <c r="O592" s="1">
        <f>TBL_Employees[[#This Row],[Annual Salary]]+TBL_Employees[[#This Row],[Bonus %]]*TBL_Employees[[#This Row],[Annual Salary]]</f>
        <v>197273.55</v>
      </c>
      <c r="P592" t="str">
        <f>IF(AND(TBL_Employees[[#This Row],[Department]]="IT",TBL_Employees[[#This Row],[Gender]]="Female"),"Yes","No")</f>
        <v>Yes</v>
      </c>
      <c r="Q592" t="str">
        <f>IF(AND(TBL_Employees[[#This Row],[Gender]]="Female",TBL_Employees[[#This Row],[Ethnicity]]="Black"), "Female_Black", "Others")</f>
        <v>Others</v>
      </c>
    </row>
    <row r="593" spans="1:17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7">
        <v>41650</v>
      </c>
      <c r="J593" s="1">
        <v>202323</v>
      </c>
      <c r="K593" s="2">
        <v>0.39</v>
      </c>
      <c r="L593" t="s">
        <v>19</v>
      </c>
      <c r="M593" t="s">
        <v>20</v>
      </c>
      <c r="N593" s="7" t="s">
        <v>21</v>
      </c>
      <c r="O593" s="1">
        <f>TBL_Employees[[#This Row],[Annual Salary]]+TBL_Employees[[#This Row],[Bonus %]]*TBL_Employees[[#This Row],[Annual Salary]]</f>
        <v>281228.96999999997</v>
      </c>
      <c r="P593" t="str">
        <f>IF(AND(TBL_Employees[[#This Row],[Department]]="IT",TBL_Employees[[#This Row],[Gender]]="Female"),"Yes","No")</f>
        <v>No</v>
      </c>
      <c r="Q593" t="str">
        <f>IF(AND(TBL_Employees[[#This Row],[Gender]]="Female",TBL_Employees[[#This Row],[Ethnicity]]="Black"), "Female_Black", "Others")</f>
        <v>Others</v>
      </c>
    </row>
    <row r="594" spans="1:17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7">
        <v>44025</v>
      </c>
      <c r="J594" s="1">
        <v>141555</v>
      </c>
      <c r="K594" s="2">
        <v>0.11</v>
      </c>
      <c r="L594" t="s">
        <v>52</v>
      </c>
      <c r="M594" t="s">
        <v>81</v>
      </c>
      <c r="N594" s="7" t="s">
        <v>21</v>
      </c>
      <c r="O594" s="1">
        <f>TBL_Employees[[#This Row],[Annual Salary]]+TBL_Employees[[#This Row],[Bonus %]]*TBL_Employees[[#This Row],[Annual Salary]]</f>
        <v>157126.04999999999</v>
      </c>
      <c r="P594" t="str">
        <f>IF(AND(TBL_Employees[[#This Row],[Department]]="IT",TBL_Employees[[#This Row],[Gender]]="Female"),"Yes","No")</f>
        <v>No</v>
      </c>
      <c r="Q594" t="str">
        <f>IF(AND(TBL_Employees[[#This Row],[Gender]]="Female",TBL_Employees[[#This Row],[Ethnicity]]="Black"), "Female_Black", "Others")</f>
        <v>Others</v>
      </c>
    </row>
    <row r="595" spans="1:17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7">
        <v>44032</v>
      </c>
      <c r="J595" s="1">
        <v>184960</v>
      </c>
      <c r="K595" s="2">
        <v>0.18</v>
      </c>
      <c r="L595" t="s">
        <v>19</v>
      </c>
      <c r="M595" t="s">
        <v>63</v>
      </c>
      <c r="N595" s="7" t="s">
        <v>21</v>
      </c>
      <c r="O595" s="1">
        <f>TBL_Employees[[#This Row],[Annual Salary]]+TBL_Employees[[#This Row],[Bonus %]]*TBL_Employees[[#This Row],[Annual Salary]]</f>
        <v>218252.79999999999</v>
      </c>
      <c r="P595" t="str">
        <f>IF(AND(TBL_Employees[[#This Row],[Department]]="IT",TBL_Employees[[#This Row],[Gender]]="Female"),"Yes","No")</f>
        <v>No</v>
      </c>
      <c r="Q595" t="str">
        <f>IF(AND(TBL_Employees[[#This Row],[Gender]]="Female",TBL_Employees[[#This Row],[Ethnicity]]="Black"), "Female_Black", "Others")</f>
        <v>Others</v>
      </c>
    </row>
    <row r="596" spans="1:17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7">
        <v>40719</v>
      </c>
      <c r="J596" s="1">
        <v>221592</v>
      </c>
      <c r="K596" s="2">
        <v>0.31</v>
      </c>
      <c r="L596" t="s">
        <v>19</v>
      </c>
      <c r="M596" t="s">
        <v>29</v>
      </c>
      <c r="N596" s="7" t="s">
        <v>21</v>
      </c>
      <c r="O596" s="1">
        <f>TBL_Employees[[#This Row],[Annual Salary]]+TBL_Employees[[#This Row],[Bonus %]]*TBL_Employees[[#This Row],[Annual Salary]]</f>
        <v>290285.52</v>
      </c>
      <c r="P596" t="str">
        <f>IF(AND(TBL_Employees[[#This Row],[Department]]="IT",TBL_Employees[[#This Row],[Gender]]="Female"),"Yes","No")</f>
        <v>No</v>
      </c>
      <c r="Q596" t="str">
        <f>IF(AND(TBL_Employees[[#This Row],[Gender]]="Female",TBL_Employees[[#This Row],[Ethnicity]]="Black"), "Female_Black", "Others")</f>
        <v>Others</v>
      </c>
    </row>
    <row r="597" spans="1:17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7">
        <v>39841</v>
      </c>
      <c r="J597" s="1">
        <v>53301</v>
      </c>
      <c r="K597" s="2">
        <v>0</v>
      </c>
      <c r="L597" t="s">
        <v>19</v>
      </c>
      <c r="M597" t="s">
        <v>63</v>
      </c>
      <c r="N597" s="7" t="s">
        <v>21</v>
      </c>
      <c r="O597" s="1">
        <f>TBL_Employees[[#This Row],[Annual Salary]]+TBL_Employees[[#This Row],[Bonus %]]*TBL_Employees[[#This Row],[Annual Salary]]</f>
        <v>53301</v>
      </c>
      <c r="P597" t="str">
        <f>IF(AND(TBL_Employees[[#This Row],[Department]]="IT",TBL_Employees[[#This Row],[Gender]]="Female"),"Yes","No")</f>
        <v>No</v>
      </c>
      <c r="Q597" t="str">
        <f>IF(AND(TBL_Employees[[#This Row],[Gender]]="Female",TBL_Employees[[#This Row],[Ethnicity]]="Black"), "Female_Black", "Others")</f>
        <v>Others</v>
      </c>
    </row>
    <row r="598" spans="1:17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7">
        <v>36587</v>
      </c>
      <c r="J598" s="1">
        <v>91276</v>
      </c>
      <c r="K598" s="2">
        <v>0</v>
      </c>
      <c r="L598" t="s">
        <v>19</v>
      </c>
      <c r="M598" t="s">
        <v>63</v>
      </c>
      <c r="N598" s="7" t="s">
        <v>21</v>
      </c>
      <c r="O598" s="1">
        <f>TBL_Employees[[#This Row],[Annual Salary]]+TBL_Employees[[#This Row],[Bonus %]]*TBL_Employees[[#This Row],[Annual Salary]]</f>
        <v>91276</v>
      </c>
      <c r="P598" t="str">
        <f>IF(AND(TBL_Employees[[#This Row],[Department]]="IT",TBL_Employees[[#This Row],[Gender]]="Female"),"Yes","No")</f>
        <v>No</v>
      </c>
      <c r="Q598" t="str">
        <f>IF(AND(TBL_Employees[[#This Row],[Gender]]="Female",TBL_Employees[[#This Row],[Ethnicity]]="Black"), "Female_Black", "Others")</f>
        <v>Others</v>
      </c>
    </row>
    <row r="599" spans="1:17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7">
        <v>42983</v>
      </c>
      <c r="J599" s="1">
        <v>140042</v>
      </c>
      <c r="K599" s="2">
        <v>0.13</v>
      </c>
      <c r="L599" t="s">
        <v>19</v>
      </c>
      <c r="M599" t="s">
        <v>25</v>
      </c>
      <c r="N599" s="7" t="s">
        <v>21</v>
      </c>
      <c r="O599" s="1">
        <f>TBL_Employees[[#This Row],[Annual Salary]]+TBL_Employees[[#This Row],[Bonus %]]*TBL_Employees[[#This Row],[Annual Salary]]</f>
        <v>158247.46</v>
      </c>
      <c r="P599" t="str">
        <f>IF(AND(TBL_Employees[[#This Row],[Department]]="IT",TBL_Employees[[#This Row],[Gender]]="Female"),"Yes","No")</f>
        <v>No</v>
      </c>
      <c r="Q599" t="str">
        <f>IF(AND(TBL_Employees[[#This Row],[Gender]]="Female",TBL_Employees[[#This Row],[Ethnicity]]="Black"), "Female_Black", "Others")</f>
        <v>Others</v>
      </c>
    </row>
    <row r="600" spans="1:17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7">
        <v>43440</v>
      </c>
      <c r="J600" s="1">
        <v>57225</v>
      </c>
      <c r="K600" s="2">
        <v>0</v>
      </c>
      <c r="L600" t="s">
        <v>19</v>
      </c>
      <c r="M600" t="s">
        <v>29</v>
      </c>
      <c r="N600" s="7" t="s">
        <v>21</v>
      </c>
      <c r="O600" s="1">
        <f>TBL_Employees[[#This Row],[Annual Salary]]+TBL_Employees[[#This Row],[Bonus %]]*TBL_Employees[[#This Row],[Annual Salary]]</f>
        <v>57225</v>
      </c>
      <c r="P600" t="str">
        <f>IF(AND(TBL_Employees[[#This Row],[Department]]="IT",TBL_Employees[[#This Row],[Gender]]="Female"),"Yes","No")</f>
        <v>No</v>
      </c>
      <c r="Q600" t="str">
        <f>IF(AND(TBL_Employees[[#This Row],[Gender]]="Female",TBL_Employees[[#This Row],[Ethnicity]]="Black"), "Female_Black", "Others")</f>
        <v>Others</v>
      </c>
    </row>
    <row r="601" spans="1:17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7">
        <v>40233</v>
      </c>
      <c r="J601" s="1">
        <v>102839</v>
      </c>
      <c r="K601" s="2">
        <v>0.05</v>
      </c>
      <c r="L601" t="s">
        <v>19</v>
      </c>
      <c r="M601" t="s">
        <v>45</v>
      </c>
      <c r="N601" s="7" t="s">
        <v>21</v>
      </c>
      <c r="O601" s="1">
        <f>TBL_Employees[[#This Row],[Annual Salary]]+TBL_Employees[[#This Row],[Bonus %]]*TBL_Employees[[#This Row],[Annual Salary]]</f>
        <v>107980.95</v>
      </c>
      <c r="P601" t="str">
        <f>IF(AND(TBL_Employees[[#This Row],[Department]]="IT",TBL_Employees[[#This Row],[Gender]]="Female"),"Yes","No")</f>
        <v>No</v>
      </c>
      <c r="Q601" t="str">
        <f>IF(AND(TBL_Employees[[#This Row],[Gender]]="Female",TBL_Employees[[#This Row],[Ethnicity]]="Black"), "Female_Black", "Others")</f>
        <v>Others</v>
      </c>
    </row>
    <row r="602" spans="1:17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7">
        <v>44454</v>
      </c>
      <c r="J602" s="1">
        <v>199783</v>
      </c>
      <c r="K602" s="2">
        <v>0.21</v>
      </c>
      <c r="L602" t="s">
        <v>19</v>
      </c>
      <c r="M602" t="s">
        <v>20</v>
      </c>
      <c r="N602" s="7">
        <v>44661</v>
      </c>
      <c r="O602" s="1">
        <f>TBL_Employees[[#This Row],[Annual Salary]]+TBL_Employees[[#This Row],[Bonus %]]*TBL_Employees[[#This Row],[Annual Salary]]</f>
        <v>241737.43</v>
      </c>
      <c r="P602" t="str">
        <f>IF(AND(TBL_Employees[[#This Row],[Department]]="IT",TBL_Employees[[#This Row],[Gender]]="Female"),"Yes","No")</f>
        <v>No</v>
      </c>
      <c r="Q602" t="str">
        <f>IF(AND(TBL_Employees[[#This Row],[Gender]]="Female",TBL_Employees[[#This Row],[Ethnicity]]="Black"), "Female_Black", "Others")</f>
        <v>Others</v>
      </c>
    </row>
    <row r="603" spans="1:17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7">
        <v>44295</v>
      </c>
      <c r="J603" s="1">
        <v>70980</v>
      </c>
      <c r="K603" s="2">
        <v>0</v>
      </c>
      <c r="L603" t="s">
        <v>52</v>
      </c>
      <c r="M603" t="s">
        <v>66</v>
      </c>
      <c r="N603" s="7" t="s">
        <v>21</v>
      </c>
      <c r="O603" s="1">
        <f>TBL_Employees[[#This Row],[Annual Salary]]+TBL_Employees[[#This Row],[Bonus %]]*TBL_Employees[[#This Row],[Annual Salary]]</f>
        <v>70980</v>
      </c>
      <c r="P603" t="str">
        <f>IF(AND(TBL_Employees[[#This Row],[Department]]="IT",TBL_Employees[[#This Row],[Gender]]="Female"),"Yes","No")</f>
        <v>No</v>
      </c>
      <c r="Q603" t="str">
        <f>IF(AND(TBL_Employees[[#This Row],[Gender]]="Female",TBL_Employees[[#This Row],[Ethnicity]]="Black"), "Female_Black", "Others")</f>
        <v>Others</v>
      </c>
    </row>
    <row r="604" spans="1:17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7">
        <v>35456</v>
      </c>
      <c r="J604" s="1">
        <v>104431</v>
      </c>
      <c r="K604" s="2">
        <v>7.0000000000000007E-2</v>
      </c>
      <c r="L604" t="s">
        <v>19</v>
      </c>
      <c r="M604" t="s">
        <v>39</v>
      </c>
      <c r="N604" s="7" t="s">
        <v>21</v>
      </c>
      <c r="O604" s="1">
        <f>TBL_Employees[[#This Row],[Annual Salary]]+TBL_Employees[[#This Row],[Bonus %]]*TBL_Employees[[#This Row],[Annual Salary]]</f>
        <v>111741.17</v>
      </c>
      <c r="P604" t="str">
        <f>IF(AND(TBL_Employees[[#This Row],[Department]]="IT",TBL_Employees[[#This Row],[Gender]]="Female"),"Yes","No")</f>
        <v>No</v>
      </c>
      <c r="Q604" t="str">
        <f>IF(AND(TBL_Employees[[#This Row],[Gender]]="Female",TBL_Employees[[#This Row],[Ethnicity]]="Black"), "Female_Black", "Others")</f>
        <v>Others</v>
      </c>
    </row>
    <row r="605" spans="1:17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7">
        <v>44374</v>
      </c>
      <c r="J605" s="1">
        <v>48510</v>
      </c>
      <c r="K605" s="2">
        <v>0</v>
      </c>
      <c r="L605" t="s">
        <v>19</v>
      </c>
      <c r="M605" t="s">
        <v>20</v>
      </c>
      <c r="N605" s="7" t="s">
        <v>21</v>
      </c>
      <c r="O605" s="1">
        <f>TBL_Employees[[#This Row],[Annual Salary]]+TBL_Employees[[#This Row],[Bonus %]]*TBL_Employees[[#This Row],[Annual Salary]]</f>
        <v>48510</v>
      </c>
      <c r="P605" t="str">
        <f>IF(AND(TBL_Employees[[#This Row],[Department]]="IT",TBL_Employees[[#This Row],[Gender]]="Female"),"Yes","No")</f>
        <v>No</v>
      </c>
      <c r="Q605" t="str">
        <f>IF(AND(TBL_Employees[[#This Row],[Gender]]="Female",TBL_Employees[[#This Row],[Ethnicity]]="Black"), "Female_Black", "Others")</f>
        <v>Others</v>
      </c>
    </row>
    <row r="606" spans="1:17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7">
        <v>43613</v>
      </c>
      <c r="J606" s="1">
        <v>70110</v>
      </c>
      <c r="K606" s="2">
        <v>0</v>
      </c>
      <c r="L606" t="s">
        <v>19</v>
      </c>
      <c r="M606" t="s">
        <v>45</v>
      </c>
      <c r="N606" s="7">
        <v>44203</v>
      </c>
      <c r="O606" s="1">
        <f>TBL_Employees[[#This Row],[Annual Salary]]+TBL_Employees[[#This Row],[Bonus %]]*TBL_Employees[[#This Row],[Annual Salary]]</f>
        <v>70110</v>
      </c>
      <c r="P606" t="str">
        <f>IF(AND(TBL_Employees[[#This Row],[Department]]="IT",TBL_Employees[[#This Row],[Gender]]="Female"),"Yes","No")</f>
        <v>No</v>
      </c>
      <c r="Q606" t="str">
        <f>IF(AND(TBL_Employees[[#This Row],[Gender]]="Female",TBL_Employees[[#This Row],[Ethnicity]]="Black"), "Female_Black", "Others")</f>
        <v>Others</v>
      </c>
    </row>
    <row r="607" spans="1:17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7">
        <v>39519</v>
      </c>
      <c r="J607" s="1">
        <v>186138</v>
      </c>
      <c r="K607" s="2">
        <v>0.28000000000000003</v>
      </c>
      <c r="L607" t="s">
        <v>33</v>
      </c>
      <c r="M607" t="s">
        <v>80</v>
      </c>
      <c r="N607" s="7" t="s">
        <v>21</v>
      </c>
      <c r="O607" s="1">
        <f>TBL_Employees[[#This Row],[Annual Salary]]+TBL_Employees[[#This Row],[Bonus %]]*TBL_Employees[[#This Row],[Annual Salary]]</f>
        <v>238256.64000000001</v>
      </c>
      <c r="P607" t="str">
        <f>IF(AND(TBL_Employees[[#This Row],[Department]]="IT",TBL_Employees[[#This Row],[Gender]]="Female"),"Yes","No")</f>
        <v>No</v>
      </c>
      <c r="Q607" t="str">
        <f>IF(AND(TBL_Employees[[#This Row],[Gender]]="Female",TBL_Employees[[#This Row],[Ethnicity]]="Black"), "Female_Black", "Others")</f>
        <v>Others</v>
      </c>
    </row>
    <row r="608" spans="1:17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7">
        <v>40287</v>
      </c>
      <c r="J608" s="1">
        <v>56350</v>
      </c>
      <c r="K608" s="2">
        <v>0</v>
      </c>
      <c r="L608" t="s">
        <v>52</v>
      </c>
      <c r="M608" t="s">
        <v>66</v>
      </c>
      <c r="N608" s="7" t="s">
        <v>21</v>
      </c>
      <c r="O608" s="1">
        <f>TBL_Employees[[#This Row],[Annual Salary]]+TBL_Employees[[#This Row],[Bonus %]]*TBL_Employees[[#This Row],[Annual Salary]]</f>
        <v>56350</v>
      </c>
      <c r="P608" t="str">
        <f>IF(AND(TBL_Employees[[#This Row],[Department]]="IT",TBL_Employees[[#This Row],[Gender]]="Female"),"Yes","No")</f>
        <v>No</v>
      </c>
      <c r="Q608" t="str">
        <f>IF(AND(TBL_Employees[[#This Row],[Gender]]="Female",TBL_Employees[[#This Row],[Ethnicity]]="Black"), "Female_Black", "Others")</f>
        <v>Others</v>
      </c>
    </row>
    <row r="609" spans="1:17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7">
        <v>42379</v>
      </c>
      <c r="J609" s="1">
        <v>149761</v>
      </c>
      <c r="K609" s="2">
        <v>0.12</v>
      </c>
      <c r="L609" t="s">
        <v>19</v>
      </c>
      <c r="M609" t="s">
        <v>29</v>
      </c>
      <c r="N609" s="7" t="s">
        <v>21</v>
      </c>
      <c r="O609" s="1">
        <f>TBL_Employees[[#This Row],[Annual Salary]]+TBL_Employees[[#This Row],[Bonus %]]*TBL_Employees[[#This Row],[Annual Salary]]</f>
        <v>167732.32</v>
      </c>
      <c r="P609" t="str">
        <f>IF(AND(TBL_Employees[[#This Row],[Department]]="IT",TBL_Employees[[#This Row],[Gender]]="Female"),"Yes","No")</f>
        <v>No</v>
      </c>
      <c r="Q609" t="str">
        <f>IF(AND(TBL_Employees[[#This Row],[Gender]]="Female",TBL_Employees[[#This Row],[Ethnicity]]="Black"), "Female_Black", "Others")</f>
        <v>Others</v>
      </c>
    </row>
    <row r="610" spans="1:17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7">
        <v>39305</v>
      </c>
      <c r="J610" s="1">
        <v>126277</v>
      </c>
      <c r="K610" s="2">
        <v>0.13</v>
      </c>
      <c r="L610" t="s">
        <v>52</v>
      </c>
      <c r="M610" t="s">
        <v>81</v>
      </c>
      <c r="N610" s="7" t="s">
        <v>21</v>
      </c>
      <c r="O610" s="1">
        <f>TBL_Employees[[#This Row],[Annual Salary]]+TBL_Employees[[#This Row],[Bonus %]]*TBL_Employees[[#This Row],[Annual Salary]]</f>
        <v>142693.01</v>
      </c>
      <c r="P610" t="str">
        <f>IF(AND(TBL_Employees[[#This Row],[Department]]="IT",TBL_Employees[[#This Row],[Gender]]="Female"),"Yes","No")</f>
        <v>No</v>
      </c>
      <c r="Q610" t="str">
        <f>IF(AND(TBL_Employees[[#This Row],[Gender]]="Female",TBL_Employees[[#This Row],[Ethnicity]]="Black"), "Female_Black", "Others")</f>
        <v>Others</v>
      </c>
    </row>
    <row r="611" spans="1:17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7">
        <v>41446</v>
      </c>
      <c r="J611" s="1">
        <v>119631</v>
      </c>
      <c r="K611" s="2">
        <v>0.06</v>
      </c>
      <c r="L611" t="s">
        <v>19</v>
      </c>
      <c r="M611" t="s">
        <v>39</v>
      </c>
      <c r="N611" s="7" t="s">
        <v>21</v>
      </c>
      <c r="O611" s="1">
        <f>TBL_Employees[[#This Row],[Annual Salary]]+TBL_Employees[[#This Row],[Bonus %]]*TBL_Employees[[#This Row],[Annual Salary]]</f>
        <v>126808.86</v>
      </c>
      <c r="P611" t="str">
        <f>IF(AND(TBL_Employees[[#This Row],[Department]]="IT",TBL_Employees[[#This Row],[Gender]]="Female"),"Yes","No")</f>
        <v>No</v>
      </c>
      <c r="Q611" t="str">
        <f>IF(AND(TBL_Employees[[#This Row],[Gender]]="Female",TBL_Employees[[#This Row],[Ethnicity]]="Black"), "Female_Black", "Others")</f>
        <v>Others</v>
      </c>
    </row>
    <row r="612" spans="1:17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7">
        <v>43960</v>
      </c>
      <c r="J612" s="1">
        <v>256561</v>
      </c>
      <c r="K612" s="2">
        <v>0.39</v>
      </c>
      <c r="L612" t="s">
        <v>19</v>
      </c>
      <c r="M612" t="s">
        <v>25</v>
      </c>
      <c r="N612" s="7" t="s">
        <v>21</v>
      </c>
      <c r="O612" s="1">
        <f>TBL_Employees[[#This Row],[Annual Salary]]+TBL_Employees[[#This Row],[Bonus %]]*TBL_Employees[[#This Row],[Annual Salary]]</f>
        <v>356619.79000000004</v>
      </c>
      <c r="P612" t="str">
        <f>IF(AND(TBL_Employees[[#This Row],[Department]]="IT",TBL_Employees[[#This Row],[Gender]]="Female"),"Yes","No")</f>
        <v>No</v>
      </c>
      <c r="Q612" t="str">
        <f>IF(AND(TBL_Employees[[#This Row],[Gender]]="Female",TBL_Employees[[#This Row],[Ethnicity]]="Black"), "Female_Black", "Others")</f>
        <v>Others</v>
      </c>
    </row>
    <row r="613" spans="1:17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7">
        <v>43937</v>
      </c>
      <c r="J613" s="1">
        <v>66958</v>
      </c>
      <c r="K613" s="2">
        <v>0</v>
      </c>
      <c r="L613" t="s">
        <v>19</v>
      </c>
      <c r="M613" t="s">
        <v>45</v>
      </c>
      <c r="N613" s="7" t="s">
        <v>21</v>
      </c>
      <c r="O613" s="1">
        <f>TBL_Employees[[#This Row],[Annual Salary]]+TBL_Employees[[#This Row],[Bonus %]]*TBL_Employees[[#This Row],[Annual Salary]]</f>
        <v>66958</v>
      </c>
      <c r="P613" t="str">
        <f>IF(AND(TBL_Employees[[#This Row],[Department]]="IT",TBL_Employees[[#This Row],[Gender]]="Female"),"Yes","No")</f>
        <v>Yes</v>
      </c>
      <c r="Q613" t="str">
        <f>IF(AND(TBL_Employees[[#This Row],[Gender]]="Female",TBL_Employees[[#This Row],[Ethnicity]]="Black"), "Female_Black", "Others")</f>
        <v>Others</v>
      </c>
    </row>
    <row r="614" spans="1:17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7">
        <v>38046</v>
      </c>
      <c r="J614" s="1">
        <v>158897</v>
      </c>
      <c r="K614" s="2">
        <v>0.1</v>
      </c>
      <c r="L614" t="s">
        <v>33</v>
      </c>
      <c r="M614" t="s">
        <v>80</v>
      </c>
      <c r="N614" s="7" t="s">
        <v>21</v>
      </c>
      <c r="O614" s="1">
        <f>TBL_Employees[[#This Row],[Annual Salary]]+TBL_Employees[[#This Row],[Bonus %]]*TBL_Employees[[#This Row],[Annual Salary]]</f>
        <v>174786.7</v>
      </c>
      <c r="P614" t="str">
        <f>IF(AND(TBL_Employees[[#This Row],[Department]]="IT",TBL_Employees[[#This Row],[Gender]]="Female"),"Yes","No")</f>
        <v>No</v>
      </c>
      <c r="Q614" t="str">
        <f>IF(AND(TBL_Employees[[#This Row],[Gender]]="Female",TBL_Employees[[#This Row],[Ethnicity]]="Black"), "Female_Black", "Others")</f>
        <v>Others</v>
      </c>
    </row>
    <row r="615" spans="1:17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7">
        <v>39493</v>
      </c>
      <c r="J615" s="1">
        <v>71695</v>
      </c>
      <c r="K615" s="2">
        <v>0</v>
      </c>
      <c r="L615" t="s">
        <v>19</v>
      </c>
      <c r="M615" t="s">
        <v>39</v>
      </c>
      <c r="N615" s="7" t="s">
        <v>21</v>
      </c>
      <c r="O615" s="1">
        <f>TBL_Employees[[#This Row],[Annual Salary]]+TBL_Employees[[#This Row],[Bonus %]]*TBL_Employees[[#This Row],[Annual Salary]]</f>
        <v>71695</v>
      </c>
      <c r="P615" t="str">
        <f>IF(AND(TBL_Employees[[#This Row],[Department]]="IT",TBL_Employees[[#This Row],[Gender]]="Female"),"Yes","No")</f>
        <v>No</v>
      </c>
      <c r="Q615" t="str">
        <f>IF(AND(TBL_Employees[[#This Row],[Gender]]="Female",TBL_Employees[[#This Row],[Ethnicity]]="Black"), "Female_Black", "Others")</f>
        <v>Others</v>
      </c>
    </row>
    <row r="616" spans="1:17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7">
        <v>41904</v>
      </c>
      <c r="J616" s="1">
        <v>73779</v>
      </c>
      <c r="K616" s="2">
        <v>0</v>
      </c>
      <c r="L616" t="s">
        <v>33</v>
      </c>
      <c r="M616" t="s">
        <v>80</v>
      </c>
      <c r="N616" s="7">
        <v>43594</v>
      </c>
      <c r="O616" s="1">
        <f>TBL_Employees[[#This Row],[Annual Salary]]+TBL_Employees[[#This Row],[Bonus %]]*TBL_Employees[[#This Row],[Annual Salary]]</f>
        <v>73779</v>
      </c>
      <c r="P616" t="str">
        <f>IF(AND(TBL_Employees[[#This Row],[Department]]="IT",TBL_Employees[[#This Row],[Gender]]="Female"),"Yes","No")</f>
        <v>No</v>
      </c>
      <c r="Q616" t="str">
        <f>IF(AND(TBL_Employees[[#This Row],[Gender]]="Female",TBL_Employees[[#This Row],[Ethnicity]]="Black"), "Female_Black", "Others")</f>
        <v>Others</v>
      </c>
    </row>
    <row r="617" spans="1:17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7">
        <v>40836</v>
      </c>
      <c r="J617" s="1">
        <v>123640</v>
      </c>
      <c r="K617" s="2">
        <v>7.0000000000000007E-2</v>
      </c>
      <c r="L617" t="s">
        <v>33</v>
      </c>
      <c r="M617" t="s">
        <v>74</v>
      </c>
      <c r="N617" s="7" t="s">
        <v>21</v>
      </c>
      <c r="O617" s="1">
        <f>TBL_Employees[[#This Row],[Annual Salary]]+TBL_Employees[[#This Row],[Bonus %]]*TBL_Employees[[#This Row],[Annual Salary]]</f>
        <v>132294.79999999999</v>
      </c>
      <c r="P617" t="str">
        <f>IF(AND(TBL_Employees[[#This Row],[Department]]="IT",TBL_Employees[[#This Row],[Gender]]="Female"),"Yes","No")</f>
        <v>No</v>
      </c>
      <c r="Q617" t="str">
        <f>IF(AND(TBL_Employees[[#This Row],[Gender]]="Female",TBL_Employees[[#This Row],[Ethnicity]]="Black"), "Female_Black", "Others")</f>
        <v>Others</v>
      </c>
    </row>
    <row r="618" spans="1:17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7">
        <v>41742</v>
      </c>
      <c r="J618" s="1">
        <v>46878</v>
      </c>
      <c r="K618" s="2">
        <v>0</v>
      </c>
      <c r="L618" t="s">
        <v>19</v>
      </c>
      <c r="M618" t="s">
        <v>45</v>
      </c>
      <c r="N618" s="7" t="s">
        <v>21</v>
      </c>
      <c r="O618" s="1">
        <f>TBL_Employees[[#This Row],[Annual Salary]]+TBL_Employees[[#This Row],[Bonus %]]*TBL_Employees[[#This Row],[Annual Salary]]</f>
        <v>46878</v>
      </c>
      <c r="P618" t="str">
        <f>IF(AND(TBL_Employees[[#This Row],[Department]]="IT",TBL_Employees[[#This Row],[Gender]]="Female"),"Yes","No")</f>
        <v>No</v>
      </c>
      <c r="Q618" t="str">
        <f>IF(AND(TBL_Employees[[#This Row],[Gender]]="Female",TBL_Employees[[#This Row],[Ethnicity]]="Black"), "Female_Black", "Others")</f>
        <v>Others</v>
      </c>
    </row>
    <row r="619" spans="1:17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7">
        <v>37662</v>
      </c>
      <c r="J619" s="1">
        <v>57032</v>
      </c>
      <c r="K619" s="2">
        <v>0</v>
      </c>
      <c r="L619" t="s">
        <v>19</v>
      </c>
      <c r="M619" t="s">
        <v>45</v>
      </c>
      <c r="N619" s="7" t="s">
        <v>21</v>
      </c>
      <c r="O619" s="1">
        <f>TBL_Employees[[#This Row],[Annual Salary]]+TBL_Employees[[#This Row],[Bonus %]]*TBL_Employees[[#This Row],[Annual Salary]]</f>
        <v>57032</v>
      </c>
      <c r="P619" t="str">
        <f>IF(AND(TBL_Employees[[#This Row],[Department]]="IT",TBL_Employees[[#This Row],[Gender]]="Female"),"Yes","No")</f>
        <v>No</v>
      </c>
      <c r="Q619" t="str">
        <f>IF(AND(TBL_Employees[[#This Row],[Gender]]="Female",TBL_Employees[[#This Row],[Ethnicity]]="Black"), "Female_Black", "Others")</f>
        <v>Others</v>
      </c>
    </row>
    <row r="620" spans="1:17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7">
        <v>39357</v>
      </c>
      <c r="J620" s="1">
        <v>98150</v>
      </c>
      <c r="K620" s="2">
        <v>0</v>
      </c>
      <c r="L620" t="s">
        <v>52</v>
      </c>
      <c r="M620" t="s">
        <v>66</v>
      </c>
      <c r="N620" s="7" t="s">
        <v>21</v>
      </c>
      <c r="O620" s="1">
        <f>TBL_Employees[[#This Row],[Annual Salary]]+TBL_Employees[[#This Row],[Bonus %]]*TBL_Employees[[#This Row],[Annual Salary]]</f>
        <v>98150</v>
      </c>
      <c r="P620" t="str">
        <f>IF(AND(TBL_Employees[[#This Row],[Department]]="IT",TBL_Employees[[#This Row],[Gender]]="Female"),"Yes","No")</f>
        <v>No</v>
      </c>
      <c r="Q620" t="str">
        <f>IF(AND(TBL_Employees[[#This Row],[Gender]]="Female",TBL_Employees[[#This Row],[Ethnicity]]="Black"), "Female_Black", "Others")</f>
        <v>Others</v>
      </c>
    </row>
    <row r="621" spans="1:17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7">
        <v>42800</v>
      </c>
      <c r="J621" s="1">
        <v>171426</v>
      </c>
      <c r="K621" s="2">
        <v>0.15</v>
      </c>
      <c r="L621" t="s">
        <v>33</v>
      </c>
      <c r="M621" t="s">
        <v>60</v>
      </c>
      <c r="N621" s="7">
        <v>43000</v>
      </c>
      <c r="O621" s="1">
        <f>TBL_Employees[[#This Row],[Annual Salary]]+TBL_Employees[[#This Row],[Bonus %]]*TBL_Employees[[#This Row],[Annual Salary]]</f>
        <v>197139.9</v>
      </c>
      <c r="P621" t="str">
        <f>IF(AND(TBL_Employees[[#This Row],[Department]]="IT",TBL_Employees[[#This Row],[Gender]]="Female"),"Yes","No")</f>
        <v>No</v>
      </c>
      <c r="Q621" t="str">
        <f>IF(AND(TBL_Employees[[#This Row],[Gender]]="Female",TBL_Employees[[#This Row],[Ethnicity]]="Black"), "Female_Black", "Others")</f>
        <v>Others</v>
      </c>
    </row>
    <row r="622" spans="1:17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7">
        <v>44302</v>
      </c>
      <c r="J622" s="1">
        <v>48266</v>
      </c>
      <c r="K622" s="2">
        <v>0</v>
      </c>
      <c r="L622" t="s">
        <v>19</v>
      </c>
      <c r="M622" t="s">
        <v>20</v>
      </c>
      <c r="N622" s="7" t="s">
        <v>21</v>
      </c>
      <c r="O622" s="1">
        <f>TBL_Employees[[#This Row],[Annual Salary]]+TBL_Employees[[#This Row],[Bonus %]]*TBL_Employees[[#This Row],[Annual Salary]]</f>
        <v>48266</v>
      </c>
      <c r="P622" t="str">
        <f>IF(AND(TBL_Employees[[#This Row],[Department]]="IT",TBL_Employees[[#This Row],[Gender]]="Female"),"Yes","No")</f>
        <v>No</v>
      </c>
      <c r="Q622" t="str">
        <f>IF(AND(TBL_Employees[[#This Row],[Gender]]="Female",TBL_Employees[[#This Row],[Ethnicity]]="Black"), "Female_Black", "Others")</f>
        <v>Others</v>
      </c>
    </row>
    <row r="623" spans="1:17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7">
        <v>43330</v>
      </c>
      <c r="J623" s="1">
        <v>223404</v>
      </c>
      <c r="K623" s="2">
        <v>0.32</v>
      </c>
      <c r="L623" t="s">
        <v>19</v>
      </c>
      <c r="M623" t="s">
        <v>29</v>
      </c>
      <c r="N623" s="7" t="s">
        <v>21</v>
      </c>
      <c r="O623" s="1">
        <f>TBL_Employees[[#This Row],[Annual Salary]]+TBL_Employees[[#This Row],[Bonus %]]*TBL_Employees[[#This Row],[Annual Salary]]</f>
        <v>294893.28000000003</v>
      </c>
      <c r="P623" t="str">
        <f>IF(AND(TBL_Employees[[#This Row],[Department]]="IT",TBL_Employees[[#This Row],[Gender]]="Female"),"Yes","No")</f>
        <v>No</v>
      </c>
      <c r="Q623" t="str">
        <f>IF(AND(TBL_Employees[[#This Row],[Gender]]="Female",TBL_Employees[[#This Row],[Ethnicity]]="Black"), "Female_Black", "Others")</f>
        <v>Others</v>
      </c>
    </row>
    <row r="624" spans="1:17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7">
        <v>41649</v>
      </c>
      <c r="J624" s="1">
        <v>74854</v>
      </c>
      <c r="K624" s="2">
        <v>0</v>
      </c>
      <c r="L624" t="s">
        <v>19</v>
      </c>
      <c r="M624" t="s">
        <v>63</v>
      </c>
      <c r="N624" s="7" t="s">
        <v>21</v>
      </c>
      <c r="O624" s="1">
        <f>TBL_Employees[[#This Row],[Annual Salary]]+TBL_Employees[[#This Row],[Bonus %]]*TBL_Employees[[#This Row],[Annual Salary]]</f>
        <v>74854</v>
      </c>
      <c r="P624" t="str">
        <f>IF(AND(TBL_Employees[[#This Row],[Department]]="IT",TBL_Employees[[#This Row],[Gender]]="Female"),"Yes","No")</f>
        <v>Yes</v>
      </c>
      <c r="Q624" t="str">
        <f>IF(AND(TBL_Employees[[#This Row],[Gender]]="Female",TBL_Employees[[#This Row],[Ethnicity]]="Black"), "Female_Black", "Others")</f>
        <v>Others</v>
      </c>
    </row>
    <row r="625" spans="1:17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7">
        <v>39197</v>
      </c>
      <c r="J625" s="1">
        <v>217783</v>
      </c>
      <c r="K625" s="2">
        <v>0.36</v>
      </c>
      <c r="L625" t="s">
        <v>19</v>
      </c>
      <c r="M625" t="s">
        <v>63</v>
      </c>
      <c r="N625" s="7" t="s">
        <v>21</v>
      </c>
      <c r="O625" s="1">
        <f>TBL_Employees[[#This Row],[Annual Salary]]+TBL_Employees[[#This Row],[Bonus %]]*TBL_Employees[[#This Row],[Annual Salary]]</f>
        <v>296184.88</v>
      </c>
      <c r="P625" t="str">
        <f>IF(AND(TBL_Employees[[#This Row],[Department]]="IT",TBL_Employees[[#This Row],[Gender]]="Female"),"Yes","No")</f>
        <v>No</v>
      </c>
      <c r="Q625" t="str">
        <f>IF(AND(TBL_Employees[[#This Row],[Gender]]="Female",TBL_Employees[[#This Row],[Ethnicity]]="Black"), "Female_Black", "Others")</f>
        <v>Others</v>
      </c>
    </row>
    <row r="626" spans="1:17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7">
        <v>38214</v>
      </c>
      <c r="J626" s="1">
        <v>44735</v>
      </c>
      <c r="K626" s="2">
        <v>0</v>
      </c>
      <c r="L626" t="s">
        <v>52</v>
      </c>
      <c r="M626" t="s">
        <v>81</v>
      </c>
      <c r="N626" s="7" t="s">
        <v>21</v>
      </c>
      <c r="O626" s="1">
        <f>TBL_Employees[[#This Row],[Annual Salary]]+TBL_Employees[[#This Row],[Bonus %]]*TBL_Employees[[#This Row],[Annual Salary]]</f>
        <v>44735</v>
      </c>
      <c r="P626" t="str">
        <f>IF(AND(TBL_Employees[[#This Row],[Department]]="IT",TBL_Employees[[#This Row],[Gender]]="Female"),"Yes","No")</f>
        <v>Yes</v>
      </c>
      <c r="Q626" t="str">
        <f>IF(AND(TBL_Employees[[#This Row],[Gender]]="Female",TBL_Employees[[#This Row],[Ethnicity]]="Black"), "Female_Black", "Others")</f>
        <v>Others</v>
      </c>
    </row>
    <row r="627" spans="1:17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7">
        <v>39091</v>
      </c>
      <c r="J627" s="1">
        <v>50685</v>
      </c>
      <c r="K627" s="2">
        <v>0</v>
      </c>
      <c r="L627" t="s">
        <v>19</v>
      </c>
      <c r="M627" t="s">
        <v>29</v>
      </c>
      <c r="N627" s="7" t="s">
        <v>21</v>
      </c>
      <c r="O627" s="1">
        <f>TBL_Employees[[#This Row],[Annual Salary]]+TBL_Employees[[#This Row],[Bonus %]]*TBL_Employees[[#This Row],[Annual Salary]]</f>
        <v>50685</v>
      </c>
      <c r="P627" t="str">
        <f>IF(AND(TBL_Employees[[#This Row],[Department]]="IT",TBL_Employees[[#This Row],[Gender]]="Female"),"Yes","No")</f>
        <v>No</v>
      </c>
      <c r="Q627" t="str">
        <f>IF(AND(TBL_Employees[[#This Row],[Gender]]="Female",TBL_Employees[[#This Row],[Ethnicity]]="Black"), "Female_Black", "Others")</f>
        <v>Others</v>
      </c>
    </row>
    <row r="628" spans="1:17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7">
        <v>43169</v>
      </c>
      <c r="J628" s="1">
        <v>58993</v>
      </c>
      <c r="K628" s="2">
        <v>0</v>
      </c>
      <c r="L628" t="s">
        <v>19</v>
      </c>
      <c r="M628" t="s">
        <v>25</v>
      </c>
      <c r="N628" s="7" t="s">
        <v>21</v>
      </c>
      <c r="O628" s="1">
        <f>TBL_Employees[[#This Row],[Annual Salary]]+TBL_Employees[[#This Row],[Bonus %]]*TBL_Employees[[#This Row],[Annual Salary]]</f>
        <v>58993</v>
      </c>
      <c r="P628" t="str">
        <f>IF(AND(TBL_Employees[[#This Row],[Department]]="IT",TBL_Employees[[#This Row],[Gender]]="Female"),"Yes","No")</f>
        <v>No</v>
      </c>
      <c r="Q628" t="str">
        <f>IF(AND(TBL_Employees[[#This Row],[Gender]]="Female",TBL_Employees[[#This Row],[Ethnicity]]="Black"), "Female_Black", "Others")</f>
        <v>Others</v>
      </c>
    </row>
    <row r="629" spans="1:17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7">
        <v>43990</v>
      </c>
      <c r="J629" s="1">
        <v>115765</v>
      </c>
      <c r="K629" s="2">
        <v>0</v>
      </c>
      <c r="L629" t="s">
        <v>19</v>
      </c>
      <c r="M629" t="s">
        <v>45</v>
      </c>
      <c r="N629" s="7">
        <v>44229</v>
      </c>
      <c r="O629" s="1">
        <f>TBL_Employees[[#This Row],[Annual Salary]]+TBL_Employees[[#This Row],[Bonus %]]*TBL_Employees[[#This Row],[Annual Salary]]</f>
        <v>115765</v>
      </c>
      <c r="P629" t="str">
        <f>IF(AND(TBL_Employees[[#This Row],[Department]]="IT",TBL_Employees[[#This Row],[Gender]]="Female"),"Yes","No")</f>
        <v>No</v>
      </c>
      <c r="Q629" t="str">
        <f>IF(AND(TBL_Employees[[#This Row],[Gender]]="Female",TBL_Employees[[#This Row],[Ethnicity]]="Black"), "Female_Black", "Others")</f>
        <v>Others</v>
      </c>
    </row>
    <row r="630" spans="1:17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7">
        <v>39147</v>
      </c>
      <c r="J630" s="1">
        <v>193044</v>
      </c>
      <c r="K630" s="2">
        <v>0.15</v>
      </c>
      <c r="L630" t="s">
        <v>19</v>
      </c>
      <c r="M630" t="s">
        <v>45</v>
      </c>
      <c r="N630" s="7" t="s">
        <v>21</v>
      </c>
      <c r="O630" s="1">
        <f>TBL_Employees[[#This Row],[Annual Salary]]+TBL_Employees[[#This Row],[Bonus %]]*TBL_Employees[[#This Row],[Annual Salary]]</f>
        <v>222000.6</v>
      </c>
      <c r="P630" t="str">
        <f>IF(AND(TBL_Employees[[#This Row],[Department]]="IT",TBL_Employees[[#This Row],[Gender]]="Female"),"Yes","No")</f>
        <v>No</v>
      </c>
      <c r="Q630" t="str">
        <f>IF(AND(TBL_Employees[[#This Row],[Gender]]="Female",TBL_Employees[[#This Row],[Ethnicity]]="Black"), "Female_Black", "Others")</f>
        <v>Others</v>
      </c>
    </row>
    <row r="631" spans="1:17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7">
        <v>40711</v>
      </c>
      <c r="J631" s="1">
        <v>56686</v>
      </c>
      <c r="K631" s="2">
        <v>0</v>
      </c>
      <c r="L631" t="s">
        <v>19</v>
      </c>
      <c r="M631" t="s">
        <v>63</v>
      </c>
      <c r="N631" s="7">
        <v>42164</v>
      </c>
      <c r="O631" s="1">
        <f>TBL_Employees[[#This Row],[Annual Salary]]+TBL_Employees[[#This Row],[Bonus %]]*TBL_Employees[[#This Row],[Annual Salary]]</f>
        <v>56686</v>
      </c>
      <c r="P631" t="str">
        <f>IF(AND(TBL_Employees[[#This Row],[Department]]="IT",TBL_Employees[[#This Row],[Gender]]="Female"),"Yes","No")</f>
        <v>No</v>
      </c>
      <c r="Q631" t="str">
        <f>IF(AND(TBL_Employees[[#This Row],[Gender]]="Female",TBL_Employees[[#This Row],[Ethnicity]]="Black"), "Female_Black", "Others")</f>
        <v>Female_Black</v>
      </c>
    </row>
    <row r="632" spans="1:17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7">
        <v>43763</v>
      </c>
      <c r="J632" s="1">
        <v>131652</v>
      </c>
      <c r="K632" s="2">
        <v>0.11</v>
      </c>
      <c r="L632" t="s">
        <v>19</v>
      </c>
      <c r="M632" t="s">
        <v>63</v>
      </c>
      <c r="N632" s="7" t="s">
        <v>21</v>
      </c>
      <c r="O632" s="1">
        <f>TBL_Employees[[#This Row],[Annual Salary]]+TBL_Employees[[#This Row],[Bonus %]]*TBL_Employees[[#This Row],[Annual Salary]]</f>
        <v>146133.72</v>
      </c>
      <c r="P632" t="str">
        <f>IF(AND(TBL_Employees[[#This Row],[Department]]="IT",TBL_Employees[[#This Row],[Gender]]="Female"),"Yes","No")</f>
        <v>No</v>
      </c>
      <c r="Q632" t="str">
        <f>IF(AND(TBL_Employees[[#This Row],[Gender]]="Female",TBL_Employees[[#This Row],[Ethnicity]]="Black"), "Female_Black", "Others")</f>
        <v>Female_Black</v>
      </c>
    </row>
    <row r="633" spans="1:17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7">
        <v>39507</v>
      </c>
      <c r="J633" s="1">
        <v>150577</v>
      </c>
      <c r="K633" s="2">
        <v>0.25</v>
      </c>
      <c r="L633" t="s">
        <v>19</v>
      </c>
      <c r="M633" t="s">
        <v>45</v>
      </c>
      <c r="N633" s="7" t="s">
        <v>21</v>
      </c>
      <c r="O633" s="1">
        <f>TBL_Employees[[#This Row],[Annual Salary]]+TBL_Employees[[#This Row],[Bonus %]]*TBL_Employees[[#This Row],[Annual Salary]]</f>
        <v>188221.25</v>
      </c>
      <c r="P633" t="str">
        <f>IF(AND(TBL_Employees[[#This Row],[Department]]="IT",TBL_Employees[[#This Row],[Gender]]="Female"),"Yes","No")</f>
        <v>No</v>
      </c>
      <c r="Q633" t="str">
        <f>IF(AND(TBL_Employees[[#This Row],[Gender]]="Female",TBL_Employees[[#This Row],[Ethnicity]]="Black"), "Female_Black", "Others")</f>
        <v>Female_Black</v>
      </c>
    </row>
    <row r="634" spans="1:17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7">
        <v>43461</v>
      </c>
      <c r="J634" s="1">
        <v>87359</v>
      </c>
      <c r="K634" s="2">
        <v>0.11</v>
      </c>
      <c r="L634" t="s">
        <v>52</v>
      </c>
      <c r="M634" t="s">
        <v>66</v>
      </c>
      <c r="N634" s="7" t="s">
        <v>21</v>
      </c>
      <c r="O634" s="1">
        <f>TBL_Employees[[#This Row],[Annual Salary]]+TBL_Employees[[#This Row],[Bonus %]]*TBL_Employees[[#This Row],[Annual Salary]]</f>
        <v>96968.49</v>
      </c>
      <c r="P634" t="str">
        <f>IF(AND(TBL_Employees[[#This Row],[Department]]="IT",TBL_Employees[[#This Row],[Gender]]="Female"),"Yes","No")</f>
        <v>No</v>
      </c>
      <c r="Q634" t="str">
        <f>IF(AND(TBL_Employees[[#This Row],[Gender]]="Female",TBL_Employees[[#This Row],[Ethnicity]]="Black"), "Female_Black", "Others")</f>
        <v>Others</v>
      </c>
    </row>
    <row r="635" spans="1:17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7">
        <v>41647</v>
      </c>
      <c r="J635" s="1">
        <v>51877</v>
      </c>
      <c r="K635" s="2">
        <v>0</v>
      </c>
      <c r="L635" t="s">
        <v>33</v>
      </c>
      <c r="M635" t="s">
        <v>60</v>
      </c>
      <c r="N635" s="7" t="s">
        <v>21</v>
      </c>
      <c r="O635" s="1">
        <f>TBL_Employees[[#This Row],[Annual Salary]]+TBL_Employees[[#This Row],[Bonus %]]*TBL_Employees[[#This Row],[Annual Salary]]</f>
        <v>51877</v>
      </c>
      <c r="P635" t="str">
        <f>IF(AND(TBL_Employees[[#This Row],[Department]]="IT",TBL_Employees[[#This Row],[Gender]]="Female"),"Yes","No")</f>
        <v>No</v>
      </c>
      <c r="Q635" t="str">
        <f>IF(AND(TBL_Employees[[#This Row],[Gender]]="Female",TBL_Employees[[#This Row],[Ethnicity]]="Black"), "Female_Black", "Others")</f>
        <v>Others</v>
      </c>
    </row>
    <row r="636" spans="1:17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7">
        <v>42753</v>
      </c>
      <c r="J636" s="1">
        <v>86417</v>
      </c>
      <c r="K636" s="2">
        <v>0</v>
      </c>
      <c r="L636" t="s">
        <v>19</v>
      </c>
      <c r="M636" t="s">
        <v>20</v>
      </c>
      <c r="N636" s="7" t="s">
        <v>21</v>
      </c>
      <c r="O636" s="1">
        <f>TBL_Employees[[#This Row],[Annual Salary]]+TBL_Employees[[#This Row],[Bonus %]]*TBL_Employees[[#This Row],[Annual Salary]]</f>
        <v>86417</v>
      </c>
      <c r="P636" t="str">
        <f>IF(AND(TBL_Employees[[#This Row],[Department]]="IT",TBL_Employees[[#This Row],[Gender]]="Female"),"Yes","No")</f>
        <v>No</v>
      </c>
      <c r="Q636" t="str">
        <f>IF(AND(TBL_Employees[[#This Row],[Gender]]="Female",TBL_Employees[[#This Row],[Ethnicity]]="Black"), "Female_Black", "Others")</f>
        <v>Others</v>
      </c>
    </row>
    <row r="637" spans="1:17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7">
        <v>37749</v>
      </c>
      <c r="J637" s="1">
        <v>96548</v>
      </c>
      <c r="K637" s="2">
        <v>0</v>
      </c>
      <c r="L637" t="s">
        <v>19</v>
      </c>
      <c r="M637" t="s">
        <v>25</v>
      </c>
      <c r="N637" s="7" t="s">
        <v>21</v>
      </c>
      <c r="O637" s="1">
        <f>TBL_Employees[[#This Row],[Annual Salary]]+TBL_Employees[[#This Row],[Bonus %]]*TBL_Employees[[#This Row],[Annual Salary]]</f>
        <v>96548</v>
      </c>
      <c r="P637" t="str">
        <f>IF(AND(TBL_Employees[[#This Row],[Department]]="IT",TBL_Employees[[#This Row],[Gender]]="Female"),"Yes","No")</f>
        <v>Yes</v>
      </c>
      <c r="Q637" t="str">
        <f>IF(AND(TBL_Employees[[#This Row],[Gender]]="Female",TBL_Employees[[#This Row],[Ethnicity]]="Black"), "Female_Black", "Others")</f>
        <v>Others</v>
      </c>
    </row>
    <row r="638" spans="1:17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7">
        <v>41662</v>
      </c>
      <c r="J638" s="1">
        <v>92940</v>
      </c>
      <c r="K638" s="2">
        <v>0</v>
      </c>
      <c r="L638" t="s">
        <v>33</v>
      </c>
      <c r="M638" t="s">
        <v>34</v>
      </c>
      <c r="N638" s="7" t="s">
        <v>21</v>
      </c>
      <c r="O638" s="1">
        <f>TBL_Employees[[#This Row],[Annual Salary]]+TBL_Employees[[#This Row],[Bonus %]]*TBL_Employees[[#This Row],[Annual Salary]]</f>
        <v>92940</v>
      </c>
      <c r="P638" t="str">
        <f>IF(AND(TBL_Employees[[#This Row],[Department]]="IT",TBL_Employees[[#This Row],[Gender]]="Female"),"Yes","No")</f>
        <v>No</v>
      </c>
      <c r="Q638" t="str">
        <f>IF(AND(TBL_Employees[[#This Row],[Gender]]="Female",TBL_Employees[[#This Row],[Ethnicity]]="Black"), "Female_Black", "Others")</f>
        <v>Others</v>
      </c>
    </row>
    <row r="639" spans="1:17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7">
        <v>43336</v>
      </c>
      <c r="J639" s="1">
        <v>61410</v>
      </c>
      <c r="K639" s="2">
        <v>0</v>
      </c>
      <c r="L639" t="s">
        <v>19</v>
      </c>
      <c r="M639" t="s">
        <v>39</v>
      </c>
      <c r="N639" s="7" t="s">
        <v>21</v>
      </c>
      <c r="O639" s="1">
        <f>TBL_Employees[[#This Row],[Annual Salary]]+TBL_Employees[[#This Row],[Bonus %]]*TBL_Employees[[#This Row],[Annual Salary]]</f>
        <v>61410</v>
      </c>
      <c r="P639" t="str">
        <f>IF(AND(TBL_Employees[[#This Row],[Department]]="IT",TBL_Employees[[#This Row],[Gender]]="Female"),"Yes","No")</f>
        <v>No</v>
      </c>
      <c r="Q639" t="str">
        <f>IF(AND(TBL_Employees[[#This Row],[Gender]]="Female",TBL_Employees[[#This Row],[Ethnicity]]="Black"), "Female_Black", "Others")</f>
        <v>Others</v>
      </c>
    </row>
    <row r="640" spans="1:17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7">
        <v>40293</v>
      </c>
      <c r="J640" s="1">
        <v>110302</v>
      </c>
      <c r="K640" s="2">
        <v>0.06</v>
      </c>
      <c r="L640" t="s">
        <v>19</v>
      </c>
      <c r="M640" t="s">
        <v>45</v>
      </c>
      <c r="N640" s="7" t="s">
        <v>21</v>
      </c>
      <c r="O640" s="1">
        <f>TBL_Employees[[#This Row],[Annual Salary]]+TBL_Employees[[#This Row],[Bonus %]]*TBL_Employees[[#This Row],[Annual Salary]]</f>
        <v>116920.12</v>
      </c>
      <c r="P640" t="str">
        <f>IF(AND(TBL_Employees[[#This Row],[Department]]="IT",TBL_Employees[[#This Row],[Gender]]="Female"),"Yes","No")</f>
        <v>No</v>
      </c>
      <c r="Q640" t="str">
        <f>IF(AND(TBL_Employees[[#This Row],[Gender]]="Female",TBL_Employees[[#This Row],[Ethnicity]]="Black"), "Female_Black", "Others")</f>
        <v>Female_Black</v>
      </c>
    </row>
    <row r="641" spans="1:17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7">
        <v>43212</v>
      </c>
      <c r="J641" s="1">
        <v>187205</v>
      </c>
      <c r="K641" s="2">
        <v>0.24</v>
      </c>
      <c r="L641" t="s">
        <v>19</v>
      </c>
      <c r="M641" t="s">
        <v>29</v>
      </c>
      <c r="N641" s="7">
        <v>44732</v>
      </c>
      <c r="O641" s="1">
        <f>TBL_Employees[[#This Row],[Annual Salary]]+TBL_Employees[[#This Row],[Bonus %]]*TBL_Employees[[#This Row],[Annual Salary]]</f>
        <v>232134.2</v>
      </c>
      <c r="P641" t="str">
        <f>IF(AND(TBL_Employees[[#This Row],[Department]]="IT",TBL_Employees[[#This Row],[Gender]]="Female"),"Yes","No")</f>
        <v>No</v>
      </c>
      <c r="Q641" t="str">
        <f>IF(AND(TBL_Employees[[#This Row],[Gender]]="Female",TBL_Employees[[#This Row],[Ethnicity]]="Black"), "Female_Black", "Others")</f>
        <v>Female_Black</v>
      </c>
    </row>
    <row r="642" spans="1:17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7">
        <v>40618</v>
      </c>
      <c r="J642" s="1">
        <v>81687</v>
      </c>
      <c r="K642" s="2">
        <v>0</v>
      </c>
      <c r="L642" t="s">
        <v>19</v>
      </c>
      <c r="M642" t="s">
        <v>39</v>
      </c>
      <c r="N642" s="7" t="s">
        <v>21</v>
      </c>
      <c r="O642" s="1">
        <f>TBL_Employees[[#This Row],[Annual Salary]]+TBL_Employees[[#This Row],[Bonus %]]*TBL_Employees[[#This Row],[Annual Salary]]</f>
        <v>81687</v>
      </c>
      <c r="P642" t="str">
        <f>IF(AND(TBL_Employees[[#This Row],[Department]]="IT",TBL_Employees[[#This Row],[Gender]]="Female"),"Yes","No")</f>
        <v>No</v>
      </c>
      <c r="Q642" t="str">
        <f>IF(AND(TBL_Employees[[#This Row],[Gender]]="Female",TBL_Employees[[#This Row],[Ethnicity]]="Black"), "Female_Black", "Others")</f>
        <v>Others</v>
      </c>
    </row>
    <row r="643" spans="1:17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7">
        <v>40040</v>
      </c>
      <c r="J643" s="1">
        <v>241083</v>
      </c>
      <c r="K643" s="2">
        <v>0.39</v>
      </c>
      <c r="L643" t="s">
        <v>19</v>
      </c>
      <c r="M643" t="s">
        <v>29</v>
      </c>
      <c r="N643" s="7" t="s">
        <v>21</v>
      </c>
      <c r="O643" s="1">
        <f>TBL_Employees[[#This Row],[Annual Salary]]+TBL_Employees[[#This Row],[Bonus %]]*TBL_Employees[[#This Row],[Annual Salary]]</f>
        <v>335105.37</v>
      </c>
      <c r="P643" t="str">
        <f>IF(AND(TBL_Employees[[#This Row],[Department]]="IT",TBL_Employees[[#This Row],[Gender]]="Female"),"Yes","No")</f>
        <v>No</v>
      </c>
      <c r="Q643" t="str">
        <f>IF(AND(TBL_Employees[[#This Row],[Gender]]="Female",TBL_Employees[[#This Row],[Ethnicity]]="Black"), "Female_Black", "Others")</f>
        <v>Others</v>
      </c>
    </row>
    <row r="644" spans="1:17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7">
        <v>43413</v>
      </c>
      <c r="J644" s="1">
        <v>223805</v>
      </c>
      <c r="K644" s="2">
        <v>0.36</v>
      </c>
      <c r="L644" t="s">
        <v>19</v>
      </c>
      <c r="M644" t="s">
        <v>20</v>
      </c>
      <c r="N644" s="7" t="s">
        <v>21</v>
      </c>
      <c r="O644" s="1">
        <f>TBL_Employees[[#This Row],[Annual Salary]]+TBL_Employees[[#This Row],[Bonus %]]*TBL_Employees[[#This Row],[Annual Salary]]</f>
        <v>304374.8</v>
      </c>
      <c r="P644" t="str">
        <f>IF(AND(TBL_Employees[[#This Row],[Department]]="IT",TBL_Employees[[#This Row],[Gender]]="Female"),"Yes","No")</f>
        <v>No</v>
      </c>
      <c r="Q644" t="str">
        <f>IF(AND(TBL_Employees[[#This Row],[Gender]]="Female",TBL_Employees[[#This Row],[Ethnicity]]="Black"), "Female_Black", "Others")</f>
        <v>Female_Black</v>
      </c>
    </row>
    <row r="645" spans="1:17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7">
        <v>44393</v>
      </c>
      <c r="J645" s="1">
        <v>161759</v>
      </c>
      <c r="K645" s="2">
        <v>0.16</v>
      </c>
      <c r="L645" t="s">
        <v>19</v>
      </c>
      <c r="M645" t="s">
        <v>45</v>
      </c>
      <c r="N645" s="7" t="s">
        <v>21</v>
      </c>
      <c r="O645" s="1">
        <f>TBL_Employees[[#This Row],[Annual Salary]]+TBL_Employees[[#This Row],[Bonus %]]*TBL_Employees[[#This Row],[Annual Salary]]</f>
        <v>187640.44</v>
      </c>
      <c r="P645" t="str">
        <f>IF(AND(TBL_Employees[[#This Row],[Department]]="IT",TBL_Employees[[#This Row],[Gender]]="Female"),"Yes","No")</f>
        <v>No</v>
      </c>
      <c r="Q645" t="str">
        <f>IF(AND(TBL_Employees[[#This Row],[Gender]]="Female",TBL_Employees[[#This Row],[Ethnicity]]="Black"), "Female_Black", "Others")</f>
        <v>Others</v>
      </c>
    </row>
    <row r="646" spans="1:17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7">
        <v>43520</v>
      </c>
      <c r="J646" s="1">
        <v>95899</v>
      </c>
      <c r="K646" s="2">
        <v>0.1</v>
      </c>
      <c r="L646" t="s">
        <v>19</v>
      </c>
      <c r="M646" t="s">
        <v>29</v>
      </c>
      <c r="N646" s="7">
        <v>44263</v>
      </c>
      <c r="O646" s="1">
        <f>TBL_Employees[[#This Row],[Annual Salary]]+TBL_Employees[[#This Row],[Bonus %]]*TBL_Employees[[#This Row],[Annual Salary]]</f>
        <v>105488.9</v>
      </c>
      <c r="P646" t="str">
        <f>IF(AND(TBL_Employees[[#This Row],[Department]]="IT",TBL_Employees[[#This Row],[Gender]]="Female"),"Yes","No")</f>
        <v>No</v>
      </c>
      <c r="Q646" t="str">
        <f>IF(AND(TBL_Employees[[#This Row],[Gender]]="Female",TBL_Employees[[#This Row],[Ethnicity]]="Black"), "Female_Black", "Others")</f>
        <v>Others</v>
      </c>
    </row>
    <row r="647" spans="1:17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7">
        <v>43623</v>
      </c>
      <c r="J647" s="1">
        <v>80700</v>
      </c>
      <c r="K647" s="2">
        <v>0</v>
      </c>
      <c r="L647" t="s">
        <v>19</v>
      </c>
      <c r="M647" t="s">
        <v>29</v>
      </c>
      <c r="N647" s="7" t="s">
        <v>21</v>
      </c>
      <c r="O647" s="1">
        <f>TBL_Employees[[#This Row],[Annual Salary]]+TBL_Employees[[#This Row],[Bonus %]]*TBL_Employees[[#This Row],[Annual Salary]]</f>
        <v>80700</v>
      </c>
      <c r="P647" t="str">
        <f>IF(AND(TBL_Employees[[#This Row],[Department]]="IT",TBL_Employees[[#This Row],[Gender]]="Female"),"Yes","No")</f>
        <v>No</v>
      </c>
      <c r="Q647" t="str">
        <f>IF(AND(TBL_Employees[[#This Row],[Gender]]="Female",TBL_Employees[[#This Row],[Ethnicity]]="Black"), "Female_Black", "Others")</f>
        <v>Others</v>
      </c>
    </row>
    <row r="648" spans="1:17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7">
        <v>35500</v>
      </c>
      <c r="J648" s="1">
        <v>128136</v>
      </c>
      <c r="K648" s="2">
        <v>0.05</v>
      </c>
      <c r="L648" t="s">
        <v>33</v>
      </c>
      <c r="M648" t="s">
        <v>60</v>
      </c>
      <c r="N648" s="7" t="s">
        <v>21</v>
      </c>
      <c r="O648" s="1">
        <f>TBL_Employees[[#This Row],[Annual Salary]]+TBL_Employees[[#This Row],[Bonus %]]*TBL_Employees[[#This Row],[Annual Salary]]</f>
        <v>134542.79999999999</v>
      </c>
      <c r="P648" t="str">
        <f>IF(AND(TBL_Employees[[#This Row],[Department]]="IT",TBL_Employees[[#This Row],[Gender]]="Female"),"Yes","No")</f>
        <v>No</v>
      </c>
      <c r="Q648" t="str">
        <f>IF(AND(TBL_Employees[[#This Row],[Gender]]="Female",TBL_Employees[[#This Row],[Ethnicity]]="Black"), "Female_Black", "Others")</f>
        <v>Others</v>
      </c>
    </row>
    <row r="649" spans="1:17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7">
        <v>42843</v>
      </c>
      <c r="J649" s="1">
        <v>58745</v>
      </c>
      <c r="K649" s="2">
        <v>0</v>
      </c>
      <c r="L649" t="s">
        <v>19</v>
      </c>
      <c r="M649" t="s">
        <v>25</v>
      </c>
      <c r="N649" s="7" t="s">
        <v>21</v>
      </c>
      <c r="O649" s="1">
        <f>TBL_Employees[[#This Row],[Annual Salary]]+TBL_Employees[[#This Row],[Bonus %]]*TBL_Employees[[#This Row],[Annual Salary]]</f>
        <v>58745</v>
      </c>
      <c r="P649" t="str">
        <f>IF(AND(TBL_Employees[[#This Row],[Department]]="IT",TBL_Employees[[#This Row],[Gender]]="Female"),"Yes","No")</f>
        <v>No</v>
      </c>
      <c r="Q649" t="str">
        <f>IF(AND(TBL_Employees[[#This Row],[Gender]]="Female",TBL_Employees[[#This Row],[Ethnicity]]="Black"), "Female_Black", "Others")</f>
        <v>Others</v>
      </c>
    </row>
    <row r="650" spans="1:17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7">
        <v>33728</v>
      </c>
      <c r="J650" s="1">
        <v>76202</v>
      </c>
      <c r="K650" s="2">
        <v>0</v>
      </c>
      <c r="L650" t="s">
        <v>19</v>
      </c>
      <c r="M650" t="s">
        <v>25</v>
      </c>
      <c r="N650" s="7">
        <v>34686</v>
      </c>
      <c r="O650" s="1">
        <f>TBL_Employees[[#This Row],[Annual Salary]]+TBL_Employees[[#This Row],[Bonus %]]*TBL_Employees[[#This Row],[Annual Salary]]</f>
        <v>76202</v>
      </c>
      <c r="P650" t="str">
        <f>IF(AND(TBL_Employees[[#This Row],[Department]]="IT",TBL_Employees[[#This Row],[Gender]]="Female"),"Yes","No")</f>
        <v>Yes</v>
      </c>
      <c r="Q650" t="str">
        <f>IF(AND(TBL_Employees[[#This Row],[Gender]]="Female",TBL_Employees[[#This Row],[Ethnicity]]="Black"), "Female_Black", "Others")</f>
        <v>Others</v>
      </c>
    </row>
    <row r="651" spans="1:17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7">
        <v>43178</v>
      </c>
      <c r="J651" s="1">
        <v>195200</v>
      </c>
      <c r="K651" s="2">
        <v>0.36</v>
      </c>
      <c r="L651" t="s">
        <v>19</v>
      </c>
      <c r="M651" t="s">
        <v>25</v>
      </c>
      <c r="N651" s="7" t="s">
        <v>21</v>
      </c>
      <c r="O651" s="1">
        <f>TBL_Employees[[#This Row],[Annual Salary]]+TBL_Employees[[#This Row],[Bonus %]]*TBL_Employees[[#This Row],[Annual Salary]]</f>
        <v>265472</v>
      </c>
      <c r="P651" t="str">
        <f>IF(AND(TBL_Employees[[#This Row],[Department]]="IT",TBL_Employees[[#This Row],[Gender]]="Female"),"Yes","No")</f>
        <v>No</v>
      </c>
      <c r="Q651" t="str">
        <f>IF(AND(TBL_Employees[[#This Row],[Gender]]="Female",TBL_Employees[[#This Row],[Ethnicity]]="Black"), "Female_Black", "Others")</f>
        <v>Others</v>
      </c>
    </row>
    <row r="652" spans="1:17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7">
        <v>42711</v>
      </c>
      <c r="J652" s="1">
        <v>71454</v>
      </c>
      <c r="K652" s="2">
        <v>0</v>
      </c>
      <c r="L652" t="s">
        <v>33</v>
      </c>
      <c r="M652" t="s">
        <v>74</v>
      </c>
      <c r="N652" s="7" t="s">
        <v>21</v>
      </c>
      <c r="O652" s="1">
        <f>TBL_Employees[[#This Row],[Annual Salary]]+TBL_Employees[[#This Row],[Bonus %]]*TBL_Employees[[#This Row],[Annual Salary]]</f>
        <v>71454</v>
      </c>
      <c r="P652" t="str">
        <f>IF(AND(TBL_Employees[[#This Row],[Department]]="IT",TBL_Employees[[#This Row],[Gender]]="Female"),"Yes","No")</f>
        <v>No</v>
      </c>
      <c r="Q652" t="str">
        <f>IF(AND(TBL_Employees[[#This Row],[Gender]]="Female",TBL_Employees[[#This Row],[Ethnicity]]="Black"), "Female_Black", "Others")</f>
        <v>Others</v>
      </c>
    </row>
    <row r="653" spans="1:17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7">
        <v>43864</v>
      </c>
      <c r="J653" s="1">
        <v>94652</v>
      </c>
      <c r="K653" s="2">
        <v>0</v>
      </c>
      <c r="L653" t="s">
        <v>19</v>
      </c>
      <c r="M653" t="s">
        <v>63</v>
      </c>
      <c r="N653" s="7" t="s">
        <v>21</v>
      </c>
      <c r="O653" s="1">
        <f>TBL_Employees[[#This Row],[Annual Salary]]+TBL_Employees[[#This Row],[Bonus %]]*TBL_Employees[[#This Row],[Annual Salary]]</f>
        <v>94652</v>
      </c>
      <c r="P653" t="str">
        <f>IF(AND(TBL_Employees[[#This Row],[Department]]="IT",TBL_Employees[[#This Row],[Gender]]="Female"),"Yes","No")</f>
        <v>Yes</v>
      </c>
      <c r="Q653" t="str">
        <f>IF(AND(TBL_Employees[[#This Row],[Gender]]="Female",TBL_Employees[[#This Row],[Ethnicity]]="Black"), "Female_Black", "Others")</f>
        <v>Others</v>
      </c>
    </row>
    <row r="654" spans="1:17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7">
        <v>42416</v>
      </c>
      <c r="J654" s="1">
        <v>63411</v>
      </c>
      <c r="K654" s="2">
        <v>0</v>
      </c>
      <c r="L654" t="s">
        <v>19</v>
      </c>
      <c r="M654" t="s">
        <v>45</v>
      </c>
      <c r="N654" s="7" t="s">
        <v>21</v>
      </c>
      <c r="O654" s="1">
        <f>TBL_Employees[[#This Row],[Annual Salary]]+TBL_Employees[[#This Row],[Bonus %]]*TBL_Employees[[#This Row],[Annual Salary]]</f>
        <v>63411</v>
      </c>
      <c r="P654" t="str">
        <f>IF(AND(TBL_Employees[[#This Row],[Department]]="IT",TBL_Employees[[#This Row],[Gender]]="Female"),"Yes","No")</f>
        <v>No</v>
      </c>
      <c r="Q654" t="str">
        <f>IF(AND(TBL_Employees[[#This Row],[Gender]]="Female",TBL_Employees[[#This Row],[Ethnicity]]="Black"), "Female_Black", "Others")</f>
        <v>Others</v>
      </c>
    </row>
    <row r="655" spans="1:17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7">
        <v>43878</v>
      </c>
      <c r="J655" s="1">
        <v>67171</v>
      </c>
      <c r="K655" s="2">
        <v>0</v>
      </c>
      <c r="L655" t="s">
        <v>33</v>
      </c>
      <c r="M655" t="s">
        <v>80</v>
      </c>
      <c r="N655" s="7">
        <v>44317</v>
      </c>
      <c r="O655" s="1">
        <f>TBL_Employees[[#This Row],[Annual Salary]]+TBL_Employees[[#This Row],[Bonus %]]*TBL_Employees[[#This Row],[Annual Salary]]</f>
        <v>67171</v>
      </c>
      <c r="P655" t="str">
        <f>IF(AND(TBL_Employees[[#This Row],[Department]]="IT",TBL_Employees[[#This Row],[Gender]]="Female"),"Yes","No")</f>
        <v>No</v>
      </c>
      <c r="Q655" t="str">
        <f>IF(AND(TBL_Employees[[#This Row],[Gender]]="Female",TBL_Employees[[#This Row],[Ethnicity]]="Black"), "Female_Black", "Others")</f>
        <v>Others</v>
      </c>
    </row>
    <row r="656" spans="1:17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7">
        <v>43652</v>
      </c>
      <c r="J656" s="1">
        <v>152036</v>
      </c>
      <c r="K656" s="2">
        <v>0.15</v>
      </c>
      <c r="L656" t="s">
        <v>52</v>
      </c>
      <c r="M656" t="s">
        <v>66</v>
      </c>
      <c r="N656" s="7" t="s">
        <v>21</v>
      </c>
      <c r="O656" s="1">
        <f>TBL_Employees[[#This Row],[Annual Salary]]+TBL_Employees[[#This Row],[Bonus %]]*TBL_Employees[[#This Row],[Annual Salary]]</f>
        <v>174841.4</v>
      </c>
      <c r="P656" t="str">
        <f>IF(AND(TBL_Employees[[#This Row],[Department]]="IT",TBL_Employees[[#This Row],[Gender]]="Female"),"Yes","No")</f>
        <v>No</v>
      </c>
      <c r="Q656" t="str">
        <f>IF(AND(TBL_Employees[[#This Row],[Gender]]="Female",TBL_Employees[[#This Row],[Ethnicity]]="Black"), "Female_Black", "Others")</f>
        <v>Others</v>
      </c>
    </row>
    <row r="657" spans="1:17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7">
        <v>44276</v>
      </c>
      <c r="J657" s="1">
        <v>95562</v>
      </c>
      <c r="K657" s="2">
        <v>0</v>
      </c>
      <c r="L657" t="s">
        <v>19</v>
      </c>
      <c r="M657" t="s">
        <v>20</v>
      </c>
      <c r="N657" s="7" t="s">
        <v>21</v>
      </c>
      <c r="O657" s="1">
        <f>TBL_Employees[[#This Row],[Annual Salary]]+TBL_Employees[[#This Row],[Bonus %]]*TBL_Employees[[#This Row],[Annual Salary]]</f>
        <v>95562</v>
      </c>
      <c r="P657" t="str">
        <f>IF(AND(TBL_Employees[[#This Row],[Department]]="IT",TBL_Employees[[#This Row],[Gender]]="Female"),"Yes","No")</f>
        <v>No</v>
      </c>
      <c r="Q657" t="str">
        <f>IF(AND(TBL_Employees[[#This Row],[Gender]]="Female",TBL_Employees[[#This Row],[Ethnicity]]="Black"), "Female_Black", "Others")</f>
        <v>Female_Black</v>
      </c>
    </row>
    <row r="658" spans="1:17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7">
        <v>43773</v>
      </c>
      <c r="J658" s="1">
        <v>96092</v>
      </c>
      <c r="K658" s="2">
        <v>0</v>
      </c>
      <c r="L658" t="s">
        <v>19</v>
      </c>
      <c r="M658" t="s">
        <v>25</v>
      </c>
      <c r="N658" s="7" t="s">
        <v>21</v>
      </c>
      <c r="O658" s="1">
        <f>TBL_Employees[[#This Row],[Annual Salary]]+TBL_Employees[[#This Row],[Bonus %]]*TBL_Employees[[#This Row],[Annual Salary]]</f>
        <v>96092</v>
      </c>
      <c r="P658" t="str">
        <f>IF(AND(TBL_Employees[[#This Row],[Department]]="IT",TBL_Employees[[#This Row],[Gender]]="Female"),"Yes","No")</f>
        <v>No</v>
      </c>
      <c r="Q658" t="str">
        <f>IF(AND(TBL_Employees[[#This Row],[Gender]]="Female",TBL_Employees[[#This Row],[Ethnicity]]="Black"), "Female_Black", "Others")</f>
        <v>Others</v>
      </c>
    </row>
    <row r="659" spans="1:17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7">
        <v>41428</v>
      </c>
      <c r="J659" s="1">
        <v>254289</v>
      </c>
      <c r="K659" s="2">
        <v>0.39</v>
      </c>
      <c r="L659" t="s">
        <v>19</v>
      </c>
      <c r="M659" t="s">
        <v>20</v>
      </c>
      <c r="N659" s="7" t="s">
        <v>21</v>
      </c>
      <c r="O659" s="1">
        <f>TBL_Employees[[#This Row],[Annual Salary]]+TBL_Employees[[#This Row],[Bonus %]]*TBL_Employees[[#This Row],[Annual Salary]]</f>
        <v>353461.71</v>
      </c>
      <c r="P659" t="str">
        <f>IF(AND(TBL_Employees[[#This Row],[Department]]="IT",TBL_Employees[[#This Row],[Gender]]="Female"),"Yes","No")</f>
        <v>No</v>
      </c>
      <c r="Q659" t="str">
        <f>IF(AND(TBL_Employees[[#This Row],[Gender]]="Female",TBL_Employees[[#This Row],[Ethnicity]]="Black"), "Female_Black", "Others")</f>
        <v>Others</v>
      </c>
    </row>
    <row r="660" spans="1:17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7">
        <v>43656</v>
      </c>
      <c r="J660" s="1">
        <v>69110</v>
      </c>
      <c r="K660" s="2">
        <v>0.05</v>
      </c>
      <c r="L660" t="s">
        <v>19</v>
      </c>
      <c r="M660" t="s">
        <v>20</v>
      </c>
      <c r="N660" s="7" t="s">
        <v>21</v>
      </c>
      <c r="O660" s="1">
        <f>TBL_Employees[[#This Row],[Annual Salary]]+TBL_Employees[[#This Row],[Bonus %]]*TBL_Employees[[#This Row],[Annual Salary]]</f>
        <v>72565.5</v>
      </c>
      <c r="P660" t="str">
        <f>IF(AND(TBL_Employees[[#This Row],[Department]]="IT",TBL_Employees[[#This Row],[Gender]]="Female"),"Yes","No")</f>
        <v>No</v>
      </c>
      <c r="Q660" t="str">
        <f>IF(AND(TBL_Employees[[#This Row],[Gender]]="Female",TBL_Employees[[#This Row],[Ethnicity]]="Black"), "Female_Black", "Others")</f>
        <v>Others</v>
      </c>
    </row>
    <row r="661" spans="1:17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7">
        <v>37418</v>
      </c>
      <c r="J661" s="1">
        <v>236314</v>
      </c>
      <c r="K661" s="2">
        <v>0.34</v>
      </c>
      <c r="L661" t="s">
        <v>19</v>
      </c>
      <c r="M661" t="s">
        <v>45</v>
      </c>
      <c r="N661" s="7" t="s">
        <v>21</v>
      </c>
      <c r="O661" s="1">
        <f>TBL_Employees[[#This Row],[Annual Salary]]+TBL_Employees[[#This Row],[Bonus %]]*TBL_Employees[[#This Row],[Annual Salary]]</f>
        <v>316660.76</v>
      </c>
      <c r="P661" t="str">
        <f>IF(AND(TBL_Employees[[#This Row],[Department]]="IT",TBL_Employees[[#This Row],[Gender]]="Female"),"Yes","No")</f>
        <v>No</v>
      </c>
      <c r="Q661" t="str">
        <f>IF(AND(TBL_Employees[[#This Row],[Gender]]="Female",TBL_Employees[[#This Row],[Ethnicity]]="Black"), "Female_Black", "Others")</f>
        <v>Others</v>
      </c>
    </row>
    <row r="662" spans="1:17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7">
        <v>39252</v>
      </c>
      <c r="J662" s="1">
        <v>45206</v>
      </c>
      <c r="K662" s="2">
        <v>0</v>
      </c>
      <c r="L662" t="s">
        <v>19</v>
      </c>
      <c r="M662" t="s">
        <v>29</v>
      </c>
      <c r="N662" s="7" t="s">
        <v>21</v>
      </c>
      <c r="O662" s="1">
        <f>TBL_Employees[[#This Row],[Annual Salary]]+TBL_Employees[[#This Row],[Bonus %]]*TBL_Employees[[#This Row],[Annual Salary]]</f>
        <v>45206</v>
      </c>
      <c r="P662" t="str">
        <f>IF(AND(TBL_Employees[[#This Row],[Department]]="IT",TBL_Employees[[#This Row],[Gender]]="Female"),"Yes","No")</f>
        <v>No</v>
      </c>
      <c r="Q662" t="str">
        <f>IF(AND(TBL_Employees[[#This Row],[Gender]]="Female",TBL_Employees[[#This Row],[Ethnicity]]="Black"), "Female_Black", "Others")</f>
        <v>Others</v>
      </c>
    </row>
    <row r="663" spans="1:17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7">
        <v>44515</v>
      </c>
      <c r="J663" s="1">
        <v>210708</v>
      </c>
      <c r="K663" s="2">
        <v>0.33</v>
      </c>
      <c r="L663" t="s">
        <v>19</v>
      </c>
      <c r="M663" t="s">
        <v>20</v>
      </c>
      <c r="N663" s="7" t="s">
        <v>21</v>
      </c>
      <c r="O663" s="1">
        <f>TBL_Employees[[#This Row],[Annual Salary]]+TBL_Employees[[#This Row],[Bonus %]]*TBL_Employees[[#This Row],[Annual Salary]]</f>
        <v>280241.64</v>
      </c>
      <c r="P663" t="str">
        <f>IF(AND(TBL_Employees[[#This Row],[Department]]="IT",TBL_Employees[[#This Row],[Gender]]="Female"),"Yes","No")</f>
        <v>No</v>
      </c>
      <c r="Q663" t="str">
        <f>IF(AND(TBL_Employees[[#This Row],[Gender]]="Female",TBL_Employees[[#This Row],[Ethnicity]]="Black"), "Female_Black", "Others")</f>
        <v>Others</v>
      </c>
    </row>
    <row r="664" spans="1:17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7">
        <v>44465</v>
      </c>
      <c r="J664" s="1">
        <v>87770</v>
      </c>
      <c r="K664" s="2">
        <v>0</v>
      </c>
      <c r="L664" t="s">
        <v>19</v>
      </c>
      <c r="M664" t="s">
        <v>25</v>
      </c>
      <c r="N664" s="7" t="s">
        <v>21</v>
      </c>
      <c r="O664" s="1">
        <f>TBL_Employees[[#This Row],[Annual Salary]]+TBL_Employees[[#This Row],[Bonus %]]*TBL_Employees[[#This Row],[Annual Salary]]</f>
        <v>87770</v>
      </c>
      <c r="P664" t="str">
        <f>IF(AND(TBL_Employees[[#This Row],[Department]]="IT",TBL_Employees[[#This Row],[Gender]]="Female"),"Yes","No")</f>
        <v>No</v>
      </c>
      <c r="Q664" t="str">
        <f>IF(AND(TBL_Employees[[#This Row],[Gender]]="Female",TBL_Employees[[#This Row],[Ethnicity]]="Black"), "Female_Black", "Others")</f>
        <v>Others</v>
      </c>
    </row>
    <row r="665" spans="1:17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7">
        <v>42228</v>
      </c>
      <c r="J665" s="1">
        <v>106858</v>
      </c>
      <c r="K665" s="2">
        <v>0.05</v>
      </c>
      <c r="L665" t="s">
        <v>19</v>
      </c>
      <c r="M665" t="s">
        <v>63</v>
      </c>
      <c r="N665" s="7" t="s">
        <v>21</v>
      </c>
      <c r="O665" s="1">
        <f>TBL_Employees[[#This Row],[Annual Salary]]+TBL_Employees[[#This Row],[Bonus %]]*TBL_Employees[[#This Row],[Annual Salary]]</f>
        <v>112200.9</v>
      </c>
      <c r="P665" t="str">
        <f>IF(AND(TBL_Employees[[#This Row],[Department]]="IT",TBL_Employees[[#This Row],[Gender]]="Female"),"Yes","No")</f>
        <v>No</v>
      </c>
      <c r="Q665" t="str">
        <f>IF(AND(TBL_Employees[[#This Row],[Gender]]="Female",TBL_Employees[[#This Row],[Ethnicity]]="Black"), "Female_Black", "Others")</f>
        <v>Others</v>
      </c>
    </row>
    <row r="666" spans="1:17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7">
        <v>42108</v>
      </c>
      <c r="J666" s="1">
        <v>155788</v>
      </c>
      <c r="K666" s="2">
        <v>0.17</v>
      </c>
      <c r="L666" t="s">
        <v>19</v>
      </c>
      <c r="M666" t="s">
        <v>63</v>
      </c>
      <c r="N666" s="7" t="s">
        <v>21</v>
      </c>
      <c r="O666" s="1">
        <f>TBL_Employees[[#This Row],[Annual Salary]]+TBL_Employees[[#This Row],[Bonus %]]*TBL_Employees[[#This Row],[Annual Salary]]</f>
        <v>182271.96</v>
      </c>
      <c r="P666" t="str">
        <f>IF(AND(TBL_Employees[[#This Row],[Department]]="IT",TBL_Employees[[#This Row],[Gender]]="Female"),"Yes","No")</f>
        <v>No</v>
      </c>
      <c r="Q666" t="str">
        <f>IF(AND(TBL_Employees[[#This Row],[Gender]]="Female",TBL_Employees[[#This Row],[Ethnicity]]="Black"), "Female_Black", "Others")</f>
        <v>Others</v>
      </c>
    </row>
    <row r="667" spans="1:17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7">
        <v>43581</v>
      </c>
      <c r="J667" s="1">
        <v>74891</v>
      </c>
      <c r="K667" s="2">
        <v>0</v>
      </c>
      <c r="L667" t="s">
        <v>52</v>
      </c>
      <c r="M667" t="s">
        <v>66</v>
      </c>
      <c r="N667" s="7" t="s">
        <v>21</v>
      </c>
      <c r="O667" s="1">
        <f>TBL_Employees[[#This Row],[Annual Salary]]+TBL_Employees[[#This Row],[Bonus %]]*TBL_Employees[[#This Row],[Annual Salary]]</f>
        <v>74891</v>
      </c>
      <c r="P667" t="str">
        <f>IF(AND(TBL_Employees[[#This Row],[Department]]="IT",TBL_Employees[[#This Row],[Gender]]="Female"),"Yes","No")</f>
        <v>No</v>
      </c>
      <c r="Q667" t="str">
        <f>IF(AND(TBL_Employees[[#This Row],[Gender]]="Female",TBL_Employees[[#This Row],[Ethnicity]]="Black"), "Female_Black", "Others")</f>
        <v>Others</v>
      </c>
    </row>
    <row r="668" spans="1:17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7">
        <v>44548</v>
      </c>
      <c r="J668" s="1">
        <v>95670</v>
      </c>
      <c r="K668" s="2">
        <v>0</v>
      </c>
      <c r="L668" t="s">
        <v>19</v>
      </c>
      <c r="M668" t="s">
        <v>39</v>
      </c>
      <c r="N668" s="7" t="s">
        <v>21</v>
      </c>
      <c r="O668" s="1">
        <f>TBL_Employees[[#This Row],[Annual Salary]]+TBL_Employees[[#This Row],[Bonus %]]*TBL_Employees[[#This Row],[Annual Salary]]</f>
        <v>95670</v>
      </c>
      <c r="P668" t="str">
        <f>IF(AND(TBL_Employees[[#This Row],[Department]]="IT",TBL_Employees[[#This Row],[Gender]]="Female"),"Yes","No")</f>
        <v>No</v>
      </c>
      <c r="Q668" t="str">
        <f>IF(AND(TBL_Employees[[#This Row],[Gender]]="Female",TBL_Employees[[#This Row],[Ethnicity]]="Black"), "Female_Black", "Others")</f>
        <v>Others</v>
      </c>
    </row>
    <row r="669" spans="1:17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7">
        <v>36798</v>
      </c>
      <c r="J669" s="1">
        <v>67837</v>
      </c>
      <c r="K669" s="2">
        <v>0</v>
      </c>
      <c r="L669" t="s">
        <v>19</v>
      </c>
      <c r="M669" t="s">
        <v>25</v>
      </c>
      <c r="N669" s="7" t="s">
        <v>21</v>
      </c>
      <c r="O669" s="1">
        <f>TBL_Employees[[#This Row],[Annual Salary]]+TBL_Employees[[#This Row],[Bonus %]]*TBL_Employees[[#This Row],[Annual Salary]]</f>
        <v>67837</v>
      </c>
      <c r="P669" t="str">
        <f>IF(AND(TBL_Employees[[#This Row],[Department]]="IT",TBL_Employees[[#This Row],[Gender]]="Female"),"Yes","No")</f>
        <v>No</v>
      </c>
      <c r="Q669" t="str">
        <f>IF(AND(TBL_Employees[[#This Row],[Gender]]="Female",TBL_Employees[[#This Row],[Ethnicity]]="Black"), "Female_Black", "Others")</f>
        <v>Female_Black</v>
      </c>
    </row>
    <row r="670" spans="1:17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7">
        <v>40333</v>
      </c>
      <c r="J670" s="1">
        <v>72425</v>
      </c>
      <c r="K670" s="2">
        <v>0</v>
      </c>
      <c r="L670" t="s">
        <v>33</v>
      </c>
      <c r="M670" t="s">
        <v>60</v>
      </c>
      <c r="N670" s="7" t="s">
        <v>21</v>
      </c>
      <c r="O670" s="1">
        <f>TBL_Employees[[#This Row],[Annual Salary]]+TBL_Employees[[#This Row],[Bonus %]]*TBL_Employees[[#This Row],[Annual Salary]]</f>
        <v>72425</v>
      </c>
      <c r="P670" t="str">
        <f>IF(AND(TBL_Employees[[#This Row],[Department]]="IT",TBL_Employees[[#This Row],[Gender]]="Female"),"Yes","No")</f>
        <v>No</v>
      </c>
      <c r="Q670" t="str">
        <f>IF(AND(TBL_Employees[[#This Row],[Gender]]="Female",TBL_Employees[[#This Row],[Ethnicity]]="Black"), "Female_Black", "Others")</f>
        <v>Others</v>
      </c>
    </row>
    <row r="671" spans="1:17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7">
        <v>34623</v>
      </c>
      <c r="J671" s="1">
        <v>93103</v>
      </c>
      <c r="K671" s="2">
        <v>0</v>
      </c>
      <c r="L671" t="s">
        <v>19</v>
      </c>
      <c r="M671" t="s">
        <v>39</v>
      </c>
      <c r="N671" s="7" t="s">
        <v>21</v>
      </c>
      <c r="O671" s="1">
        <f>TBL_Employees[[#This Row],[Annual Salary]]+TBL_Employees[[#This Row],[Bonus %]]*TBL_Employees[[#This Row],[Annual Salary]]</f>
        <v>93103</v>
      </c>
      <c r="P671" t="str">
        <f>IF(AND(TBL_Employees[[#This Row],[Department]]="IT",TBL_Employees[[#This Row],[Gender]]="Female"),"Yes","No")</f>
        <v>No</v>
      </c>
      <c r="Q671" t="str">
        <f>IF(AND(TBL_Employees[[#This Row],[Gender]]="Female",TBL_Employees[[#This Row],[Ethnicity]]="Black"), "Female_Black", "Others")</f>
        <v>Others</v>
      </c>
    </row>
    <row r="672" spans="1:17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7">
        <v>42291</v>
      </c>
      <c r="J672" s="1">
        <v>76272</v>
      </c>
      <c r="K672" s="2">
        <v>0</v>
      </c>
      <c r="L672" t="s">
        <v>19</v>
      </c>
      <c r="M672" t="s">
        <v>45</v>
      </c>
      <c r="N672" s="7">
        <v>44491</v>
      </c>
      <c r="O672" s="1">
        <f>TBL_Employees[[#This Row],[Annual Salary]]+TBL_Employees[[#This Row],[Bonus %]]*TBL_Employees[[#This Row],[Annual Salary]]</f>
        <v>76272</v>
      </c>
      <c r="P672" t="str">
        <f>IF(AND(TBL_Employees[[#This Row],[Department]]="IT",TBL_Employees[[#This Row],[Gender]]="Female"),"Yes","No")</f>
        <v>No</v>
      </c>
      <c r="Q672" t="str">
        <f>IF(AND(TBL_Employees[[#This Row],[Gender]]="Female",TBL_Employees[[#This Row],[Ethnicity]]="Black"), "Female_Black", "Others")</f>
        <v>Others</v>
      </c>
    </row>
    <row r="673" spans="1:17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7">
        <v>37796</v>
      </c>
      <c r="J673" s="1">
        <v>55760</v>
      </c>
      <c r="K673" s="2">
        <v>0</v>
      </c>
      <c r="L673" t="s">
        <v>19</v>
      </c>
      <c r="M673" t="s">
        <v>25</v>
      </c>
      <c r="N673" s="7" t="s">
        <v>21</v>
      </c>
      <c r="O673" s="1">
        <f>TBL_Employees[[#This Row],[Annual Salary]]+TBL_Employees[[#This Row],[Bonus %]]*TBL_Employees[[#This Row],[Annual Salary]]</f>
        <v>55760</v>
      </c>
      <c r="P673" t="str">
        <f>IF(AND(TBL_Employees[[#This Row],[Department]]="IT",TBL_Employees[[#This Row],[Gender]]="Female"),"Yes","No")</f>
        <v>No</v>
      </c>
      <c r="Q673" t="str">
        <f>IF(AND(TBL_Employees[[#This Row],[Gender]]="Female",TBL_Employees[[#This Row],[Ethnicity]]="Black"), "Female_Black", "Others")</f>
        <v>Others</v>
      </c>
    </row>
    <row r="674" spans="1:17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7">
        <v>43843</v>
      </c>
      <c r="J674" s="1">
        <v>253294</v>
      </c>
      <c r="K674" s="2">
        <v>0.4</v>
      </c>
      <c r="L674" t="s">
        <v>19</v>
      </c>
      <c r="M674" t="s">
        <v>45</v>
      </c>
      <c r="N674" s="7" t="s">
        <v>21</v>
      </c>
      <c r="O674" s="1">
        <f>TBL_Employees[[#This Row],[Annual Salary]]+TBL_Employees[[#This Row],[Bonus %]]*TBL_Employees[[#This Row],[Annual Salary]]</f>
        <v>354611.6</v>
      </c>
      <c r="P674" t="str">
        <f>IF(AND(TBL_Employees[[#This Row],[Department]]="IT",TBL_Employees[[#This Row],[Gender]]="Female"),"Yes","No")</f>
        <v>No</v>
      </c>
      <c r="Q674" t="str">
        <f>IF(AND(TBL_Employees[[#This Row],[Gender]]="Female",TBL_Employees[[#This Row],[Ethnicity]]="Black"), "Female_Black", "Others")</f>
        <v>Others</v>
      </c>
    </row>
    <row r="675" spans="1:17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7">
        <v>39310</v>
      </c>
      <c r="J675" s="1">
        <v>58671</v>
      </c>
      <c r="K675" s="2">
        <v>0</v>
      </c>
      <c r="L675" t="s">
        <v>19</v>
      </c>
      <c r="M675" t="s">
        <v>29</v>
      </c>
      <c r="N675" s="7" t="s">
        <v>21</v>
      </c>
      <c r="O675" s="1">
        <f>TBL_Employees[[#This Row],[Annual Salary]]+TBL_Employees[[#This Row],[Bonus %]]*TBL_Employees[[#This Row],[Annual Salary]]</f>
        <v>58671</v>
      </c>
      <c r="P675" t="str">
        <f>IF(AND(TBL_Employees[[#This Row],[Department]]="IT",TBL_Employees[[#This Row],[Gender]]="Female"),"Yes","No")</f>
        <v>No</v>
      </c>
      <c r="Q675" t="str">
        <f>IF(AND(TBL_Employees[[#This Row],[Gender]]="Female",TBL_Employees[[#This Row],[Ethnicity]]="Black"), "Female_Black", "Others")</f>
        <v>Others</v>
      </c>
    </row>
    <row r="676" spans="1:17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7">
        <v>43175</v>
      </c>
      <c r="J676" s="1">
        <v>55457</v>
      </c>
      <c r="K676" s="2">
        <v>0</v>
      </c>
      <c r="L676" t="s">
        <v>19</v>
      </c>
      <c r="M676" t="s">
        <v>29</v>
      </c>
      <c r="N676" s="7" t="s">
        <v>21</v>
      </c>
      <c r="O676" s="1">
        <f>TBL_Employees[[#This Row],[Annual Salary]]+TBL_Employees[[#This Row],[Bonus %]]*TBL_Employees[[#This Row],[Annual Salary]]</f>
        <v>55457</v>
      </c>
      <c r="P676" t="str">
        <f>IF(AND(TBL_Employees[[#This Row],[Department]]="IT",TBL_Employees[[#This Row],[Gender]]="Female"),"Yes","No")</f>
        <v>No</v>
      </c>
      <c r="Q676" t="str">
        <f>IF(AND(TBL_Employees[[#This Row],[Gender]]="Female",TBL_Employees[[#This Row],[Ethnicity]]="Black"), "Female_Black", "Others")</f>
        <v>Others</v>
      </c>
    </row>
    <row r="677" spans="1:17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7">
        <v>43004</v>
      </c>
      <c r="J677" s="1">
        <v>72340</v>
      </c>
      <c r="K677" s="2">
        <v>0</v>
      </c>
      <c r="L677" t="s">
        <v>19</v>
      </c>
      <c r="M677" t="s">
        <v>39</v>
      </c>
      <c r="N677" s="7">
        <v>43558</v>
      </c>
      <c r="O677" s="1">
        <f>TBL_Employees[[#This Row],[Annual Salary]]+TBL_Employees[[#This Row],[Bonus %]]*TBL_Employees[[#This Row],[Annual Salary]]</f>
        <v>72340</v>
      </c>
      <c r="P677" t="str">
        <f>IF(AND(TBL_Employees[[#This Row],[Department]]="IT",TBL_Employees[[#This Row],[Gender]]="Female"),"Yes","No")</f>
        <v>No</v>
      </c>
      <c r="Q677" t="str">
        <f>IF(AND(TBL_Employees[[#This Row],[Gender]]="Female",TBL_Employees[[#This Row],[Ethnicity]]="Black"), "Female_Black", "Others")</f>
        <v>Others</v>
      </c>
    </row>
    <row r="678" spans="1:17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7">
        <v>42676</v>
      </c>
      <c r="J678" s="1">
        <v>122054</v>
      </c>
      <c r="K678" s="2">
        <v>0.06</v>
      </c>
      <c r="L678" t="s">
        <v>19</v>
      </c>
      <c r="M678" t="s">
        <v>39</v>
      </c>
      <c r="N678" s="7" t="s">
        <v>21</v>
      </c>
      <c r="O678" s="1">
        <f>TBL_Employees[[#This Row],[Annual Salary]]+TBL_Employees[[#This Row],[Bonus %]]*TBL_Employees[[#This Row],[Annual Salary]]</f>
        <v>129377.24</v>
      </c>
      <c r="P678" t="str">
        <f>IF(AND(TBL_Employees[[#This Row],[Department]]="IT",TBL_Employees[[#This Row],[Gender]]="Female"),"Yes","No")</f>
        <v>No</v>
      </c>
      <c r="Q678" t="str">
        <f>IF(AND(TBL_Employees[[#This Row],[Gender]]="Female",TBL_Employees[[#This Row],[Ethnicity]]="Black"), "Female_Black", "Others")</f>
        <v>Others</v>
      </c>
    </row>
    <row r="679" spans="1:17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7">
        <v>43103</v>
      </c>
      <c r="J679" s="1">
        <v>167100</v>
      </c>
      <c r="K679" s="2">
        <v>0.2</v>
      </c>
      <c r="L679" t="s">
        <v>33</v>
      </c>
      <c r="M679" t="s">
        <v>34</v>
      </c>
      <c r="N679" s="7" t="s">
        <v>21</v>
      </c>
      <c r="O679" s="1">
        <f>TBL_Employees[[#This Row],[Annual Salary]]+TBL_Employees[[#This Row],[Bonus %]]*TBL_Employees[[#This Row],[Annual Salary]]</f>
        <v>200520</v>
      </c>
      <c r="P679" t="str">
        <f>IF(AND(TBL_Employees[[#This Row],[Department]]="IT",TBL_Employees[[#This Row],[Gender]]="Female"),"Yes","No")</f>
        <v>Yes</v>
      </c>
      <c r="Q679" t="str">
        <f>IF(AND(TBL_Employees[[#This Row],[Gender]]="Female",TBL_Employees[[#This Row],[Ethnicity]]="Black"), "Female_Black", "Others")</f>
        <v>Others</v>
      </c>
    </row>
    <row r="680" spans="1:17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7">
        <v>35543</v>
      </c>
      <c r="J680" s="1">
        <v>78153</v>
      </c>
      <c r="K680" s="2">
        <v>0</v>
      </c>
      <c r="L680" t="s">
        <v>19</v>
      </c>
      <c r="M680" t="s">
        <v>45</v>
      </c>
      <c r="N680" s="7" t="s">
        <v>21</v>
      </c>
      <c r="O680" s="1">
        <f>TBL_Employees[[#This Row],[Annual Salary]]+TBL_Employees[[#This Row],[Bonus %]]*TBL_Employees[[#This Row],[Annual Salary]]</f>
        <v>78153</v>
      </c>
      <c r="P680" t="str">
        <f>IF(AND(TBL_Employees[[#This Row],[Department]]="IT",TBL_Employees[[#This Row],[Gender]]="Female"),"Yes","No")</f>
        <v>Yes</v>
      </c>
      <c r="Q680" t="str">
        <f>IF(AND(TBL_Employees[[#This Row],[Gender]]="Female",TBL_Employees[[#This Row],[Ethnicity]]="Black"), "Female_Black", "Others")</f>
        <v>Others</v>
      </c>
    </row>
    <row r="681" spans="1:17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7">
        <v>43935</v>
      </c>
      <c r="J681" s="1">
        <v>103524</v>
      </c>
      <c r="K681" s="2">
        <v>0.09</v>
      </c>
      <c r="L681" t="s">
        <v>19</v>
      </c>
      <c r="M681" t="s">
        <v>39</v>
      </c>
      <c r="N681" s="7" t="s">
        <v>21</v>
      </c>
      <c r="O681" s="1">
        <f>TBL_Employees[[#This Row],[Annual Salary]]+TBL_Employees[[#This Row],[Bonus %]]*TBL_Employees[[#This Row],[Annual Salary]]</f>
        <v>112841.16</v>
      </c>
      <c r="P681" t="str">
        <f>IF(AND(TBL_Employees[[#This Row],[Department]]="IT",TBL_Employees[[#This Row],[Gender]]="Female"),"Yes","No")</f>
        <v>No</v>
      </c>
      <c r="Q681" t="str">
        <f>IF(AND(TBL_Employees[[#This Row],[Gender]]="Female",TBL_Employees[[#This Row],[Ethnicity]]="Black"), "Female_Black", "Others")</f>
        <v>Others</v>
      </c>
    </row>
    <row r="682" spans="1:17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7">
        <v>42952</v>
      </c>
      <c r="J682" s="1">
        <v>119906</v>
      </c>
      <c r="K682" s="2">
        <v>0.05</v>
      </c>
      <c r="L682" t="s">
        <v>19</v>
      </c>
      <c r="M682" t="s">
        <v>29</v>
      </c>
      <c r="N682" s="7" t="s">
        <v>21</v>
      </c>
      <c r="O682" s="1">
        <f>TBL_Employees[[#This Row],[Annual Salary]]+TBL_Employees[[#This Row],[Bonus %]]*TBL_Employees[[#This Row],[Annual Salary]]</f>
        <v>125901.3</v>
      </c>
      <c r="P682" t="str">
        <f>IF(AND(TBL_Employees[[#This Row],[Department]]="IT",TBL_Employees[[#This Row],[Gender]]="Female"),"Yes","No")</f>
        <v>No</v>
      </c>
      <c r="Q682" t="str">
        <f>IF(AND(TBL_Employees[[#This Row],[Gender]]="Female",TBL_Employees[[#This Row],[Ethnicity]]="Black"), "Female_Black", "Others")</f>
        <v>Others</v>
      </c>
    </row>
    <row r="683" spans="1:17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7">
        <v>43847</v>
      </c>
      <c r="J683" s="1">
        <v>45061</v>
      </c>
      <c r="K683" s="2">
        <v>0</v>
      </c>
      <c r="L683" t="s">
        <v>19</v>
      </c>
      <c r="M683" t="s">
        <v>45</v>
      </c>
      <c r="N683" s="7" t="s">
        <v>21</v>
      </c>
      <c r="O683" s="1">
        <f>TBL_Employees[[#This Row],[Annual Salary]]+TBL_Employees[[#This Row],[Bonus %]]*TBL_Employees[[#This Row],[Annual Salary]]</f>
        <v>45061</v>
      </c>
      <c r="P683" t="str">
        <f>IF(AND(TBL_Employees[[#This Row],[Department]]="IT",TBL_Employees[[#This Row],[Gender]]="Female"),"Yes","No")</f>
        <v>No</v>
      </c>
      <c r="Q683" t="str">
        <f>IF(AND(TBL_Employees[[#This Row],[Gender]]="Female",TBL_Employees[[#This Row],[Ethnicity]]="Black"), "Female_Black", "Others")</f>
        <v>Others</v>
      </c>
    </row>
    <row r="684" spans="1:17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7">
        <v>37638</v>
      </c>
      <c r="J684" s="1">
        <v>91399</v>
      </c>
      <c r="K684" s="2">
        <v>0</v>
      </c>
      <c r="L684" t="s">
        <v>19</v>
      </c>
      <c r="M684" t="s">
        <v>63</v>
      </c>
      <c r="N684" s="7" t="s">
        <v>21</v>
      </c>
      <c r="O684" s="1">
        <f>TBL_Employees[[#This Row],[Annual Salary]]+TBL_Employees[[#This Row],[Bonus %]]*TBL_Employees[[#This Row],[Annual Salary]]</f>
        <v>91399</v>
      </c>
      <c r="P684" t="str">
        <f>IF(AND(TBL_Employees[[#This Row],[Department]]="IT",TBL_Employees[[#This Row],[Gender]]="Female"),"Yes","No")</f>
        <v>No</v>
      </c>
      <c r="Q684" t="str">
        <f>IF(AND(TBL_Employees[[#This Row],[Gender]]="Female",TBL_Employees[[#This Row],[Ethnicity]]="Black"), "Female_Black", "Others")</f>
        <v>Others</v>
      </c>
    </row>
    <row r="685" spans="1:17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7">
        <v>43006</v>
      </c>
      <c r="J685" s="1">
        <v>97336</v>
      </c>
      <c r="K685" s="2">
        <v>0</v>
      </c>
      <c r="L685" t="s">
        <v>19</v>
      </c>
      <c r="M685" t="s">
        <v>25</v>
      </c>
      <c r="N685" s="7" t="s">
        <v>21</v>
      </c>
      <c r="O685" s="1">
        <f>TBL_Employees[[#This Row],[Annual Salary]]+TBL_Employees[[#This Row],[Bonus %]]*TBL_Employees[[#This Row],[Annual Salary]]</f>
        <v>97336</v>
      </c>
      <c r="P685" t="str">
        <f>IF(AND(TBL_Employees[[#This Row],[Department]]="IT",TBL_Employees[[#This Row],[Gender]]="Female"),"Yes","No")</f>
        <v>No</v>
      </c>
      <c r="Q685" t="str">
        <f>IF(AND(TBL_Employees[[#This Row],[Gender]]="Female",TBL_Employees[[#This Row],[Ethnicity]]="Black"), "Female_Black", "Others")</f>
        <v>Others</v>
      </c>
    </row>
    <row r="686" spans="1:17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7">
        <v>42755</v>
      </c>
      <c r="J686" s="1">
        <v>124629</v>
      </c>
      <c r="K686" s="2">
        <v>0.1</v>
      </c>
      <c r="L686" t="s">
        <v>19</v>
      </c>
      <c r="M686" t="s">
        <v>29</v>
      </c>
      <c r="N686" s="7" t="s">
        <v>21</v>
      </c>
      <c r="O686" s="1">
        <f>TBL_Employees[[#This Row],[Annual Salary]]+TBL_Employees[[#This Row],[Bonus %]]*TBL_Employees[[#This Row],[Annual Salary]]</f>
        <v>137091.9</v>
      </c>
      <c r="P686" t="str">
        <f>IF(AND(TBL_Employees[[#This Row],[Department]]="IT",TBL_Employees[[#This Row],[Gender]]="Female"),"Yes","No")</f>
        <v>No</v>
      </c>
      <c r="Q686" t="str">
        <f>IF(AND(TBL_Employees[[#This Row],[Gender]]="Female",TBL_Employees[[#This Row],[Ethnicity]]="Black"), "Female_Black", "Others")</f>
        <v>Female_Black</v>
      </c>
    </row>
    <row r="687" spans="1:17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7">
        <v>44402</v>
      </c>
      <c r="J687" s="1">
        <v>231850</v>
      </c>
      <c r="K687" s="2">
        <v>0.39</v>
      </c>
      <c r="L687" t="s">
        <v>19</v>
      </c>
      <c r="M687" t="s">
        <v>45</v>
      </c>
      <c r="N687" s="7" t="s">
        <v>21</v>
      </c>
      <c r="O687" s="1">
        <f>TBL_Employees[[#This Row],[Annual Salary]]+TBL_Employees[[#This Row],[Bonus %]]*TBL_Employees[[#This Row],[Annual Salary]]</f>
        <v>322271.5</v>
      </c>
      <c r="P687" t="str">
        <f>IF(AND(TBL_Employees[[#This Row],[Department]]="IT",TBL_Employees[[#This Row],[Gender]]="Female"),"Yes","No")</f>
        <v>No</v>
      </c>
      <c r="Q687" t="str">
        <f>IF(AND(TBL_Employees[[#This Row],[Gender]]="Female",TBL_Employees[[#This Row],[Ethnicity]]="Black"), "Female_Black", "Others")</f>
        <v>Others</v>
      </c>
    </row>
    <row r="688" spans="1:17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7">
        <v>43255</v>
      </c>
      <c r="J688" s="1">
        <v>128329</v>
      </c>
      <c r="K688" s="2">
        <v>0.08</v>
      </c>
      <c r="L688" t="s">
        <v>19</v>
      </c>
      <c r="M688" t="s">
        <v>39</v>
      </c>
      <c r="N688" s="7" t="s">
        <v>21</v>
      </c>
      <c r="O688" s="1">
        <f>TBL_Employees[[#This Row],[Annual Salary]]+TBL_Employees[[#This Row],[Bonus %]]*TBL_Employees[[#This Row],[Annual Salary]]</f>
        <v>138595.32</v>
      </c>
      <c r="P688" t="str">
        <f>IF(AND(TBL_Employees[[#This Row],[Department]]="IT",TBL_Employees[[#This Row],[Gender]]="Female"),"Yes","No")</f>
        <v>No</v>
      </c>
      <c r="Q688" t="str">
        <f>IF(AND(TBL_Employees[[#This Row],[Gender]]="Female",TBL_Employees[[#This Row],[Ethnicity]]="Black"), "Female_Black", "Others")</f>
        <v>Others</v>
      </c>
    </row>
    <row r="689" spans="1:17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7">
        <v>44283</v>
      </c>
      <c r="J689" s="1">
        <v>186033</v>
      </c>
      <c r="K689" s="2">
        <v>0.34</v>
      </c>
      <c r="L689" t="s">
        <v>52</v>
      </c>
      <c r="M689" t="s">
        <v>53</v>
      </c>
      <c r="N689" s="7" t="s">
        <v>21</v>
      </c>
      <c r="O689" s="1">
        <f>TBL_Employees[[#This Row],[Annual Salary]]+TBL_Employees[[#This Row],[Bonus %]]*TBL_Employees[[#This Row],[Annual Salary]]</f>
        <v>249284.22</v>
      </c>
      <c r="P689" t="str">
        <f>IF(AND(TBL_Employees[[#This Row],[Department]]="IT",TBL_Employees[[#This Row],[Gender]]="Female"),"Yes","No")</f>
        <v>No</v>
      </c>
      <c r="Q689" t="str">
        <f>IF(AND(TBL_Employees[[#This Row],[Gender]]="Female",TBL_Employees[[#This Row],[Ethnicity]]="Black"), "Female_Black", "Others")</f>
        <v>Others</v>
      </c>
    </row>
    <row r="690" spans="1:17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7">
        <v>44403</v>
      </c>
      <c r="J690" s="1">
        <v>121480</v>
      </c>
      <c r="K690" s="2">
        <v>0.14000000000000001</v>
      </c>
      <c r="L690" t="s">
        <v>19</v>
      </c>
      <c r="M690" t="s">
        <v>39</v>
      </c>
      <c r="N690" s="7" t="s">
        <v>21</v>
      </c>
      <c r="O690" s="1">
        <f>TBL_Employees[[#This Row],[Annual Salary]]+TBL_Employees[[#This Row],[Bonus %]]*TBL_Employees[[#This Row],[Annual Salary]]</f>
        <v>138487.20000000001</v>
      </c>
      <c r="P690" t="str">
        <f>IF(AND(TBL_Employees[[#This Row],[Department]]="IT",TBL_Employees[[#This Row],[Gender]]="Female"),"Yes","No")</f>
        <v>No</v>
      </c>
      <c r="Q690" t="str">
        <f>IF(AND(TBL_Employees[[#This Row],[Gender]]="Female",TBL_Employees[[#This Row],[Ethnicity]]="Black"), "Female_Black", "Others")</f>
        <v>Others</v>
      </c>
    </row>
    <row r="691" spans="1:17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7">
        <v>40319</v>
      </c>
      <c r="J691" s="1">
        <v>153275</v>
      </c>
      <c r="K691" s="2">
        <v>0.24</v>
      </c>
      <c r="L691" t="s">
        <v>19</v>
      </c>
      <c r="M691" t="s">
        <v>29</v>
      </c>
      <c r="N691" s="7" t="s">
        <v>21</v>
      </c>
      <c r="O691" s="1">
        <f>TBL_Employees[[#This Row],[Annual Salary]]+TBL_Employees[[#This Row],[Bonus %]]*TBL_Employees[[#This Row],[Annual Salary]]</f>
        <v>190061</v>
      </c>
      <c r="P691" t="str">
        <f>IF(AND(TBL_Employees[[#This Row],[Department]]="IT",TBL_Employees[[#This Row],[Gender]]="Female"),"Yes","No")</f>
        <v>No</v>
      </c>
      <c r="Q691" t="str">
        <f>IF(AND(TBL_Employees[[#This Row],[Gender]]="Female",TBL_Employees[[#This Row],[Ethnicity]]="Black"), "Female_Black", "Others")</f>
        <v>Others</v>
      </c>
    </row>
    <row r="692" spans="1:17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7">
        <v>43969</v>
      </c>
      <c r="J692" s="1">
        <v>97830</v>
      </c>
      <c r="K692" s="2">
        <v>0</v>
      </c>
      <c r="L692" t="s">
        <v>19</v>
      </c>
      <c r="M692" t="s">
        <v>25</v>
      </c>
      <c r="N692" s="7" t="s">
        <v>21</v>
      </c>
      <c r="O692" s="1">
        <f>TBL_Employees[[#This Row],[Annual Salary]]+TBL_Employees[[#This Row],[Bonus %]]*TBL_Employees[[#This Row],[Annual Salary]]</f>
        <v>97830</v>
      </c>
      <c r="P692" t="str">
        <f>IF(AND(TBL_Employees[[#This Row],[Department]]="IT",TBL_Employees[[#This Row],[Gender]]="Female"),"Yes","No")</f>
        <v>No</v>
      </c>
      <c r="Q692" t="str">
        <f>IF(AND(TBL_Employees[[#This Row],[Gender]]="Female",TBL_Employees[[#This Row],[Ethnicity]]="Black"), "Female_Black", "Others")</f>
        <v>Others</v>
      </c>
    </row>
    <row r="693" spans="1:17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7">
        <v>36232</v>
      </c>
      <c r="J693" s="1">
        <v>239394</v>
      </c>
      <c r="K693" s="2">
        <v>0.32</v>
      </c>
      <c r="L693" t="s">
        <v>19</v>
      </c>
      <c r="M693" t="s">
        <v>25</v>
      </c>
      <c r="N693" s="7" t="s">
        <v>21</v>
      </c>
      <c r="O693" s="1">
        <f>TBL_Employees[[#This Row],[Annual Salary]]+TBL_Employees[[#This Row],[Bonus %]]*TBL_Employees[[#This Row],[Annual Salary]]</f>
        <v>316000.08</v>
      </c>
      <c r="P693" t="str">
        <f>IF(AND(TBL_Employees[[#This Row],[Department]]="IT",TBL_Employees[[#This Row],[Gender]]="Female"),"Yes","No")</f>
        <v>No</v>
      </c>
      <c r="Q693" t="str">
        <f>IF(AND(TBL_Employees[[#This Row],[Gender]]="Female",TBL_Employees[[#This Row],[Ethnicity]]="Black"), "Female_Black", "Others")</f>
        <v>Others</v>
      </c>
    </row>
    <row r="694" spans="1:17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7">
        <v>37519</v>
      </c>
      <c r="J694" s="1">
        <v>49738</v>
      </c>
      <c r="K694" s="2">
        <v>0</v>
      </c>
      <c r="L694" t="s">
        <v>33</v>
      </c>
      <c r="M694" t="s">
        <v>60</v>
      </c>
      <c r="N694" s="7" t="s">
        <v>21</v>
      </c>
      <c r="O694" s="1">
        <f>TBL_Employees[[#This Row],[Annual Salary]]+TBL_Employees[[#This Row],[Bonus %]]*TBL_Employees[[#This Row],[Annual Salary]]</f>
        <v>49738</v>
      </c>
      <c r="P694" t="str">
        <f>IF(AND(TBL_Employees[[#This Row],[Department]]="IT",TBL_Employees[[#This Row],[Gender]]="Female"),"Yes","No")</f>
        <v>No</v>
      </c>
      <c r="Q694" t="str">
        <f>IF(AND(TBL_Employees[[#This Row],[Gender]]="Female",TBL_Employees[[#This Row],[Ethnicity]]="Black"), "Female_Black", "Others")</f>
        <v>Others</v>
      </c>
    </row>
    <row r="695" spans="1:17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7">
        <v>43247</v>
      </c>
      <c r="J695" s="1">
        <v>45049</v>
      </c>
      <c r="K695" s="2">
        <v>0</v>
      </c>
      <c r="L695" t="s">
        <v>19</v>
      </c>
      <c r="M695" t="s">
        <v>63</v>
      </c>
      <c r="N695" s="7" t="s">
        <v>21</v>
      </c>
      <c r="O695" s="1">
        <f>TBL_Employees[[#This Row],[Annual Salary]]+TBL_Employees[[#This Row],[Bonus %]]*TBL_Employees[[#This Row],[Annual Salary]]</f>
        <v>45049</v>
      </c>
      <c r="P695" t="str">
        <f>IF(AND(TBL_Employees[[#This Row],[Department]]="IT",TBL_Employees[[#This Row],[Gender]]="Female"),"Yes","No")</f>
        <v>No</v>
      </c>
      <c r="Q695" t="str">
        <f>IF(AND(TBL_Employees[[#This Row],[Gender]]="Female",TBL_Employees[[#This Row],[Ethnicity]]="Black"), "Female_Black", "Others")</f>
        <v>Others</v>
      </c>
    </row>
    <row r="696" spans="1:17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7">
        <v>43977</v>
      </c>
      <c r="J696" s="1">
        <v>153628</v>
      </c>
      <c r="K696" s="2">
        <v>0.28999999999999998</v>
      </c>
      <c r="L696" t="s">
        <v>33</v>
      </c>
      <c r="M696" t="s">
        <v>80</v>
      </c>
      <c r="N696" s="7">
        <v>44177</v>
      </c>
      <c r="O696" s="1">
        <f>TBL_Employees[[#This Row],[Annual Salary]]+TBL_Employees[[#This Row],[Bonus %]]*TBL_Employees[[#This Row],[Annual Salary]]</f>
        <v>198180.12</v>
      </c>
      <c r="P696" t="str">
        <f>IF(AND(TBL_Employees[[#This Row],[Department]]="IT",TBL_Employees[[#This Row],[Gender]]="Female"),"Yes","No")</f>
        <v>No</v>
      </c>
      <c r="Q696" t="str">
        <f>IF(AND(TBL_Employees[[#This Row],[Gender]]="Female",TBL_Employees[[#This Row],[Ethnicity]]="Black"), "Female_Black", "Others")</f>
        <v>Others</v>
      </c>
    </row>
    <row r="697" spans="1:17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7">
        <v>44362</v>
      </c>
      <c r="J697" s="1">
        <v>142731</v>
      </c>
      <c r="K697" s="2">
        <v>0.11</v>
      </c>
      <c r="L697" t="s">
        <v>33</v>
      </c>
      <c r="M697" t="s">
        <v>74</v>
      </c>
      <c r="N697" s="7">
        <v>44715</v>
      </c>
      <c r="O697" s="1">
        <f>TBL_Employees[[#This Row],[Annual Salary]]+TBL_Employees[[#This Row],[Bonus %]]*TBL_Employees[[#This Row],[Annual Salary]]</f>
        <v>158431.41</v>
      </c>
      <c r="P697" t="str">
        <f>IF(AND(TBL_Employees[[#This Row],[Department]]="IT",TBL_Employees[[#This Row],[Gender]]="Female"),"Yes","No")</f>
        <v>No</v>
      </c>
      <c r="Q697" t="str">
        <f>IF(AND(TBL_Employees[[#This Row],[Gender]]="Female",TBL_Employees[[#This Row],[Ethnicity]]="Black"), "Female_Black", "Others")</f>
        <v>Others</v>
      </c>
    </row>
    <row r="698" spans="1:17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7">
        <v>43966</v>
      </c>
      <c r="J698" s="1">
        <v>137106</v>
      </c>
      <c r="K698" s="2">
        <v>0.12</v>
      </c>
      <c r="L698" t="s">
        <v>52</v>
      </c>
      <c r="M698" t="s">
        <v>53</v>
      </c>
      <c r="N698" s="7" t="s">
        <v>21</v>
      </c>
      <c r="O698" s="1">
        <f>TBL_Employees[[#This Row],[Annual Salary]]+TBL_Employees[[#This Row],[Bonus %]]*TBL_Employees[[#This Row],[Annual Salary]]</f>
        <v>153558.72</v>
      </c>
      <c r="P698" t="str">
        <f>IF(AND(TBL_Employees[[#This Row],[Department]]="IT",TBL_Employees[[#This Row],[Gender]]="Female"),"Yes","No")</f>
        <v>No</v>
      </c>
      <c r="Q698" t="str">
        <f>IF(AND(TBL_Employees[[#This Row],[Gender]]="Female",TBL_Employees[[#This Row],[Ethnicity]]="Black"), "Female_Black", "Others")</f>
        <v>Others</v>
      </c>
    </row>
    <row r="699" spans="1:17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7">
        <v>39330</v>
      </c>
      <c r="J699" s="1">
        <v>183239</v>
      </c>
      <c r="K699" s="2">
        <v>0.32</v>
      </c>
      <c r="L699" t="s">
        <v>19</v>
      </c>
      <c r="M699" t="s">
        <v>63</v>
      </c>
      <c r="N699" s="7" t="s">
        <v>21</v>
      </c>
      <c r="O699" s="1">
        <f>TBL_Employees[[#This Row],[Annual Salary]]+TBL_Employees[[#This Row],[Bonus %]]*TBL_Employees[[#This Row],[Annual Salary]]</f>
        <v>241875.48</v>
      </c>
      <c r="P699" t="str">
        <f>IF(AND(TBL_Employees[[#This Row],[Department]]="IT",TBL_Employees[[#This Row],[Gender]]="Female"),"Yes","No")</f>
        <v>No</v>
      </c>
      <c r="Q699" t="str">
        <f>IF(AND(TBL_Employees[[#This Row],[Gender]]="Female",TBL_Employees[[#This Row],[Ethnicity]]="Black"), "Female_Black", "Others")</f>
        <v>Others</v>
      </c>
    </row>
    <row r="700" spans="1:17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7">
        <v>43610</v>
      </c>
      <c r="J700" s="1">
        <v>45819</v>
      </c>
      <c r="K700" s="2">
        <v>0</v>
      </c>
      <c r="L700" t="s">
        <v>19</v>
      </c>
      <c r="M700" t="s">
        <v>45</v>
      </c>
      <c r="N700" s="7" t="s">
        <v>21</v>
      </c>
      <c r="O700" s="1">
        <f>TBL_Employees[[#This Row],[Annual Salary]]+TBL_Employees[[#This Row],[Bonus %]]*TBL_Employees[[#This Row],[Annual Salary]]</f>
        <v>45819</v>
      </c>
      <c r="P700" t="str">
        <f>IF(AND(TBL_Employees[[#This Row],[Department]]="IT",TBL_Employees[[#This Row],[Gender]]="Female"),"Yes","No")</f>
        <v>No</v>
      </c>
      <c r="Q700" t="str">
        <f>IF(AND(TBL_Employees[[#This Row],[Gender]]="Female",TBL_Employees[[#This Row],[Ethnicity]]="Black"), "Female_Black", "Others")</f>
        <v>Others</v>
      </c>
    </row>
    <row r="701" spans="1:17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7">
        <v>39080</v>
      </c>
      <c r="J701" s="1">
        <v>55518</v>
      </c>
      <c r="K701" s="2">
        <v>0</v>
      </c>
      <c r="L701" t="s">
        <v>19</v>
      </c>
      <c r="M701" t="s">
        <v>29</v>
      </c>
      <c r="N701" s="7" t="s">
        <v>21</v>
      </c>
      <c r="O701" s="1">
        <f>TBL_Employees[[#This Row],[Annual Salary]]+TBL_Employees[[#This Row],[Bonus %]]*TBL_Employees[[#This Row],[Annual Salary]]</f>
        <v>55518</v>
      </c>
      <c r="P701" t="str">
        <f>IF(AND(TBL_Employees[[#This Row],[Department]]="IT",TBL_Employees[[#This Row],[Gender]]="Female"),"Yes","No")</f>
        <v>No</v>
      </c>
      <c r="Q701" t="str">
        <f>IF(AND(TBL_Employees[[#This Row],[Gender]]="Female",TBL_Employees[[#This Row],[Ethnicity]]="Black"), "Female_Black", "Others")</f>
        <v>Others</v>
      </c>
    </row>
    <row r="702" spans="1:17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7">
        <v>40979</v>
      </c>
      <c r="J702" s="1">
        <v>108134</v>
      </c>
      <c r="K702" s="2">
        <v>0.1</v>
      </c>
      <c r="L702" t="s">
        <v>33</v>
      </c>
      <c r="M702" t="s">
        <v>74</v>
      </c>
      <c r="N702" s="7" t="s">
        <v>21</v>
      </c>
      <c r="O702" s="1">
        <f>TBL_Employees[[#This Row],[Annual Salary]]+TBL_Employees[[#This Row],[Bonus %]]*TBL_Employees[[#This Row],[Annual Salary]]</f>
        <v>118947.4</v>
      </c>
      <c r="P702" t="str">
        <f>IF(AND(TBL_Employees[[#This Row],[Department]]="IT",TBL_Employees[[#This Row],[Gender]]="Female"),"Yes","No")</f>
        <v>No</v>
      </c>
      <c r="Q702" t="str">
        <f>IF(AND(TBL_Employees[[#This Row],[Gender]]="Female",TBL_Employees[[#This Row],[Ethnicity]]="Black"), "Female_Black", "Others")</f>
        <v>Others</v>
      </c>
    </row>
    <row r="703" spans="1:17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7">
        <v>33958</v>
      </c>
      <c r="J703" s="1">
        <v>113950</v>
      </c>
      <c r="K703" s="2">
        <v>0.09</v>
      </c>
      <c r="L703" t="s">
        <v>19</v>
      </c>
      <c r="M703" t="s">
        <v>45</v>
      </c>
      <c r="N703" s="7" t="s">
        <v>21</v>
      </c>
      <c r="O703" s="1">
        <f>TBL_Employees[[#This Row],[Annual Salary]]+TBL_Employees[[#This Row],[Bonus %]]*TBL_Employees[[#This Row],[Annual Salary]]</f>
        <v>124205.5</v>
      </c>
      <c r="P703" t="str">
        <f>IF(AND(TBL_Employees[[#This Row],[Department]]="IT",TBL_Employees[[#This Row],[Gender]]="Female"),"Yes","No")</f>
        <v>No</v>
      </c>
      <c r="Q703" t="str">
        <f>IF(AND(TBL_Employees[[#This Row],[Gender]]="Female",TBL_Employees[[#This Row],[Ethnicity]]="Black"), "Female_Black", "Others")</f>
        <v>Female_Black</v>
      </c>
    </row>
    <row r="704" spans="1:17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7">
        <v>35886</v>
      </c>
      <c r="J704" s="1">
        <v>182035</v>
      </c>
      <c r="K704" s="2">
        <v>0.3</v>
      </c>
      <c r="L704" t="s">
        <v>19</v>
      </c>
      <c r="M704" t="s">
        <v>20</v>
      </c>
      <c r="N704" s="7" t="s">
        <v>21</v>
      </c>
      <c r="O704" s="1">
        <f>TBL_Employees[[#This Row],[Annual Salary]]+TBL_Employees[[#This Row],[Bonus %]]*TBL_Employees[[#This Row],[Annual Salary]]</f>
        <v>236645.5</v>
      </c>
      <c r="P704" t="str">
        <f>IF(AND(TBL_Employees[[#This Row],[Department]]="IT",TBL_Employees[[#This Row],[Gender]]="Female"),"Yes","No")</f>
        <v>No</v>
      </c>
      <c r="Q704" t="str">
        <f>IF(AND(TBL_Employees[[#This Row],[Gender]]="Female",TBL_Employees[[#This Row],[Ethnicity]]="Black"), "Female_Black", "Others")</f>
        <v>Others</v>
      </c>
    </row>
    <row r="705" spans="1:17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7">
        <v>42963</v>
      </c>
      <c r="J705" s="1">
        <v>181356</v>
      </c>
      <c r="K705" s="2">
        <v>0.23</v>
      </c>
      <c r="L705" t="s">
        <v>33</v>
      </c>
      <c r="M705" t="s">
        <v>60</v>
      </c>
      <c r="N705" s="7" t="s">
        <v>21</v>
      </c>
      <c r="O705" s="1">
        <f>TBL_Employees[[#This Row],[Annual Salary]]+TBL_Employees[[#This Row],[Bonus %]]*TBL_Employees[[#This Row],[Annual Salary]]</f>
        <v>223067.88</v>
      </c>
      <c r="P705" t="str">
        <f>IF(AND(TBL_Employees[[#This Row],[Department]]="IT",TBL_Employees[[#This Row],[Gender]]="Female"),"Yes","No")</f>
        <v>No</v>
      </c>
      <c r="Q705" t="str">
        <f>IF(AND(TBL_Employees[[#This Row],[Gender]]="Female",TBL_Employees[[#This Row],[Ethnicity]]="Black"), "Female_Black", "Others")</f>
        <v>Others</v>
      </c>
    </row>
    <row r="706" spans="1:17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7">
        <v>43698</v>
      </c>
      <c r="J706" s="1">
        <v>66084</v>
      </c>
      <c r="K706" s="2">
        <v>0</v>
      </c>
      <c r="L706" t="s">
        <v>19</v>
      </c>
      <c r="M706" t="s">
        <v>63</v>
      </c>
      <c r="N706" s="7" t="s">
        <v>21</v>
      </c>
      <c r="O706" s="1">
        <f>TBL_Employees[[#This Row],[Annual Salary]]+TBL_Employees[[#This Row],[Bonus %]]*TBL_Employees[[#This Row],[Annual Salary]]</f>
        <v>66084</v>
      </c>
      <c r="P706" t="str">
        <f>IF(AND(TBL_Employees[[#This Row],[Department]]="IT",TBL_Employees[[#This Row],[Gender]]="Female"),"Yes","No")</f>
        <v>No</v>
      </c>
      <c r="Q706" t="str">
        <f>IF(AND(TBL_Employees[[#This Row],[Gender]]="Female",TBL_Employees[[#This Row],[Ethnicity]]="Black"), "Female_Black", "Others")</f>
        <v>Female_Black</v>
      </c>
    </row>
    <row r="707" spans="1:17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7">
        <v>40290</v>
      </c>
      <c r="J707" s="1">
        <v>76912</v>
      </c>
      <c r="K707" s="2">
        <v>0</v>
      </c>
      <c r="L707" t="s">
        <v>52</v>
      </c>
      <c r="M707" t="s">
        <v>53</v>
      </c>
      <c r="N707" s="7" t="s">
        <v>21</v>
      </c>
      <c r="O707" s="1">
        <f>TBL_Employees[[#This Row],[Annual Salary]]+TBL_Employees[[#This Row],[Bonus %]]*TBL_Employees[[#This Row],[Annual Salary]]</f>
        <v>76912</v>
      </c>
      <c r="P707" t="str">
        <f>IF(AND(TBL_Employees[[#This Row],[Department]]="IT",TBL_Employees[[#This Row],[Gender]]="Female"),"Yes","No")</f>
        <v>Yes</v>
      </c>
      <c r="Q707" t="str">
        <f>IF(AND(TBL_Employees[[#This Row],[Gender]]="Female",TBL_Employees[[#This Row],[Ethnicity]]="Black"), "Female_Black", "Others")</f>
        <v>Others</v>
      </c>
    </row>
    <row r="708" spans="1:17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7">
        <v>43227</v>
      </c>
      <c r="J708" s="1">
        <v>67987</v>
      </c>
      <c r="K708" s="2">
        <v>0</v>
      </c>
      <c r="L708" t="s">
        <v>19</v>
      </c>
      <c r="M708" t="s">
        <v>45</v>
      </c>
      <c r="N708" s="7" t="s">
        <v>21</v>
      </c>
      <c r="O708" s="1">
        <f>TBL_Employees[[#This Row],[Annual Salary]]+TBL_Employees[[#This Row],[Bonus %]]*TBL_Employees[[#This Row],[Annual Salary]]</f>
        <v>67987</v>
      </c>
      <c r="P708" t="str">
        <f>IF(AND(TBL_Employees[[#This Row],[Department]]="IT",TBL_Employees[[#This Row],[Gender]]="Female"),"Yes","No")</f>
        <v>No</v>
      </c>
      <c r="Q708" t="str">
        <f>IF(AND(TBL_Employees[[#This Row],[Gender]]="Female",TBL_Employees[[#This Row],[Ethnicity]]="Black"), "Female_Black", "Others")</f>
        <v>Others</v>
      </c>
    </row>
    <row r="709" spans="1:17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7">
        <v>38584</v>
      </c>
      <c r="J709" s="1">
        <v>59833</v>
      </c>
      <c r="K709" s="2">
        <v>0</v>
      </c>
      <c r="L709" t="s">
        <v>19</v>
      </c>
      <c r="M709" t="s">
        <v>29</v>
      </c>
      <c r="N709" s="7" t="s">
        <v>21</v>
      </c>
      <c r="O709" s="1">
        <f>TBL_Employees[[#This Row],[Annual Salary]]+TBL_Employees[[#This Row],[Bonus %]]*TBL_Employees[[#This Row],[Annual Salary]]</f>
        <v>59833</v>
      </c>
      <c r="P709" t="str">
        <f>IF(AND(TBL_Employees[[#This Row],[Department]]="IT",TBL_Employees[[#This Row],[Gender]]="Female"),"Yes","No")</f>
        <v>No</v>
      </c>
      <c r="Q709" t="str">
        <f>IF(AND(TBL_Employees[[#This Row],[Gender]]="Female",TBL_Employees[[#This Row],[Ethnicity]]="Black"), "Female_Black", "Others")</f>
        <v>Others</v>
      </c>
    </row>
    <row r="710" spans="1:17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7">
        <v>38453</v>
      </c>
      <c r="J710" s="1">
        <v>128468</v>
      </c>
      <c r="K710" s="2">
        <v>0.11</v>
      </c>
      <c r="L710" t="s">
        <v>19</v>
      </c>
      <c r="M710" t="s">
        <v>20</v>
      </c>
      <c r="N710" s="7" t="s">
        <v>21</v>
      </c>
      <c r="O710" s="1">
        <f>TBL_Employees[[#This Row],[Annual Salary]]+TBL_Employees[[#This Row],[Bonus %]]*TBL_Employees[[#This Row],[Annual Salary]]</f>
        <v>142599.48000000001</v>
      </c>
      <c r="P710" t="str">
        <f>IF(AND(TBL_Employees[[#This Row],[Department]]="IT",TBL_Employees[[#This Row],[Gender]]="Female"),"Yes","No")</f>
        <v>No</v>
      </c>
      <c r="Q710" t="str">
        <f>IF(AND(TBL_Employees[[#This Row],[Gender]]="Female",TBL_Employees[[#This Row],[Ethnicity]]="Black"), "Female_Black", "Others")</f>
        <v>Others</v>
      </c>
    </row>
    <row r="711" spans="1:17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7">
        <v>40692</v>
      </c>
      <c r="J711" s="1">
        <v>102440</v>
      </c>
      <c r="K711" s="2">
        <v>0.06</v>
      </c>
      <c r="L711" t="s">
        <v>19</v>
      </c>
      <c r="M711" t="s">
        <v>20</v>
      </c>
      <c r="N711" s="7" t="s">
        <v>21</v>
      </c>
      <c r="O711" s="1">
        <f>TBL_Employees[[#This Row],[Annual Salary]]+TBL_Employees[[#This Row],[Bonus %]]*TBL_Employees[[#This Row],[Annual Salary]]</f>
        <v>108586.4</v>
      </c>
      <c r="P711" t="str">
        <f>IF(AND(TBL_Employees[[#This Row],[Department]]="IT",TBL_Employees[[#This Row],[Gender]]="Female"),"Yes","No")</f>
        <v>No</v>
      </c>
      <c r="Q711" t="str">
        <f>IF(AND(TBL_Employees[[#This Row],[Gender]]="Female",TBL_Employees[[#This Row],[Ethnicity]]="Black"), "Female_Black", "Others")</f>
        <v>Others</v>
      </c>
    </row>
    <row r="712" spans="1:17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7">
        <v>40542</v>
      </c>
      <c r="J712" s="1">
        <v>246619</v>
      </c>
      <c r="K712" s="2">
        <v>0.36</v>
      </c>
      <c r="L712" t="s">
        <v>19</v>
      </c>
      <c r="M712" t="s">
        <v>45</v>
      </c>
      <c r="N712" s="7" t="s">
        <v>21</v>
      </c>
      <c r="O712" s="1">
        <f>TBL_Employees[[#This Row],[Annual Salary]]+TBL_Employees[[#This Row],[Bonus %]]*TBL_Employees[[#This Row],[Annual Salary]]</f>
        <v>335401.83999999997</v>
      </c>
      <c r="P712" t="str">
        <f>IF(AND(TBL_Employees[[#This Row],[Department]]="IT",TBL_Employees[[#This Row],[Gender]]="Female"),"Yes","No")</f>
        <v>No</v>
      </c>
      <c r="Q712" t="str">
        <f>IF(AND(TBL_Employees[[#This Row],[Gender]]="Female",TBL_Employees[[#This Row],[Ethnicity]]="Black"), "Female_Black", "Others")</f>
        <v>Others</v>
      </c>
    </row>
    <row r="713" spans="1:17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7">
        <v>43058</v>
      </c>
      <c r="J713" s="1">
        <v>101143</v>
      </c>
      <c r="K713" s="2">
        <v>0.06</v>
      </c>
      <c r="L713" t="s">
        <v>19</v>
      </c>
      <c r="M713" t="s">
        <v>45</v>
      </c>
      <c r="N713" s="7" t="s">
        <v>21</v>
      </c>
      <c r="O713" s="1">
        <f>TBL_Employees[[#This Row],[Annual Salary]]+TBL_Employees[[#This Row],[Bonus %]]*TBL_Employees[[#This Row],[Annual Salary]]</f>
        <v>107211.58</v>
      </c>
      <c r="P713" t="str">
        <f>IF(AND(TBL_Employees[[#This Row],[Department]]="IT",TBL_Employees[[#This Row],[Gender]]="Female"),"Yes","No")</f>
        <v>No</v>
      </c>
      <c r="Q713" t="str">
        <f>IF(AND(TBL_Employees[[#This Row],[Gender]]="Female",TBL_Employees[[#This Row],[Ethnicity]]="Black"), "Female_Black", "Others")</f>
        <v>Others</v>
      </c>
    </row>
    <row r="714" spans="1:17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7">
        <v>38639</v>
      </c>
      <c r="J714" s="1">
        <v>51404</v>
      </c>
      <c r="K714" s="2">
        <v>0</v>
      </c>
      <c r="L714" t="s">
        <v>52</v>
      </c>
      <c r="M714" t="s">
        <v>81</v>
      </c>
      <c r="N714" s="7">
        <v>40153</v>
      </c>
      <c r="O714" s="1">
        <f>TBL_Employees[[#This Row],[Annual Salary]]+TBL_Employees[[#This Row],[Bonus %]]*TBL_Employees[[#This Row],[Annual Salary]]</f>
        <v>51404</v>
      </c>
      <c r="P714" t="str">
        <f>IF(AND(TBL_Employees[[#This Row],[Department]]="IT",TBL_Employees[[#This Row],[Gender]]="Female"),"Yes","No")</f>
        <v>No</v>
      </c>
      <c r="Q714" t="str">
        <f>IF(AND(TBL_Employees[[#This Row],[Gender]]="Female",TBL_Employees[[#This Row],[Ethnicity]]="Black"), "Female_Black", "Others")</f>
        <v>Others</v>
      </c>
    </row>
    <row r="715" spans="1:17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7">
        <v>42329</v>
      </c>
      <c r="J715" s="1">
        <v>87292</v>
      </c>
      <c r="K715" s="2">
        <v>0</v>
      </c>
      <c r="L715" t="s">
        <v>19</v>
      </c>
      <c r="M715" t="s">
        <v>29</v>
      </c>
      <c r="N715" s="7" t="s">
        <v>21</v>
      </c>
      <c r="O715" s="1">
        <f>TBL_Employees[[#This Row],[Annual Salary]]+TBL_Employees[[#This Row],[Bonus %]]*TBL_Employees[[#This Row],[Annual Salary]]</f>
        <v>87292</v>
      </c>
      <c r="P715" t="str">
        <f>IF(AND(TBL_Employees[[#This Row],[Department]]="IT",TBL_Employees[[#This Row],[Gender]]="Female"),"Yes","No")</f>
        <v>No</v>
      </c>
      <c r="Q715" t="str">
        <f>IF(AND(TBL_Employees[[#This Row],[Gender]]="Female",TBL_Employees[[#This Row],[Ethnicity]]="Black"), "Female_Black", "Others")</f>
        <v>Others</v>
      </c>
    </row>
    <row r="716" spans="1:17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7">
        <v>43810</v>
      </c>
      <c r="J716" s="1">
        <v>182321</v>
      </c>
      <c r="K716" s="2">
        <v>0.28000000000000003</v>
      </c>
      <c r="L716" t="s">
        <v>33</v>
      </c>
      <c r="M716" t="s">
        <v>60</v>
      </c>
      <c r="N716" s="7" t="s">
        <v>21</v>
      </c>
      <c r="O716" s="1">
        <f>TBL_Employees[[#This Row],[Annual Salary]]+TBL_Employees[[#This Row],[Bonus %]]*TBL_Employees[[#This Row],[Annual Salary]]</f>
        <v>233370.88</v>
      </c>
      <c r="P716" t="str">
        <f>IF(AND(TBL_Employees[[#This Row],[Department]]="IT",TBL_Employees[[#This Row],[Gender]]="Female"),"Yes","No")</f>
        <v>No</v>
      </c>
      <c r="Q716" t="str">
        <f>IF(AND(TBL_Employees[[#This Row],[Gender]]="Female",TBL_Employees[[#This Row],[Ethnicity]]="Black"), "Female_Black", "Others")</f>
        <v>Others</v>
      </c>
    </row>
    <row r="717" spans="1:17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7">
        <v>41697</v>
      </c>
      <c r="J717" s="1">
        <v>53929</v>
      </c>
      <c r="K717" s="2">
        <v>0</v>
      </c>
      <c r="L717" t="s">
        <v>19</v>
      </c>
      <c r="M717" t="s">
        <v>45</v>
      </c>
      <c r="N717" s="7">
        <v>43091</v>
      </c>
      <c r="O717" s="1">
        <f>TBL_Employees[[#This Row],[Annual Salary]]+TBL_Employees[[#This Row],[Bonus %]]*TBL_Employees[[#This Row],[Annual Salary]]</f>
        <v>53929</v>
      </c>
      <c r="P717" t="str">
        <f>IF(AND(TBL_Employees[[#This Row],[Department]]="IT",TBL_Employees[[#This Row],[Gender]]="Female"),"Yes","No")</f>
        <v>No</v>
      </c>
      <c r="Q717" t="str">
        <f>IF(AND(TBL_Employees[[#This Row],[Gender]]="Female",TBL_Employees[[#This Row],[Ethnicity]]="Black"), "Female_Black", "Others")</f>
        <v>Others</v>
      </c>
    </row>
    <row r="718" spans="1:17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7">
        <v>41256</v>
      </c>
      <c r="J718" s="1">
        <v>191571</v>
      </c>
      <c r="K718" s="2">
        <v>0.32</v>
      </c>
      <c r="L718" t="s">
        <v>19</v>
      </c>
      <c r="M718" t="s">
        <v>25</v>
      </c>
      <c r="N718" s="7" t="s">
        <v>21</v>
      </c>
      <c r="O718" s="1">
        <f>TBL_Employees[[#This Row],[Annual Salary]]+TBL_Employees[[#This Row],[Bonus %]]*TBL_Employees[[#This Row],[Annual Salary]]</f>
        <v>252873.72</v>
      </c>
      <c r="P718" t="str">
        <f>IF(AND(TBL_Employees[[#This Row],[Department]]="IT",TBL_Employees[[#This Row],[Gender]]="Female"),"Yes","No")</f>
        <v>No</v>
      </c>
      <c r="Q718" t="str">
        <f>IF(AND(TBL_Employees[[#This Row],[Gender]]="Female",TBL_Employees[[#This Row],[Ethnicity]]="Black"), "Female_Black", "Others")</f>
        <v>Others</v>
      </c>
    </row>
    <row r="719" spans="1:17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7">
        <v>39843</v>
      </c>
      <c r="J719" s="1">
        <v>150555</v>
      </c>
      <c r="K719" s="2">
        <v>0.13</v>
      </c>
      <c r="L719" t="s">
        <v>19</v>
      </c>
      <c r="M719" t="s">
        <v>39</v>
      </c>
      <c r="N719" s="7" t="s">
        <v>21</v>
      </c>
      <c r="O719" s="1">
        <f>TBL_Employees[[#This Row],[Annual Salary]]+TBL_Employees[[#This Row],[Bonus %]]*TBL_Employees[[#This Row],[Annual Salary]]</f>
        <v>170127.15</v>
      </c>
      <c r="P719" t="str">
        <f>IF(AND(TBL_Employees[[#This Row],[Department]]="IT",TBL_Employees[[#This Row],[Gender]]="Female"),"Yes","No")</f>
        <v>No</v>
      </c>
      <c r="Q719" t="str">
        <f>IF(AND(TBL_Employees[[#This Row],[Gender]]="Female",TBL_Employees[[#This Row],[Ethnicity]]="Black"), "Female_Black", "Others")</f>
        <v>Others</v>
      </c>
    </row>
    <row r="720" spans="1:17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40091</v>
      </c>
      <c r="J720" s="1">
        <v>122890</v>
      </c>
      <c r="K720" s="2">
        <v>7.0000000000000007E-2</v>
      </c>
      <c r="L720" t="s">
        <v>33</v>
      </c>
      <c r="M720" t="s">
        <v>74</v>
      </c>
      <c r="N720" s="7" t="s">
        <v>21</v>
      </c>
      <c r="O720" s="1">
        <f>TBL_Employees[[#This Row],[Annual Salary]]+TBL_Employees[[#This Row],[Bonus %]]*TBL_Employees[[#This Row],[Annual Salary]]</f>
        <v>131492.29999999999</v>
      </c>
      <c r="P720" t="str">
        <f>IF(AND(TBL_Employees[[#This Row],[Department]]="IT",TBL_Employees[[#This Row],[Gender]]="Female"),"Yes","No")</f>
        <v>No</v>
      </c>
      <c r="Q720" t="str">
        <f>IF(AND(TBL_Employees[[#This Row],[Gender]]="Female",TBL_Employees[[#This Row],[Ethnicity]]="Black"), "Female_Black", "Others")</f>
        <v>Others</v>
      </c>
    </row>
    <row r="721" spans="1:17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7">
        <v>35576</v>
      </c>
      <c r="J721" s="1">
        <v>216999</v>
      </c>
      <c r="K721" s="2">
        <v>0.37</v>
      </c>
      <c r="L721" t="s">
        <v>19</v>
      </c>
      <c r="M721" t="s">
        <v>45</v>
      </c>
      <c r="N721" s="7" t="s">
        <v>21</v>
      </c>
      <c r="O721" s="1">
        <f>TBL_Employees[[#This Row],[Annual Salary]]+TBL_Employees[[#This Row],[Bonus %]]*TBL_Employees[[#This Row],[Annual Salary]]</f>
        <v>297288.63</v>
      </c>
      <c r="P721" t="str">
        <f>IF(AND(TBL_Employees[[#This Row],[Department]]="IT",TBL_Employees[[#This Row],[Gender]]="Female"),"Yes","No")</f>
        <v>No</v>
      </c>
      <c r="Q721" t="str">
        <f>IF(AND(TBL_Employees[[#This Row],[Gender]]="Female",TBL_Employees[[#This Row],[Ethnicity]]="Black"), "Female_Black", "Others")</f>
        <v>Others</v>
      </c>
    </row>
    <row r="722" spans="1:17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7">
        <v>42201</v>
      </c>
      <c r="J722" s="1">
        <v>110565</v>
      </c>
      <c r="K722" s="2">
        <v>0.09</v>
      </c>
      <c r="L722" t="s">
        <v>33</v>
      </c>
      <c r="M722" t="s">
        <v>60</v>
      </c>
      <c r="N722" s="7" t="s">
        <v>21</v>
      </c>
      <c r="O722" s="1">
        <f>TBL_Employees[[#This Row],[Annual Salary]]+TBL_Employees[[#This Row],[Bonus %]]*TBL_Employees[[#This Row],[Annual Salary]]</f>
        <v>120515.85</v>
      </c>
      <c r="P722" t="str">
        <f>IF(AND(TBL_Employees[[#This Row],[Department]]="IT",TBL_Employees[[#This Row],[Gender]]="Female"),"Yes","No")</f>
        <v>No</v>
      </c>
      <c r="Q722" t="str">
        <f>IF(AND(TBL_Employees[[#This Row],[Gender]]="Female",TBL_Employees[[#This Row],[Ethnicity]]="Black"), "Female_Black", "Others")</f>
        <v>Others</v>
      </c>
    </row>
    <row r="723" spans="1:17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7">
        <v>42113</v>
      </c>
      <c r="J723" s="1">
        <v>48762</v>
      </c>
      <c r="K723" s="2">
        <v>0</v>
      </c>
      <c r="L723" t="s">
        <v>19</v>
      </c>
      <c r="M723" t="s">
        <v>63</v>
      </c>
      <c r="N723" s="7" t="s">
        <v>21</v>
      </c>
      <c r="O723" s="1">
        <f>TBL_Employees[[#This Row],[Annual Salary]]+TBL_Employees[[#This Row],[Bonus %]]*TBL_Employees[[#This Row],[Annual Salary]]</f>
        <v>48762</v>
      </c>
      <c r="P723" t="str">
        <f>IF(AND(TBL_Employees[[#This Row],[Department]]="IT",TBL_Employees[[#This Row],[Gender]]="Female"),"Yes","No")</f>
        <v>No</v>
      </c>
      <c r="Q723" t="str">
        <f>IF(AND(TBL_Employees[[#This Row],[Gender]]="Female",TBL_Employees[[#This Row],[Ethnicity]]="Black"), "Female_Black", "Others")</f>
        <v>Others</v>
      </c>
    </row>
    <row r="724" spans="1:17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7">
        <v>42777</v>
      </c>
      <c r="J724" s="1">
        <v>87036</v>
      </c>
      <c r="K724" s="2">
        <v>0</v>
      </c>
      <c r="L724" t="s">
        <v>33</v>
      </c>
      <c r="M724" t="s">
        <v>80</v>
      </c>
      <c r="N724" s="7" t="s">
        <v>21</v>
      </c>
      <c r="O724" s="1">
        <f>TBL_Employees[[#This Row],[Annual Salary]]+TBL_Employees[[#This Row],[Bonus %]]*TBL_Employees[[#This Row],[Annual Salary]]</f>
        <v>87036</v>
      </c>
      <c r="P724" t="str">
        <f>IF(AND(TBL_Employees[[#This Row],[Department]]="IT",TBL_Employees[[#This Row],[Gender]]="Female"),"Yes","No")</f>
        <v>No</v>
      </c>
      <c r="Q724" t="str">
        <f>IF(AND(TBL_Employees[[#This Row],[Gender]]="Female",TBL_Employees[[#This Row],[Ethnicity]]="Black"), "Female_Black", "Others")</f>
        <v>Others</v>
      </c>
    </row>
    <row r="725" spans="1:17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7">
        <v>42702</v>
      </c>
      <c r="J725" s="1">
        <v>177443</v>
      </c>
      <c r="K725" s="2">
        <v>0.16</v>
      </c>
      <c r="L725" t="s">
        <v>19</v>
      </c>
      <c r="M725" t="s">
        <v>63</v>
      </c>
      <c r="N725" s="7" t="s">
        <v>21</v>
      </c>
      <c r="O725" s="1">
        <f>TBL_Employees[[#This Row],[Annual Salary]]+TBL_Employees[[#This Row],[Bonus %]]*TBL_Employees[[#This Row],[Annual Salary]]</f>
        <v>205833.88</v>
      </c>
      <c r="P725" t="str">
        <f>IF(AND(TBL_Employees[[#This Row],[Department]]="IT",TBL_Employees[[#This Row],[Gender]]="Female"),"Yes","No")</f>
        <v>No</v>
      </c>
      <c r="Q725" t="str">
        <f>IF(AND(TBL_Employees[[#This Row],[Gender]]="Female",TBL_Employees[[#This Row],[Ethnicity]]="Black"), "Female_Black", "Others")</f>
        <v>Others</v>
      </c>
    </row>
    <row r="726" spans="1:17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7">
        <v>42489</v>
      </c>
      <c r="J726" s="1">
        <v>75862</v>
      </c>
      <c r="K726" s="2">
        <v>0</v>
      </c>
      <c r="L726" t="s">
        <v>19</v>
      </c>
      <c r="M726" t="s">
        <v>25</v>
      </c>
      <c r="N726" s="7" t="s">
        <v>21</v>
      </c>
      <c r="O726" s="1">
        <f>TBL_Employees[[#This Row],[Annual Salary]]+TBL_Employees[[#This Row],[Bonus %]]*TBL_Employees[[#This Row],[Annual Salary]]</f>
        <v>75862</v>
      </c>
      <c r="P726" t="str">
        <f>IF(AND(TBL_Employees[[#This Row],[Department]]="IT",TBL_Employees[[#This Row],[Gender]]="Female"),"Yes","No")</f>
        <v>Yes</v>
      </c>
      <c r="Q726" t="str">
        <f>IF(AND(TBL_Employees[[#This Row],[Gender]]="Female",TBL_Employees[[#This Row],[Ethnicity]]="Black"), "Female_Black", "Others")</f>
        <v>Others</v>
      </c>
    </row>
    <row r="727" spans="1:17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7">
        <v>43581</v>
      </c>
      <c r="J727" s="1">
        <v>90870</v>
      </c>
      <c r="K727" s="2">
        <v>0</v>
      </c>
      <c r="L727" t="s">
        <v>19</v>
      </c>
      <c r="M727" t="s">
        <v>20</v>
      </c>
      <c r="N727" s="7" t="s">
        <v>21</v>
      </c>
      <c r="O727" s="1">
        <f>TBL_Employees[[#This Row],[Annual Salary]]+TBL_Employees[[#This Row],[Bonus %]]*TBL_Employees[[#This Row],[Annual Salary]]</f>
        <v>90870</v>
      </c>
      <c r="P727" t="str">
        <f>IF(AND(TBL_Employees[[#This Row],[Department]]="IT",TBL_Employees[[#This Row],[Gender]]="Female"),"Yes","No")</f>
        <v>No</v>
      </c>
      <c r="Q727" t="str">
        <f>IF(AND(TBL_Employees[[#This Row],[Gender]]="Female",TBL_Employees[[#This Row],[Ethnicity]]="Black"), "Female_Black", "Others")</f>
        <v>Others</v>
      </c>
    </row>
    <row r="728" spans="1:17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7">
        <v>41977</v>
      </c>
      <c r="J728" s="1">
        <v>99202</v>
      </c>
      <c r="K728" s="2">
        <v>0.11</v>
      </c>
      <c r="L728" t="s">
        <v>19</v>
      </c>
      <c r="M728" t="s">
        <v>39</v>
      </c>
      <c r="N728" s="7" t="s">
        <v>21</v>
      </c>
      <c r="O728" s="1">
        <f>TBL_Employees[[#This Row],[Annual Salary]]+TBL_Employees[[#This Row],[Bonus %]]*TBL_Employees[[#This Row],[Annual Salary]]</f>
        <v>110114.22</v>
      </c>
      <c r="P728" t="str">
        <f>IF(AND(TBL_Employees[[#This Row],[Department]]="IT",TBL_Employees[[#This Row],[Gender]]="Female"),"Yes","No")</f>
        <v>No</v>
      </c>
      <c r="Q728" t="str">
        <f>IF(AND(TBL_Employees[[#This Row],[Gender]]="Female",TBL_Employees[[#This Row],[Ethnicity]]="Black"), "Female_Black", "Others")</f>
        <v>Others</v>
      </c>
    </row>
    <row r="729" spans="1:17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7">
        <v>39347</v>
      </c>
      <c r="J729" s="1">
        <v>92293</v>
      </c>
      <c r="K729" s="2">
        <v>0</v>
      </c>
      <c r="L729" t="s">
        <v>33</v>
      </c>
      <c r="M729" t="s">
        <v>34</v>
      </c>
      <c r="N729" s="7" t="s">
        <v>21</v>
      </c>
      <c r="O729" s="1">
        <f>TBL_Employees[[#This Row],[Annual Salary]]+TBL_Employees[[#This Row],[Bonus %]]*TBL_Employees[[#This Row],[Annual Salary]]</f>
        <v>92293</v>
      </c>
      <c r="P729" t="str">
        <f>IF(AND(TBL_Employees[[#This Row],[Department]]="IT",TBL_Employees[[#This Row],[Gender]]="Female"),"Yes","No")</f>
        <v>No</v>
      </c>
      <c r="Q729" t="str">
        <f>IF(AND(TBL_Employees[[#This Row],[Gender]]="Female",TBL_Employees[[#This Row],[Ethnicity]]="Black"), "Female_Black", "Others")</f>
        <v>Others</v>
      </c>
    </row>
    <row r="730" spans="1:17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7">
        <v>33785</v>
      </c>
      <c r="J730" s="1">
        <v>63196</v>
      </c>
      <c r="K730" s="2">
        <v>0</v>
      </c>
      <c r="L730" t="s">
        <v>19</v>
      </c>
      <c r="M730" t="s">
        <v>20</v>
      </c>
      <c r="N730" s="7">
        <v>41938</v>
      </c>
      <c r="O730" s="1">
        <f>TBL_Employees[[#This Row],[Annual Salary]]+TBL_Employees[[#This Row],[Bonus %]]*TBL_Employees[[#This Row],[Annual Salary]]</f>
        <v>63196</v>
      </c>
      <c r="P730" t="str">
        <f>IF(AND(TBL_Employees[[#This Row],[Department]]="IT",TBL_Employees[[#This Row],[Gender]]="Female"),"Yes","No")</f>
        <v>No</v>
      </c>
      <c r="Q730" t="str">
        <f>IF(AND(TBL_Employees[[#This Row],[Gender]]="Female",TBL_Employees[[#This Row],[Ethnicity]]="Black"), "Female_Black", "Others")</f>
        <v>Others</v>
      </c>
    </row>
    <row r="731" spans="1:17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7">
        <v>41032</v>
      </c>
      <c r="J731" s="1">
        <v>65340</v>
      </c>
      <c r="K731" s="2">
        <v>0</v>
      </c>
      <c r="L731" t="s">
        <v>33</v>
      </c>
      <c r="M731" t="s">
        <v>74</v>
      </c>
      <c r="N731" s="7">
        <v>43229</v>
      </c>
      <c r="O731" s="1">
        <f>TBL_Employees[[#This Row],[Annual Salary]]+TBL_Employees[[#This Row],[Bonus %]]*TBL_Employees[[#This Row],[Annual Salary]]</f>
        <v>65340</v>
      </c>
      <c r="P731" t="str">
        <f>IF(AND(TBL_Employees[[#This Row],[Department]]="IT",TBL_Employees[[#This Row],[Gender]]="Female"),"Yes","No")</f>
        <v>No</v>
      </c>
      <c r="Q731" t="str">
        <f>IF(AND(TBL_Employees[[#This Row],[Gender]]="Female",TBL_Employees[[#This Row],[Ethnicity]]="Black"), "Female_Black", "Others")</f>
        <v>Others</v>
      </c>
    </row>
    <row r="732" spans="1:17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7">
        <v>42271</v>
      </c>
      <c r="J732" s="1">
        <v>202680</v>
      </c>
      <c r="K732" s="2">
        <v>0.32</v>
      </c>
      <c r="L732" t="s">
        <v>19</v>
      </c>
      <c r="M732" t="s">
        <v>39</v>
      </c>
      <c r="N732" s="7">
        <v>44790</v>
      </c>
      <c r="O732" s="1">
        <f>TBL_Employees[[#This Row],[Annual Salary]]+TBL_Employees[[#This Row],[Bonus %]]*TBL_Employees[[#This Row],[Annual Salary]]</f>
        <v>267537.59999999998</v>
      </c>
      <c r="P732" t="str">
        <f>IF(AND(TBL_Employees[[#This Row],[Department]]="IT",TBL_Employees[[#This Row],[Gender]]="Female"),"Yes","No")</f>
        <v>No</v>
      </c>
      <c r="Q732" t="str">
        <f>IF(AND(TBL_Employees[[#This Row],[Gender]]="Female",TBL_Employees[[#This Row],[Ethnicity]]="Black"), "Female_Black", "Others")</f>
        <v>Others</v>
      </c>
    </row>
    <row r="733" spans="1:17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7">
        <v>42849</v>
      </c>
      <c r="J733" s="1">
        <v>77461</v>
      </c>
      <c r="K733" s="2">
        <v>0.09</v>
      </c>
      <c r="L733" t="s">
        <v>52</v>
      </c>
      <c r="M733" t="s">
        <v>53</v>
      </c>
      <c r="N733" s="7" t="s">
        <v>21</v>
      </c>
      <c r="O733" s="1">
        <f>TBL_Employees[[#This Row],[Annual Salary]]+TBL_Employees[[#This Row],[Bonus %]]*TBL_Employees[[#This Row],[Annual Salary]]</f>
        <v>84432.49</v>
      </c>
      <c r="P733" t="str">
        <f>IF(AND(TBL_Employees[[#This Row],[Department]]="IT",TBL_Employees[[#This Row],[Gender]]="Female"),"Yes","No")</f>
        <v>Yes</v>
      </c>
      <c r="Q733" t="str">
        <f>IF(AND(TBL_Employees[[#This Row],[Gender]]="Female",TBL_Employees[[#This Row],[Ethnicity]]="Black"), "Female_Black", "Others")</f>
        <v>Others</v>
      </c>
    </row>
    <row r="734" spans="1:17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7">
        <v>42622</v>
      </c>
      <c r="J734" s="1">
        <v>109680</v>
      </c>
      <c r="K734" s="2">
        <v>0</v>
      </c>
      <c r="L734" t="s">
        <v>33</v>
      </c>
      <c r="M734" t="s">
        <v>34</v>
      </c>
      <c r="N734" s="7" t="s">
        <v>21</v>
      </c>
      <c r="O734" s="1">
        <f>TBL_Employees[[#This Row],[Annual Salary]]+TBL_Employees[[#This Row],[Bonus %]]*TBL_Employees[[#This Row],[Annual Salary]]</f>
        <v>109680</v>
      </c>
      <c r="P734" t="str">
        <f>IF(AND(TBL_Employees[[#This Row],[Department]]="IT",TBL_Employees[[#This Row],[Gender]]="Female"),"Yes","No")</f>
        <v>No</v>
      </c>
      <c r="Q734" t="str">
        <f>IF(AND(TBL_Employees[[#This Row],[Gender]]="Female",TBL_Employees[[#This Row],[Ethnicity]]="Black"), "Female_Black", "Others")</f>
        <v>Others</v>
      </c>
    </row>
    <row r="735" spans="1:17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7">
        <v>35661</v>
      </c>
      <c r="J735" s="1">
        <v>159567</v>
      </c>
      <c r="K735" s="2">
        <v>0.28000000000000003</v>
      </c>
      <c r="L735" t="s">
        <v>19</v>
      </c>
      <c r="M735" t="s">
        <v>39</v>
      </c>
      <c r="N735" s="7" t="s">
        <v>21</v>
      </c>
      <c r="O735" s="1">
        <f>TBL_Employees[[#This Row],[Annual Salary]]+TBL_Employees[[#This Row],[Bonus %]]*TBL_Employees[[#This Row],[Annual Salary]]</f>
        <v>204245.76000000001</v>
      </c>
      <c r="P735" t="str">
        <f>IF(AND(TBL_Employees[[#This Row],[Department]]="IT",TBL_Employees[[#This Row],[Gender]]="Female"),"Yes","No")</f>
        <v>No</v>
      </c>
      <c r="Q735" t="str">
        <f>IF(AND(TBL_Employees[[#This Row],[Gender]]="Female",TBL_Employees[[#This Row],[Ethnicity]]="Black"), "Female_Black", "Others")</f>
        <v>Female_Black</v>
      </c>
    </row>
    <row r="736" spans="1:17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7">
        <v>41237</v>
      </c>
      <c r="J736" s="1">
        <v>94407</v>
      </c>
      <c r="K736" s="2">
        <v>0</v>
      </c>
      <c r="L736" t="s">
        <v>52</v>
      </c>
      <c r="M736" t="s">
        <v>53</v>
      </c>
      <c r="N736" s="7" t="s">
        <v>21</v>
      </c>
      <c r="O736" s="1">
        <f>TBL_Employees[[#This Row],[Annual Salary]]+TBL_Employees[[#This Row],[Bonus %]]*TBL_Employees[[#This Row],[Annual Salary]]</f>
        <v>94407</v>
      </c>
      <c r="P736" t="str">
        <f>IF(AND(TBL_Employees[[#This Row],[Department]]="IT",TBL_Employees[[#This Row],[Gender]]="Female"),"Yes","No")</f>
        <v>No</v>
      </c>
      <c r="Q736" t="str">
        <f>IF(AND(TBL_Employees[[#This Row],[Gender]]="Female",TBL_Employees[[#This Row],[Ethnicity]]="Black"), "Female_Black", "Others")</f>
        <v>Others</v>
      </c>
    </row>
    <row r="737" spans="1:17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7">
        <v>37484</v>
      </c>
      <c r="J737" s="1">
        <v>234594</v>
      </c>
      <c r="K737" s="2">
        <v>0.33</v>
      </c>
      <c r="L737" t="s">
        <v>19</v>
      </c>
      <c r="M737" t="s">
        <v>63</v>
      </c>
      <c r="N737" s="7" t="s">
        <v>21</v>
      </c>
      <c r="O737" s="1">
        <f>TBL_Employees[[#This Row],[Annual Salary]]+TBL_Employees[[#This Row],[Bonus %]]*TBL_Employees[[#This Row],[Annual Salary]]</f>
        <v>312010.02</v>
      </c>
      <c r="P737" t="str">
        <f>IF(AND(TBL_Employees[[#This Row],[Department]]="IT",TBL_Employees[[#This Row],[Gender]]="Female"),"Yes","No")</f>
        <v>No</v>
      </c>
      <c r="Q737" t="str">
        <f>IF(AND(TBL_Employees[[#This Row],[Gender]]="Female",TBL_Employees[[#This Row],[Ethnicity]]="Black"), "Female_Black", "Others")</f>
        <v>Others</v>
      </c>
    </row>
    <row r="738" spans="1:17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7">
        <v>37298</v>
      </c>
      <c r="J738" s="1">
        <v>43080</v>
      </c>
      <c r="K738" s="2">
        <v>0</v>
      </c>
      <c r="L738" t="s">
        <v>19</v>
      </c>
      <c r="M738" t="s">
        <v>25</v>
      </c>
      <c r="N738" s="7" t="s">
        <v>21</v>
      </c>
      <c r="O738" s="1">
        <f>TBL_Employees[[#This Row],[Annual Salary]]+TBL_Employees[[#This Row],[Bonus %]]*TBL_Employees[[#This Row],[Annual Salary]]</f>
        <v>43080</v>
      </c>
      <c r="P738" t="str">
        <f>IF(AND(TBL_Employees[[#This Row],[Department]]="IT",TBL_Employees[[#This Row],[Gender]]="Female"),"Yes","No")</f>
        <v>No</v>
      </c>
      <c r="Q738" t="str">
        <f>IF(AND(TBL_Employees[[#This Row],[Gender]]="Female",TBL_Employees[[#This Row],[Ethnicity]]="Black"), "Female_Black", "Others")</f>
        <v>Others</v>
      </c>
    </row>
    <row r="739" spans="1:17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7">
        <v>44325</v>
      </c>
      <c r="J739" s="1">
        <v>129541</v>
      </c>
      <c r="K739" s="2">
        <v>0.08</v>
      </c>
      <c r="L739" t="s">
        <v>19</v>
      </c>
      <c r="M739" t="s">
        <v>39</v>
      </c>
      <c r="N739" s="7">
        <v>44340</v>
      </c>
      <c r="O739" s="1">
        <f>TBL_Employees[[#This Row],[Annual Salary]]+TBL_Employees[[#This Row],[Bonus %]]*TBL_Employees[[#This Row],[Annual Salary]]</f>
        <v>139904.28</v>
      </c>
      <c r="P739" t="str">
        <f>IF(AND(TBL_Employees[[#This Row],[Department]]="IT",TBL_Employees[[#This Row],[Gender]]="Female"),"Yes","No")</f>
        <v>No</v>
      </c>
      <c r="Q739" t="str">
        <f>IF(AND(TBL_Employees[[#This Row],[Gender]]="Female",TBL_Employees[[#This Row],[Ethnicity]]="Black"), "Female_Black", "Others")</f>
        <v>Others</v>
      </c>
    </row>
    <row r="740" spans="1:17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7">
        <v>41635</v>
      </c>
      <c r="J740" s="1">
        <v>165756</v>
      </c>
      <c r="K740" s="2">
        <v>0.28000000000000003</v>
      </c>
      <c r="L740" t="s">
        <v>19</v>
      </c>
      <c r="M740" t="s">
        <v>29</v>
      </c>
      <c r="N740" s="7">
        <v>43991</v>
      </c>
      <c r="O740" s="1">
        <f>TBL_Employees[[#This Row],[Annual Salary]]+TBL_Employees[[#This Row],[Bonus %]]*TBL_Employees[[#This Row],[Annual Salary]]</f>
        <v>212167.67999999999</v>
      </c>
      <c r="P740" t="str">
        <f>IF(AND(TBL_Employees[[#This Row],[Department]]="IT",TBL_Employees[[#This Row],[Gender]]="Female"),"Yes","No")</f>
        <v>No</v>
      </c>
      <c r="Q740" t="str">
        <f>IF(AND(TBL_Employees[[#This Row],[Gender]]="Female",TBL_Employees[[#This Row],[Ethnicity]]="Black"), "Female_Black", "Others")</f>
        <v>Others</v>
      </c>
    </row>
    <row r="741" spans="1:17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7">
        <v>40274</v>
      </c>
      <c r="J741" s="1">
        <v>142878</v>
      </c>
      <c r="K741" s="2">
        <v>0.12</v>
      </c>
      <c r="L741" t="s">
        <v>19</v>
      </c>
      <c r="M741" t="s">
        <v>29</v>
      </c>
      <c r="N741" s="7" t="s">
        <v>21</v>
      </c>
      <c r="O741" s="1">
        <f>TBL_Employees[[#This Row],[Annual Salary]]+TBL_Employees[[#This Row],[Bonus %]]*TBL_Employees[[#This Row],[Annual Salary]]</f>
        <v>160023.35999999999</v>
      </c>
      <c r="P741" t="str">
        <f>IF(AND(TBL_Employees[[#This Row],[Department]]="IT",TBL_Employees[[#This Row],[Gender]]="Female"),"Yes","No")</f>
        <v>No</v>
      </c>
      <c r="Q741" t="str">
        <f>IF(AND(TBL_Employees[[#This Row],[Gender]]="Female",TBL_Employees[[#This Row],[Ethnicity]]="Black"), "Female_Black", "Others")</f>
        <v>Others</v>
      </c>
    </row>
    <row r="742" spans="1:17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7">
        <v>39018</v>
      </c>
      <c r="J742" s="1">
        <v>187992</v>
      </c>
      <c r="K742" s="2">
        <v>0.28000000000000003</v>
      </c>
      <c r="L742" t="s">
        <v>19</v>
      </c>
      <c r="M742" t="s">
        <v>45</v>
      </c>
      <c r="N742" s="7" t="s">
        <v>21</v>
      </c>
      <c r="O742" s="1">
        <f>TBL_Employees[[#This Row],[Annual Salary]]+TBL_Employees[[#This Row],[Bonus %]]*TBL_Employees[[#This Row],[Annual Salary]]</f>
        <v>240629.76000000001</v>
      </c>
      <c r="P742" t="str">
        <f>IF(AND(TBL_Employees[[#This Row],[Department]]="IT",TBL_Employees[[#This Row],[Gender]]="Female"),"Yes","No")</f>
        <v>No</v>
      </c>
      <c r="Q742" t="str">
        <f>IF(AND(TBL_Employees[[#This Row],[Gender]]="Female",TBL_Employees[[#This Row],[Ethnicity]]="Black"), "Female_Black", "Others")</f>
        <v>Others</v>
      </c>
    </row>
    <row r="743" spans="1:17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7">
        <v>43521</v>
      </c>
      <c r="J743" s="1">
        <v>249801</v>
      </c>
      <c r="K743" s="2">
        <v>0.39</v>
      </c>
      <c r="L743" t="s">
        <v>52</v>
      </c>
      <c r="M743" t="s">
        <v>53</v>
      </c>
      <c r="N743" s="7" t="s">
        <v>21</v>
      </c>
      <c r="O743" s="1">
        <f>TBL_Employees[[#This Row],[Annual Salary]]+TBL_Employees[[#This Row],[Bonus %]]*TBL_Employees[[#This Row],[Annual Salary]]</f>
        <v>347223.39</v>
      </c>
      <c r="P743" t="str">
        <f>IF(AND(TBL_Employees[[#This Row],[Department]]="IT",TBL_Employees[[#This Row],[Gender]]="Female"),"Yes","No")</f>
        <v>No</v>
      </c>
      <c r="Q743" t="str">
        <f>IF(AND(TBL_Employees[[#This Row],[Gender]]="Female",TBL_Employees[[#This Row],[Ethnicity]]="Black"), "Female_Black", "Others")</f>
        <v>Others</v>
      </c>
    </row>
    <row r="744" spans="1:17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7">
        <v>38987</v>
      </c>
      <c r="J744" s="1">
        <v>76505</v>
      </c>
      <c r="K744" s="2">
        <v>0</v>
      </c>
      <c r="L744" t="s">
        <v>19</v>
      </c>
      <c r="M744" t="s">
        <v>63</v>
      </c>
      <c r="N744" s="7">
        <v>39180</v>
      </c>
      <c r="O744" s="1">
        <f>TBL_Employees[[#This Row],[Annual Salary]]+TBL_Employees[[#This Row],[Bonus %]]*TBL_Employees[[#This Row],[Annual Salary]]</f>
        <v>76505</v>
      </c>
      <c r="P744" t="str">
        <f>IF(AND(TBL_Employees[[#This Row],[Department]]="IT",TBL_Employees[[#This Row],[Gender]]="Female"),"Yes","No")</f>
        <v>No</v>
      </c>
      <c r="Q744" t="str">
        <f>IF(AND(TBL_Employees[[#This Row],[Gender]]="Female",TBL_Employees[[#This Row],[Ethnicity]]="Black"), "Female_Black", "Others")</f>
        <v>Others</v>
      </c>
    </row>
    <row r="745" spans="1:17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7">
        <v>42664</v>
      </c>
      <c r="J745" s="1">
        <v>84297</v>
      </c>
      <c r="K745" s="2">
        <v>0</v>
      </c>
      <c r="L745" t="s">
        <v>52</v>
      </c>
      <c r="M745" t="s">
        <v>81</v>
      </c>
      <c r="N745" s="7" t="s">
        <v>21</v>
      </c>
      <c r="O745" s="1">
        <f>TBL_Employees[[#This Row],[Annual Salary]]+TBL_Employees[[#This Row],[Bonus %]]*TBL_Employees[[#This Row],[Annual Salary]]</f>
        <v>84297</v>
      </c>
      <c r="P745" t="str">
        <f>IF(AND(TBL_Employees[[#This Row],[Department]]="IT",TBL_Employees[[#This Row],[Gender]]="Female"),"Yes","No")</f>
        <v>No</v>
      </c>
      <c r="Q745" t="str">
        <f>IF(AND(TBL_Employees[[#This Row],[Gender]]="Female",TBL_Employees[[#This Row],[Ethnicity]]="Black"), "Female_Black", "Others")</f>
        <v>Others</v>
      </c>
    </row>
    <row r="746" spans="1:17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7">
        <v>42744</v>
      </c>
      <c r="J746" s="1">
        <v>75769</v>
      </c>
      <c r="K746" s="2">
        <v>0</v>
      </c>
      <c r="L746" t="s">
        <v>52</v>
      </c>
      <c r="M746" t="s">
        <v>81</v>
      </c>
      <c r="N746" s="7">
        <v>44029</v>
      </c>
      <c r="O746" s="1">
        <f>TBL_Employees[[#This Row],[Annual Salary]]+TBL_Employees[[#This Row],[Bonus %]]*TBL_Employees[[#This Row],[Annual Salary]]</f>
        <v>75769</v>
      </c>
      <c r="P746" t="str">
        <f>IF(AND(TBL_Employees[[#This Row],[Department]]="IT",TBL_Employees[[#This Row],[Gender]]="Female"),"Yes","No")</f>
        <v>No</v>
      </c>
      <c r="Q746" t="str">
        <f>IF(AND(TBL_Employees[[#This Row],[Gender]]="Female",TBL_Employees[[#This Row],[Ethnicity]]="Black"), "Female_Black", "Others")</f>
        <v>Others</v>
      </c>
    </row>
    <row r="747" spans="1:17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7">
        <v>41503</v>
      </c>
      <c r="J747" s="1">
        <v>235619</v>
      </c>
      <c r="K747" s="2">
        <v>0.3</v>
      </c>
      <c r="L747" t="s">
        <v>19</v>
      </c>
      <c r="M747" t="s">
        <v>63</v>
      </c>
      <c r="N747" s="7" t="s">
        <v>21</v>
      </c>
      <c r="O747" s="1">
        <f>TBL_Employees[[#This Row],[Annual Salary]]+TBL_Employees[[#This Row],[Bonus %]]*TBL_Employees[[#This Row],[Annual Salary]]</f>
        <v>306304.7</v>
      </c>
      <c r="P747" t="str">
        <f>IF(AND(TBL_Employees[[#This Row],[Department]]="IT",TBL_Employees[[#This Row],[Gender]]="Female"),"Yes","No")</f>
        <v>No</v>
      </c>
      <c r="Q747" t="str">
        <f>IF(AND(TBL_Employees[[#This Row],[Gender]]="Female",TBL_Employees[[#This Row],[Ethnicity]]="Black"), "Female_Black", "Others")</f>
        <v>Others</v>
      </c>
    </row>
    <row r="748" spans="1:17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7">
        <v>43868</v>
      </c>
      <c r="J748" s="1">
        <v>187187</v>
      </c>
      <c r="K748" s="2">
        <v>0.18</v>
      </c>
      <c r="L748" t="s">
        <v>52</v>
      </c>
      <c r="M748" t="s">
        <v>81</v>
      </c>
      <c r="N748" s="7" t="s">
        <v>21</v>
      </c>
      <c r="O748" s="1">
        <f>TBL_Employees[[#This Row],[Annual Salary]]+TBL_Employees[[#This Row],[Bonus %]]*TBL_Employees[[#This Row],[Annual Salary]]</f>
        <v>220880.66</v>
      </c>
      <c r="P748" t="str">
        <f>IF(AND(TBL_Employees[[#This Row],[Department]]="IT",TBL_Employees[[#This Row],[Gender]]="Female"),"Yes","No")</f>
        <v>No</v>
      </c>
      <c r="Q748" t="str">
        <f>IF(AND(TBL_Employees[[#This Row],[Gender]]="Female",TBL_Employees[[#This Row],[Ethnicity]]="Black"), "Female_Black", "Others")</f>
        <v>Others</v>
      </c>
    </row>
    <row r="749" spans="1:17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7">
        <v>38560</v>
      </c>
      <c r="J749" s="1">
        <v>68987</v>
      </c>
      <c r="K749" s="2">
        <v>0</v>
      </c>
      <c r="L749" t="s">
        <v>19</v>
      </c>
      <c r="M749" t="s">
        <v>20</v>
      </c>
      <c r="N749" s="7">
        <v>38829</v>
      </c>
      <c r="O749" s="1">
        <f>TBL_Employees[[#This Row],[Annual Salary]]+TBL_Employees[[#This Row],[Bonus %]]*TBL_Employees[[#This Row],[Annual Salary]]</f>
        <v>68987</v>
      </c>
      <c r="P749" t="str">
        <f>IF(AND(TBL_Employees[[#This Row],[Department]]="IT",TBL_Employees[[#This Row],[Gender]]="Female"),"Yes","No")</f>
        <v>No</v>
      </c>
      <c r="Q749" t="str">
        <f>IF(AND(TBL_Employees[[#This Row],[Gender]]="Female",TBL_Employees[[#This Row],[Ethnicity]]="Black"), "Female_Black", "Others")</f>
        <v>Others</v>
      </c>
    </row>
    <row r="750" spans="1:17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7">
        <v>39156</v>
      </c>
      <c r="J750" s="1">
        <v>155926</v>
      </c>
      <c r="K750" s="2">
        <v>0.24</v>
      </c>
      <c r="L750" t="s">
        <v>19</v>
      </c>
      <c r="M750" t="s">
        <v>29</v>
      </c>
      <c r="N750" s="7">
        <v>39598</v>
      </c>
      <c r="O750" s="1">
        <f>TBL_Employees[[#This Row],[Annual Salary]]+TBL_Employees[[#This Row],[Bonus %]]*TBL_Employees[[#This Row],[Annual Salary]]</f>
        <v>193348.24</v>
      </c>
      <c r="P750" t="str">
        <f>IF(AND(TBL_Employees[[#This Row],[Department]]="IT",TBL_Employees[[#This Row],[Gender]]="Female"),"Yes","No")</f>
        <v>No</v>
      </c>
      <c r="Q750" t="str">
        <f>IF(AND(TBL_Employees[[#This Row],[Gender]]="Female",TBL_Employees[[#This Row],[Ethnicity]]="Black"), "Female_Black", "Others")</f>
        <v>Others</v>
      </c>
    </row>
    <row r="751" spans="1:17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7">
        <v>42494</v>
      </c>
      <c r="J751" s="1">
        <v>93668</v>
      </c>
      <c r="K751" s="2">
        <v>0</v>
      </c>
      <c r="L751" t="s">
        <v>19</v>
      </c>
      <c r="M751" t="s">
        <v>20</v>
      </c>
      <c r="N751" s="7" t="s">
        <v>21</v>
      </c>
      <c r="O751" s="1">
        <f>TBL_Employees[[#This Row],[Annual Salary]]+TBL_Employees[[#This Row],[Bonus %]]*TBL_Employees[[#This Row],[Annual Salary]]</f>
        <v>93668</v>
      </c>
      <c r="P751" t="str">
        <f>IF(AND(TBL_Employees[[#This Row],[Department]]="IT",TBL_Employees[[#This Row],[Gender]]="Female"),"Yes","No")</f>
        <v>No</v>
      </c>
      <c r="Q751" t="str">
        <f>IF(AND(TBL_Employees[[#This Row],[Gender]]="Female",TBL_Employees[[#This Row],[Ethnicity]]="Black"), "Female_Black", "Others")</f>
        <v>Others</v>
      </c>
    </row>
    <row r="752" spans="1:17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7">
        <v>43798</v>
      </c>
      <c r="J752" s="1">
        <v>69647</v>
      </c>
      <c r="K752" s="2">
        <v>0</v>
      </c>
      <c r="L752" t="s">
        <v>19</v>
      </c>
      <c r="M752" t="s">
        <v>45</v>
      </c>
      <c r="N752" s="7">
        <v>44671</v>
      </c>
      <c r="O752" s="1">
        <f>TBL_Employees[[#This Row],[Annual Salary]]+TBL_Employees[[#This Row],[Bonus %]]*TBL_Employees[[#This Row],[Annual Salary]]</f>
        <v>69647</v>
      </c>
      <c r="P752" t="str">
        <f>IF(AND(TBL_Employees[[#This Row],[Department]]="IT",TBL_Employees[[#This Row],[Gender]]="Female"),"Yes","No")</f>
        <v>No</v>
      </c>
      <c r="Q752" t="str">
        <f>IF(AND(TBL_Employees[[#This Row],[Gender]]="Female",TBL_Employees[[#This Row],[Ethnicity]]="Black"), "Female_Black", "Others")</f>
        <v>Others</v>
      </c>
    </row>
    <row r="753" spans="1:17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7">
        <v>37798</v>
      </c>
      <c r="J753" s="1">
        <v>63318</v>
      </c>
      <c r="K753" s="2">
        <v>0</v>
      </c>
      <c r="L753" t="s">
        <v>19</v>
      </c>
      <c r="M753" t="s">
        <v>29</v>
      </c>
      <c r="N753" s="7" t="s">
        <v>21</v>
      </c>
      <c r="O753" s="1">
        <f>TBL_Employees[[#This Row],[Annual Salary]]+TBL_Employees[[#This Row],[Bonus %]]*TBL_Employees[[#This Row],[Annual Salary]]</f>
        <v>63318</v>
      </c>
      <c r="P753" t="str">
        <f>IF(AND(TBL_Employees[[#This Row],[Department]]="IT",TBL_Employees[[#This Row],[Gender]]="Female"),"Yes","No")</f>
        <v>No</v>
      </c>
      <c r="Q753" t="str">
        <f>IF(AND(TBL_Employees[[#This Row],[Gender]]="Female",TBL_Employees[[#This Row],[Ethnicity]]="Black"), "Female_Black", "Others")</f>
        <v>Others</v>
      </c>
    </row>
    <row r="754" spans="1:17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7">
        <v>42778</v>
      </c>
      <c r="J754" s="1">
        <v>77629</v>
      </c>
      <c r="K754" s="2">
        <v>0</v>
      </c>
      <c r="L754" t="s">
        <v>33</v>
      </c>
      <c r="M754" t="s">
        <v>60</v>
      </c>
      <c r="N754" s="7" t="s">
        <v>21</v>
      </c>
      <c r="O754" s="1">
        <f>TBL_Employees[[#This Row],[Annual Salary]]+TBL_Employees[[#This Row],[Bonus %]]*TBL_Employees[[#This Row],[Annual Salary]]</f>
        <v>77629</v>
      </c>
      <c r="P754" t="str">
        <f>IF(AND(TBL_Employees[[#This Row],[Department]]="IT",TBL_Employees[[#This Row],[Gender]]="Female"),"Yes","No")</f>
        <v>No</v>
      </c>
      <c r="Q754" t="str">
        <f>IF(AND(TBL_Employees[[#This Row],[Gender]]="Female",TBL_Employees[[#This Row],[Ethnicity]]="Black"), "Female_Black", "Others")</f>
        <v>Others</v>
      </c>
    </row>
    <row r="755" spans="1:17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7">
        <v>43061</v>
      </c>
      <c r="J755" s="1">
        <v>138808</v>
      </c>
      <c r="K755" s="2">
        <v>0.15</v>
      </c>
      <c r="L755" t="s">
        <v>33</v>
      </c>
      <c r="M755" t="s">
        <v>80</v>
      </c>
      <c r="N755" s="7" t="s">
        <v>21</v>
      </c>
      <c r="O755" s="1">
        <f>TBL_Employees[[#This Row],[Annual Salary]]+TBL_Employees[[#This Row],[Bonus %]]*TBL_Employees[[#This Row],[Annual Salary]]</f>
        <v>159629.20000000001</v>
      </c>
      <c r="P755" t="str">
        <f>IF(AND(TBL_Employees[[#This Row],[Department]]="IT",TBL_Employees[[#This Row],[Gender]]="Female"),"Yes","No")</f>
        <v>No</v>
      </c>
      <c r="Q755" t="str">
        <f>IF(AND(TBL_Employees[[#This Row],[Gender]]="Female",TBL_Employees[[#This Row],[Ethnicity]]="Black"), "Female_Black", "Others")</f>
        <v>Others</v>
      </c>
    </row>
    <row r="756" spans="1:17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7">
        <v>41703</v>
      </c>
      <c r="J756" s="1">
        <v>88777</v>
      </c>
      <c r="K756" s="2">
        <v>0</v>
      </c>
      <c r="L756" t="s">
        <v>19</v>
      </c>
      <c r="M756" t="s">
        <v>20</v>
      </c>
      <c r="N756" s="7" t="s">
        <v>21</v>
      </c>
      <c r="O756" s="1">
        <f>TBL_Employees[[#This Row],[Annual Salary]]+TBL_Employees[[#This Row],[Bonus %]]*TBL_Employees[[#This Row],[Annual Salary]]</f>
        <v>88777</v>
      </c>
      <c r="P756" t="str">
        <f>IF(AND(TBL_Employees[[#This Row],[Department]]="IT",TBL_Employees[[#This Row],[Gender]]="Female"),"Yes","No")</f>
        <v>Yes</v>
      </c>
      <c r="Q756" t="str">
        <f>IF(AND(TBL_Employees[[#This Row],[Gender]]="Female",TBL_Employees[[#This Row],[Ethnicity]]="Black"), "Female_Black", "Others")</f>
        <v>Others</v>
      </c>
    </row>
    <row r="757" spans="1:17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7">
        <v>38121</v>
      </c>
      <c r="J757" s="1">
        <v>186378</v>
      </c>
      <c r="K757" s="2">
        <v>0.26</v>
      </c>
      <c r="L757" t="s">
        <v>33</v>
      </c>
      <c r="M757" t="s">
        <v>80</v>
      </c>
      <c r="N757" s="7" t="s">
        <v>21</v>
      </c>
      <c r="O757" s="1">
        <f>TBL_Employees[[#This Row],[Annual Salary]]+TBL_Employees[[#This Row],[Bonus %]]*TBL_Employees[[#This Row],[Annual Salary]]</f>
        <v>234836.28</v>
      </c>
      <c r="P757" t="str">
        <f>IF(AND(TBL_Employees[[#This Row],[Department]]="IT",TBL_Employees[[#This Row],[Gender]]="Female"),"Yes","No")</f>
        <v>No</v>
      </c>
      <c r="Q757" t="str">
        <f>IF(AND(TBL_Employees[[#This Row],[Gender]]="Female",TBL_Employees[[#This Row],[Ethnicity]]="Black"), "Female_Black", "Others")</f>
        <v>Others</v>
      </c>
    </row>
    <row r="758" spans="1:17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7">
        <v>42117</v>
      </c>
      <c r="J758" s="1">
        <v>60017</v>
      </c>
      <c r="K758" s="2">
        <v>0</v>
      </c>
      <c r="L758" t="s">
        <v>19</v>
      </c>
      <c r="M758" t="s">
        <v>20</v>
      </c>
      <c r="N758" s="7" t="s">
        <v>21</v>
      </c>
      <c r="O758" s="1">
        <f>TBL_Employees[[#This Row],[Annual Salary]]+TBL_Employees[[#This Row],[Bonus %]]*TBL_Employees[[#This Row],[Annual Salary]]</f>
        <v>60017</v>
      </c>
      <c r="P758" t="str">
        <f>IF(AND(TBL_Employees[[#This Row],[Department]]="IT",TBL_Employees[[#This Row],[Gender]]="Female"),"Yes","No")</f>
        <v>No</v>
      </c>
      <c r="Q758" t="str">
        <f>IF(AND(TBL_Employees[[#This Row],[Gender]]="Female",TBL_Employees[[#This Row],[Ethnicity]]="Black"), "Female_Black", "Others")</f>
        <v>Others</v>
      </c>
    </row>
    <row r="759" spans="1:17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7">
        <v>43305</v>
      </c>
      <c r="J759" s="1">
        <v>148991</v>
      </c>
      <c r="K759" s="2">
        <v>0.12</v>
      </c>
      <c r="L759" t="s">
        <v>52</v>
      </c>
      <c r="M759" t="s">
        <v>53</v>
      </c>
      <c r="N759" s="7" t="s">
        <v>21</v>
      </c>
      <c r="O759" s="1">
        <f>TBL_Employees[[#This Row],[Annual Salary]]+TBL_Employees[[#This Row],[Bonus %]]*TBL_Employees[[#This Row],[Annual Salary]]</f>
        <v>166869.91999999998</v>
      </c>
      <c r="P759" t="str">
        <f>IF(AND(TBL_Employees[[#This Row],[Department]]="IT",TBL_Employees[[#This Row],[Gender]]="Female"),"Yes","No")</f>
        <v>No</v>
      </c>
      <c r="Q759" t="str">
        <f>IF(AND(TBL_Employees[[#This Row],[Gender]]="Female",TBL_Employees[[#This Row],[Ethnicity]]="Black"), "Female_Black", "Others")</f>
        <v>Others</v>
      </c>
    </row>
    <row r="760" spans="1:17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7">
        <v>39532</v>
      </c>
      <c r="J760" s="1">
        <v>97398</v>
      </c>
      <c r="K760" s="2">
        <v>0</v>
      </c>
      <c r="L760" t="s">
        <v>52</v>
      </c>
      <c r="M760" t="s">
        <v>81</v>
      </c>
      <c r="N760" s="7" t="s">
        <v>21</v>
      </c>
      <c r="O760" s="1">
        <f>TBL_Employees[[#This Row],[Annual Salary]]+TBL_Employees[[#This Row],[Bonus %]]*TBL_Employees[[#This Row],[Annual Salary]]</f>
        <v>97398</v>
      </c>
      <c r="P760" t="str">
        <f>IF(AND(TBL_Employees[[#This Row],[Department]]="IT",TBL_Employees[[#This Row],[Gender]]="Female"),"Yes","No")</f>
        <v>No</v>
      </c>
      <c r="Q760" t="str">
        <f>IF(AND(TBL_Employees[[#This Row],[Gender]]="Female",TBL_Employees[[#This Row],[Ethnicity]]="Black"), "Female_Black", "Others")</f>
        <v>Others</v>
      </c>
    </row>
    <row r="761" spans="1:17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7">
        <v>39204</v>
      </c>
      <c r="J761" s="1">
        <v>72805</v>
      </c>
      <c r="K761" s="2">
        <v>0</v>
      </c>
      <c r="L761" t="s">
        <v>33</v>
      </c>
      <c r="M761" t="s">
        <v>74</v>
      </c>
      <c r="N761" s="7" t="s">
        <v>21</v>
      </c>
      <c r="O761" s="1">
        <f>TBL_Employees[[#This Row],[Annual Salary]]+TBL_Employees[[#This Row],[Bonus %]]*TBL_Employees[[#This Row],[Annual Salary]]</f>
        <v>72805</v>
      </c>
      <c r="P761" t="str">
        <f>IF(AND(TBL_Employees[[#This Row],[Department]]="IT",TBL_Employees[[#This Row],[Gender]]="Female"),"Yes","No")</f>
        <v>No</v>
      </c>
      <c r="Q761" t="str">
        <f>IF(AND(TBL_Employees[[#This Row],[Gender]]="Female",TBL_Employees[[#This Row],[Ethnicity]]="Black"), "Female_Black", "Others")</f>
        <v>Others</v>
      </c>
    </row>
    <row r="762" spans="1:17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7">
        <v>44213</v>
      </c>
      <c r="J762" s="1">
        <v>72131</v>
      </c>
      <c r="K762" s="2">
        <v>0</v>
      </c>
      <c r="L762" t="s">
        <v>33</v>
      </c>
      <c r="M762" t="s">
        <v>74</v>
      </c>
      <c r="N762" s="7" t="s">
        <v>21</v>
      </c>
      <c r="O762" s="1">
        <f>TBL_Employees[[#This Row],[Annual Salary]]+TBL_Employees[[#This Row],[Bonus %]]*TBL_Employees[[#This Row],[Annual Salary]]</f>
        <v>72131</v>
      </c>
      <c r="P762" t="str">
        <f>IF(AND(TBL_Employees[[#This Row],[Department]]="IT",TBL_Employees[[#This Row],[Gender]]="Female"),"Yes","No")</f>
        <v>No</v>
      </c>
      <c r="Q762" t="str">
        <f>IF(AND(TBL_Employees[[#This Row],[Gender]]="Female",TBL_Employees[[#This Row],[Ethnicity]]="Black"), "Female_Black", "Others")</f>
        <v>Others</v>
      </c>
    </row>
    <row r="763" spans="1:17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7">
        <v>33964</v>
      </c>
      <c r="J763" s="1">
        <v>104668</v>
      </c>
      <c r="K763" s="2">
        <v>0.08</v>
      </c>
      <c r="L763" t="s">
        <v>19</v>
      </c>
      <c r="M763" t="s">
        <v>29</v>
      </c>
      <c r="N763" s="7" t="s">
        <v>21</v>
      </c>
      <c r="O763" s="1">
        <f>TBL_Employees[[#This Row],[Annual Salary]]+TBL_Employees[[#This Row],[Bonus %]]*TBL_Employees[[#This Row],[Annual Salary]]</f>
        <v>113041.44</v>
      </c>
      <c r="P763" t="str">
        <f>IF(AND(TBL_Employees[[#This Row],[Department]]="IT",TBL_Employees[[#This Row],[Gender]]="Female"),"Yes","No")</f>
        <v>No</v>
      </c>
      <c r="Q763" t="str">
        <f>IF(AND(TBL_Employees[[#This Row],[Gender]]="Female",TBL_Employees[[#This Row],[Ethnicity]]="Black"), "Female_Black", "Others")</f>
        <v>Others</v>
      </c>
    </row>
    <row r="764" spans="1:17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7">
        <v>42952</v>
      </c>
      <c r="J764" s="1">
        <v>89769</v>
      </c>
      <c r="K764" s="2">
        <v>0</v>
      </c>
      <c r="L764" t="s">
        <v>19</v>
      </c>
      <c r="M764" t="s">
        <v>63</v>
      </c>
      <c r="N764" s="7" t="s">
        <v>21</v>
      </c>
      <c r="O764" s="1">
        <f>TBL_Employees[[#This Row],[Annual Salary]]+TBL_Employees[[#This Row],[Bonus %]]*TBL_Employees[[#This Row],[Annual Salary]]</f>
        <v>89769</v>
      </c>
      <c r="P764" t="str">
        <f>IF(AND(TBL_Employees[[#This Row],[Department]]="IT",TBL_Employees[[#This Row],[Gender]]="Female"),"Yes","No")</f>
        <v>No</v>
      </c>
      <c r="Q764" t="str">
        <f>IF(AND(TBL_Employees[[#This Row],[Gender]]="Female",TBL_Employees[[#This Row],[Ethnicity]]="Black"), "Female_Black", "Others")</f>
        <v>Others</v>
      </c>
    </row>
    <row r="765" spans="1:17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7">
        <v>43358</v>
      </c>
      <c r="J765" s="1">
        <v>127616</v>
      </c>
      <c r="K765" s="2">
        <v>7.0000000000000007E-2</v>
      </c>
      <c r="L765" t="s">
        <v>19</v>
      </c>
      <c r="M765" t="s">
        <v>29</v>
      </c>
      <c r="N765" s="7" t="s">
        <v>21</v>
      </c>
      <c r="O765" s="1">
        <f>TBL_Employees[[#This Row],[Annual Salary]]+TBL_Employees[[#This Row],[Bonus %]]*TBL_Employees[[#This Row],[Annual Salary]]</f>
        <v>136549.12</v>
      </c>
      <c r="P765" t="str">
        <f>IF(AND(TBL_Employees[[#This Row],[Department]]="IT",TBL_Employees[[#This Row],[Gender]]="Female"),"Yes","No")</f>
        <v>No</v>
      </c>
      <c r="Q765" t="str">
        <f>IF(AND(TBL_Employees[[#This Row],[Gender]]="Female",TBL_Employees[[#This Row],[Ethnicity]]="Black"), "Female_Black", "Others")</f>
        <v>Others</v>
      </c>
    </row>
    <row r="766" spans="1:17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7">
        <v>41099</v>
      </c>
      <c r="J766" s="1">
        <v>109883</v>
      </c>
      <c r="K766" s="2">
        <v>7.0000000000000007E-2</v>
      </c>
      <c r="L766" t="s">
        <v>19</v>
      </c>
      <c r="M766" t="s">
        <v>29</v>
      </c>
      <c r="N766" s="7" t="s">
        <v>21</v>
      </c>
      <c r="O766" s="1">
        <f>TBL_Employees[[#This Row],[Annual Salary]]+TBL_Employees[[#This Row],[Bonus %]]*TBL_Employees[[#This Row],[Annual Salary]]</f>
        <v>117574.81</v>
      </c>
      <c r="P766" t="str">
        <f>IF(AND(TBL_Employees[[#This Row],[Department]]="IT",TBL_Employees[[#This Row],[Gender]]="Female"),"Yes","No")</f>
        <v>No</v>
      </c>
      <c r="Q766" t="str">
        <f>IF(AND(TBL_Employees[[#This Row],[Gender]]="Female",TBL_Employees[[#This Row],[Ethnicity]]="Black"), "Female_Black", "Others")</f>
        <v>Others</v>
      </c>
    </row>
    <row r="767" spans="1:17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7">
        <v>44270</v>
      </c>
      <c r="J767" s="1">
        <v>47974</v>
      </c>
      <c r="K767" s="2">
        <v>0</v>
      </c>
      <c r="L767" t="s">
        <v>33</v>
      </c>
      <c r="M767" t="s">
        <v>80</v>
      </c>
      <c r="N767" s="7" t="s">
        <v>21</v>
      </c>
      <c r="O767" s="1">
        <f>TBL_Employees[[#This Row],[Annual Salary]]+TBL_Employees[[#This Row],[Bonus %]]*TBL_Employees[[#This Row],[Annual Salary]]</f>
        <v>47974</v>
      </c>
      <c r="P767" t="str">
        <f>IF(AND(TBL_Employees[[#This Row],[Department]]="IT",TBL_Employees[[#This Row],[Gender]]="Female"),"Yes","No")</f>
        <v>No</v>
      </c>
      <c r="Q767" t="str">
        <f>IF(AND(TBL_Employees[[#This Row],[Gender]]="Female",TBL_Employees[[#This Row],[Ethnicity]]="Black"), "Female_Black", "Others")</f>
        <v>Others</v>
      </c>
    </row>
    <row r="768" spans="1:17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7">
        <v>42090</v>
      </c>
      <c r="J768" s="1">
        <v>120321</v>
      </c>
      <c r="K768" s="2">
        <v>0.12</v>
      </c>
      <c r="L768" t="s">
        <v>19</v>
      </c>
      <c r="M768" t="s">
        <v>25</v>
      </c>
      <c r="N768" s="7" t="s">
        <v>21</v>
      </c>
      <c r="O768" s="1">
        <f>TBL_Employees[[#This Row],[Annual Salary]]+TBL_Employees[[#This Row],[Bonus %]]*TBL_Employees[[#This Row],[Annual Salary]]</f>
        <v>134759.51999999999</v>
      </c>
      <c r="P768" t="str">
        <f>IF(AND(TBL_Employees[[#This Row],[Department]]="IT",TBL_Employees[[#This Row],[Gender]]="Female"),"Yes","No")</f>
        <v>Yes</v>
      </c>
      <c r="Q768" t="str">
        <f>IF(AND(TBL_Employees[[#This Row],[Gender]]="Female",TBL_Employees[[#This Row],[Ethnicity]]="Black"), "Female_Black", "Others")</f>
        <v>Others</v>
      </c>
    </row>
    <row r="769" spans="1:17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7">
        <v>41861</v>
      </c>
      <c r="J769" s="1">
        <v>57446</v>
      </c>
      <c r="K769" s="2">
        <v>0</v>
      </c>
      <c r="L769" t="s">
        <v>19</v>
      </c>
      <c r="M769" t="s">
        <v>39</v>
      </c>
      <c r="N769" s="7" t="s">
        <v>21</v>
      </c>
      <c r="O769" s="1">
        <f>TBL_Employees[[#This Row],[Annual Salary]]+TBL_Employees[[#This Row],[Bonus %]]*TBL_Employees[[#This Row],[Annual Salary]]</f>
        <v>57446</v>
      </c>
      <c r="P769" t="str">
        <f>IF(AND(TBL_Employees[[#This Row],[Department]]="IT",TBL_Employees[[#This Row],[Gender]]="Female"),"Yes","No")</f>
        <v>Yes</v>
      </c>
      <c r="Q769" t="str">
        <f>IF(AND(TBL_Employees[[#This Row],[Gender]]="Female",TBL_Employees[[#This Row],[Ethnicity]]="Black"), "Female_Black", "Others")</f>
        <v>Others</v>
      </c>
    </row>
    <row r="770" spans="1:17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7">
        <v>39968</v>
      </c>
      <c r="J770" s="1">
        <v>174099</v>
      </c>
      <c r="K770" s="2">
        <v>0.26</v>
      </c>
      <c r="L770" t="s">
        <v>19</v>
      </c>
      <c r="M770" t="s">
        <v>25</v>
      </c>
      <c r="N770" s="7" t="s">
        <v>21</v>
      </c>
      <c r="O770" s="1">
        <f>TBL_Employees[[#This Row],[Annual Salary]]+TBL_Employees[[#This Row],[Bonus %]]*TBL_Employees[[#This Row],[Annual Salary]]</f>
        <v>219364.74</v>
      </c>
      <c r="P770" t="str">
        <f>IF(AND(TBL_Employees[[#This Row],[Department]]="IT",TBL_Employees[[#This Row],[Gender]]="Female"),"Yes","No")</f>
        <v>No</v>
      </c>
      <c r="Q770" t="str">
        <f>IF(AND(TBL_Employees[[#This Row],[Gender]]="Female",TBL_Employees[[#This Row],[Ethnicity]]="Black"), "Female_Black", "Others")</f>
        <v>Others</v>
      </c>
    </row>
    <row r="771" spans="1:17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7">
        <v>37295</v>
      </c>
      <c r="J771" s="1">
        <v>128703</v>
      </c>
      <c r="K771" s="2">
        <v>0.13</v>
      </c>
      <c r="L771" t="s">
        <v>19</v>
      </c>
      <c r="M771" t="s">
        <v>25</v>
      </c>
      <c r="N771" s="7" t="s">
        <v>21</v>
      </c>
      <c r="O771" s="1">
        <f>TBL_Employees[[#This Row],[Annual Salary]]+TBL_Employees[[#This Row],[Bonus %]]*TBL_Employees[[#This Row],[Annual Salary]]</f>
        <v>145434.39000000001</v>
      </c>
      <c r="P771" t="str">
        <f>IF(AND(TBL_Employees[[#This Row],[Department]]="IT",TBL_Employees[[#This Row],[Gender]]="Female"),"Yes","No")</f>
        <v>No</v>
      </c>
      <c r="Q771" t="str">
        <f>IF(AND(TBL_Employees[[#This Row],[Gender]]="Female",TBL_Employees[[#This Row],[Ethnicity]]="Black"), "Female_Black", "Others")</f>
        <v>Others</v>
      </c>
    </row>
    <row r="772" spans="1:17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7">
        <v>42317</v>
      </c>
      <c r="J772" s="1">
        <v>65247</v>
      </c>
      <c r="K772" s="2">
        <v>0</v>
      </c>
      <c r="L772" t="s">
        <v>19</v>
      </c>
      <c r="M772" t="s">
        <v>39</v>
      </c>
      <c r="N772" s="7" t="s">
        <v>21</v>
      </c>
      <c r="O772" s="1">
        <f>TBL_Employees[[#This Row],[Annual Salary]]+TBL_Employees[[#This Row],[Bonus %]]*TBL_Employees[[#This Row],[Annual Salary]]</f>
        <v>65247</v>
      </c>
      <c r="P772" t="str">
        <f>IF(AND(TBL_Employees[[#This Row],[Department]]="IT",TBL_Employees[[#This Row],[Gender]]="Female"),"Yes","No")</f>
        <v>No</v>
      </c>
      <c r="Q772" t="str">
        <f>IF(AND(TBL_Employees[[#This Row],[Gender]]="Female",TBL_Employees[[#This Row],[Ethnicity]]="Black"), "Female_Black", "Others")</f>
        <v>Others</v>
      </c>
    </row>
    <row r="773" spans="1:17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7">
        <v>43371</v>
      </c>
      <c r="J773" s="1">
        <v>64247</v>
      </c>
      <c r="K773" s="2">
        <v>0</v>
      </c>
      <c r="L773" t="s">
        <v>52</v>
      </c>
      <c r="M773" t="s">
        <v>66</v>
      </c>
      <c r="N773" s="7" t="s">
        <v>21</v>
      </c>
      <c r="O773" s="1">
        <f>TBL_Employees[[#This Row],[Annual Salary]]+TBL_Employees[[#This Row],[Bonus %]]*TBL_Employees[[#This Row],[Annual Salary]]</f>
        <v>64247</v>
      </c>
      <c r="P773" t="str">
        <f>IF(AND(TBL_Employees[[#This Row],[Department]]="IT",TBL_Employees[[#This Row],[Gender]]="Female"),"Yes","No")</f>
        <v>No</v>
      </c>
      <c r="Q773" t="str">
        <f>IF(AND(TBL_Employees[[#This Row],[Gender]]="Female",TBL_Employees[[#This Row],[Ethnicity]]="Black"), "Female_Black", "Others")</f>
        <v>Others</v>
      </c>
    </row>
    <row r="774" spans="1:17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7">
        <v>41071</v>
      </c>
      <c r="J774" s="1">
        <v>118253</v>
      </c>
      <c r="K774" s="2">
        <v>0.08</v>
      </c>
      <c r="L774" t="s">
        <v>19</v>
      </c>
      <c r="M774" t="s">
        <v>25</v>
      </c>
      <c r="N774" s="7" t="s">
        <v>21</v>
      </c>
      <c r="O774" s="1">
        <f>TBL_Employees[[#This Row],[Annual Salary]]+TBL_Employees[[#This Row],[Bonus %]]*TBL_Employees[[#This Row],[Annual Salary]]</f>
        <v>127713.24</v>
      </c>
      <c r="P774" t="str">
        <f>IF(AND(TBL_Employees[[#This Row],[Department]]="IT",TBL_Employees[[#This Row],[Gender]]="Female"),"Yes","No")</f>
        <v>No</v>
      </c>
      <c r="Q774" t="str">
        <f>IF(AND(TBL_Employees[[#This Row],[Gender]]="Female",TBL_Employees[[#This Row],[Ethnicity]]="Black"), "Female_Black", "Others")</f>
        <v>Others</v>
      </c>
    </row>
    <row r="775" spans="1:17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7">
        <v>38057</v>
      </c>
      <c r="J775" s="1">
        <v>109422</v>
      </c>
      <c r="K775" s="2">
        <v>0</v>
      </c>
      <c r="L775" t="s">
        <v>33</v>
      </c>
      <c r="M775" t="s">
        <v>80</v>
      </c>
      <c r="N775" s="7" t="s">
        <v>21</v>
      </c>
      <c r="O775" s="1">
        <f>TBL_Employees[[#This Row],[Annual Salary]]+TBL_Employees[[#This Row],[Bonus %]]*TBL_Employees[[#This Row],[Annual Salary]]</f>
        <v>109422</v>
      </c>
      <c r="P775" t="str">
        <f>IF(AND(TBL_Employees[[#This Row],[Department]]="IT",TBL_Employees[[#This Row],[Gender]]="Female"),"Yes","No")</f>
        <v>No</v>
      </c>
      <c r="Q775" t="str">
        <f>IF(AND(TBL_Employees[[#This Row],[Gender]]="Female",TBL_Employees[[#This Row],[Ethnicity]]="Black"), "Female_Black", "Others")</f>
        <v>Others</v>
      </c>
    </row>
    <row r="776" spans="1:17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7">
        <v>43502</v>
      </c>
      <c r="J776" s="1">
        <v>126950</v>
      </c>
      <c r="K776" s="2">
        <v>0.1</v>
      </c>
      <c r="L776" t="s">
        <v>19</v>
      </c>
      <c r="M776" t="s">
        <v>20</v>
      </c>
      <c r="N776" s="7" t="s">
        <v>21</v>
      </c>
      <c r="O776" s="1">
        <f>TBL_Employees[[#This Row],[Annual Salary]]+TBL_Employees[[#This Row],[Bonus %]]*TBL_Employees[[#This Row],[Annual Salary]]</f>
        <v>139645</v>
      </c>
      <c r="P776" t="str">
        <f>IF(AND(TBL_Employees[[#This Row],[Department]]="IT",TBL_Employees[[#This Row],[Gender]]="Female"),"Yes","No")</f>
        <v>No</v>
      </c>
      <c r="Q776" t="str">
        <f>IF(AND(TBL_Employees[[#This Row],[Gender]]="Female",TBL_Employees[[#This Row],[Ethnicity]]="Black"), "Female_Black", "Others")</f>
        <v>Others</v>
      </c>
    </row>
    <row r="777" spans="1:17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7">
        <v>41964</v>
      </c>
      <c r="J777" s="1">
        <v>97500</v>
      </c>
      <c r="K777" s="2">
        <v>0</v>
      </c>
      <c r="L777" t="s">
        <v>19</v>
      </c>
      <c r="M777" t="s">
        <v>45</v>
      </c>
      <c r="N777" s="7" t="s">
        <v>21</v>
      </c>
      <c r="O777" s="1">
        <f>TBL_Employees[[#This Row],[Annual Salary]]+TBL_Employees[[#This Row],[Bonus %]]*TBL_Employees[[#This Row],[Annual Salary]]</f>
        <v>97500</v>
      </c>
      <c r="P777" t="str">
        <f>IF(AND(TBL_Employees[[#This Row],[Department]]="IT",TBL_Employees[[#This Row],[Gender]]="Female"),"Yes","No")</f>
        <v>Yes</v>
      </c>
      <c r="Q777" t="str">
        <f>IF(AND(TBL_Employees[[#This Row],[Gender]]="Female",TBL_Employees[[#This Row],[Ethnicity]]="Black"), "Female_Black", "Others")</f>
        <v>Others</v>
      </c>
    </row>
    <row r="778" spans="1:17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7">
        <v>44213</v>
      </c>
      <c r="J778" s="1">
        <v>41844</v>
      </c>
      <c r="K778" s="2">
        <v>0</v>
      </c>
      <c r="L778" t="s">
        <v>33</v>
      </c>
      <c r="M778" t="s">
        <v>80</v>
      </c>
      <c r="N778" s="7" t="s">
        <v>21</v>
      </c>
      <c r="O778" s="1">
        <f>TBL_Employees[[#This Row],[Annual Salary]]+TBL_Employees[[#This Row],[Bonus %]]*TBL_Employees[[#This Row],[Annual Salary]]</f>
        <v>41844</v>
      </c>
      <c r="P778" t="str">
        <f>IF(AND(TBL_Employees[[#This Row],[Department]]="IT",TBL_Employees[[#This Row],[Gender]]="Female"),"Yes","No")</f>
        <v>No</v>
      </c>
      <c r="Q778" t="str">
        <f>IF(AND(TBL_Employees[[#This Row],[Gender]]="Female",TBL_Employees[[#This Row],[Ethnicity]]="Black"), "Female_Black", "Others")</f>
        <v>Others</v>
      </c>
    </row>
    <row r="779" spans="1:17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7">
        <v>41680</v>
      </c>
      <c r="J779" s="1">
        <v>58875</v>
      </c>
      <c r="K779" s="2">
        <v>0</v>
      </c>
      <c r="L779" t="s">
        <v>33</v>
      </c>
      <c r="M779" t="s">
        <v>34</v>
      </c>
      <c r="N779" s="7" t="s">
        <v>21</v>
      </c>
      <c r="O779" s="1">
        <f>TBL_Employees[[#This Row],[Annual Salary]]+TBL_Employees[[#This Row],[Bonus %]]*TBL_Employees[[#This Row],[Annual Salary]]</f>
        <v>58875</v>
      </c>
      <c r="P779" t="str">
        <f>IF(AND(TBL_Employees[[#This Row],[Department]]="IT",TBL_Employees[[#This Row],[Gender]]="Female"),"Yes","No")</f>
        <v>No</v>
      </c>
      <c r="Q779" t="str">
        <f>IF(AND(TBL_Employees[[#This Row],[Gender]]="Female",TBL_Employees[[#This Row],[Ethnicity]]="Black"), "Female_Black", "Others")</f>
        <v>Others</v>
      </c>
    </row>
    <row r="780" spans="1:17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7">
        <v>42318</v>
      </c>
      <c r="J780" s="1">
        <v>64204</v>
      </c>
      <c r="K780" s="2">
        <v>0</v>
      </c>
      <c r="L780" t="s">
        <v>19</v>
      </c>
      <c r="M780" t="s">
        <v>29</v>
      </c>
      <c r="N780" s="7">
        <v>44306</v>
      </c>
      <c r="O780" s="1">
        <f>TBL_Employees[[#This Row],[Annual Salary]]+TBL_Employees[[#This Row],[Bonus %]]*TBL_Employees[[#This Row],[Annual Salary]]</f>
        <v>64204</v>
      </c>
      <c r="P780" t="str">
        <f>IF(AND(TBL_Employees[[#This Row],[Department]]="IT",TBL_Employees[[#This Row],[Gender]]="Female"),"Yes","No")</f>
        <v>No</v>
      </c>
      <c r="Q780" t="str">
        <f>IF(AND(TBL_Employees[[#This Row],[Gender]]="Female",TBL_Employees[[#This Row],[Ethnicity]]="Black"), "Female_Black", "Others")</f>
        <v>Others</v>
      </c>
    </row>
    <row r="781" spans="1:17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7">
        <v>40307</v>
      </c>
      <c r="J781" s="1">
        <v>67743</v>
      </c>
      <c r="K781" s="2">
        <v>0</v>
      </c>
      <c r="L781" t="s">
        <v>33</v>
      </c>
      <c r="M781" t="s">
        <v>60</v>
      </c>
      <c r="N781" s="7">
        <v>41998</v>
      </c>
      <c r="O781" s="1">
        <f>TBL_Employees[[#This Row],[Annual Salary]]+TBL_Employees[[#This Row],[Bonus %]]*TBL_Employees[[#This Row],[Annual Salary]]</f>
        <v>67743</v>
      </c>
      <c r="P781" t="str">
        <f>IF(AND(TBL_Employees[[#This Row],[Department]]="IT",TBL_Employees[[#This Row],[Gender]]="Female"),"Yes","No")</f>
        <v>No</v>
      </c>
      <c r="Q781" t="str">
        <f>IF(AND(TBL_Employees[[#This Row],[Gender]]="Female",TBL_Employees[[#This Row],[Ethnicity]]="Black"), "Female_Black", "Others")</f>
        <v>Others</v>
      </c>
    </row>
    <row r="782" spans="1:17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7">
        <v>35641</v>
      </c>
      <c r="J782" s="1">
        <v>71677</v>
      </c>
      <c r="K782" s="2">
        <v>0</v>
      </c>
      <c r="L782" t="s">
        <v>19</v>
      </c>
      <c r="M782" t="s">
        <v>29</v>
      </c>
      <c r="N782" s="7" t="s">
        <v>21</v>
      </c>
      <c r="O782" s="1">
        <f>TBL_Employees[[#This Row],[Annual Salary]]+TBL_Employees[[#This Row],[Bonus %]]*TBL_Employees[[#This Row],[Annual Salary]]</f>
        <v>71677</v>
      </c>
      <c r="P782" t="str">
        <f>IF(AND(TBL_Employees[[#This Row],[Department]]="IT",TBL_Employees[[#This Row],[Gender]]="Female"),"Yes","No")</f>
        <v>No</v>
      </c>
      <c r="Q782" t="str">
        <f>IF(AND(TBL_Employees[[#This Row],[Gender]]="Female",TBL_Employees[[#This Row],[Ethnicity]]="Black"), "Female_Black", "Others")</f>
        <v>Female_Black</v>
      </c>
    </row>
    <row r="783" spans="1:17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7">
        <v>36793</v>
      </c>
      <c r="J783" s="1">
        <v>40063</v>
      </c>
      <c r="K783" s="2">
        <v>0</v>
      </c>
      <c r="L783" t="s">
        <v>19</v>
      </c>
      <c r="M783" t="s">
        <v>45</v>
      </c>
      <c r="N783" s="7" t="s">
        <v>21</v>
      </c>
      <c r="O783" s="1">
        <f>TBL_Employees[[#This Row],[Annual Salary]]+TBL_Employees[[#This Row],[Bonus %]]*TBL_Employees[[#This Row],[Annual Salary]]</f>
        <v>40063</v>
      </c>
      <c r="P783" t="str">
        <f>IF(AND(TBL_Employees[[#This Row],[Department]]="IT",TBL_Employees[[#This Row],[Gender]]="Female"),"Yes","No")</f>
        <v>No</v>
      </c>
      <c r="Q783" t="str">
        <f>IF(AND(TBL_Employees[[#This Row],[Gender]]="Female",TBL_Employees[[#This Row],[Ethnicity]]="Black"), "Female_Black", "Others")</f>
        <v>Others</v>
      </c>
    </row>
    <row r="784" spans="1:17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7">
        <v>38107</v>
      </c>
      <c r="J784" s="1">
        <v>40124</v>
      </c>
      <c r="K784" s="2">
        <v>0</v>
      </c>
      <c r="L784" t="s">
        <v>19</v>
      </c>
      <c r="M784" t="s">
        <v>25</v>
      </c>
      <c r="N784" s="7" t="s">
        <v>21</v>
      </c>
      <c r="O784" s="1">
        <f>TBL_Employees[[#This Row],[Annual Salary]]+TBL_Employees[[#This Row],[Bonus %]]*TBL_Employees[[#This Row],[Annual Salary]]</f>
        <v>40124</v>
      </c>
      <c r="P784" t="str">
        <f>IF(AND(TBL_Employees[[#This Row],[Department]]="IT",TBL_Employees[[#This Row],[Gender]]="Female"),"Yes","No")</f>
        <v>Yes</v>
      </c>
      <c r="Q784" t="str">
        <f>IF(AND(TBL_Employees[[#This Row],[Gender]]="Female",TBL_Employees[[#This Row],[Ethnicity]]="Black"), "Female_Black", "Others")</f>
        <v>Others</v>
      </c>
    </row>
    <row r="785" spans="1:17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7">
        <v>43157</v>
      </c>
      <c r="J785" s="1">
        <v>103183</v>
      </c>
      <c r="K785" s="2">
        <v>0</v>
      </c>
      <c r="L785" t="s">
        <v>19</v>
      </c>
      <c r="M785" t="s">
        <v>25</v>
      </c>
      <c r="N785" s="7">
        <v>44386</v>
      </c>
      <c r="O785" s="1">
        <f>TBL_Employees[[#This Row],[Annual Salary]]+TBL_Employees[[#This Row],[Bonus %]]*TBL_Employees[[#This Row],[Annual Salary]]</f>
        <v>103183</v>
      </c>
      <c r="P785" t="str">
        <f>IF(AND(TBL_Employees[[#This Row],[Department]]="IT",TBL_Employees[[#This Row],[Gender]]="Female"),"Yes","No")</f>
        <v>No</v>
      </c>
      <c r="Q785" t="str">
        <f>IF(AND(TBL_Employees[[#This Row],[Gender]]="Female",TBL_Employees[[#This Row],[Ethnicity]]="Black"), "Female_Black", "Others")</f>
        <v>Others</v>
      </c>
    </row>
    <row r="786" spans="1:17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7">
        <v>35961</v>
      </c>
      <c r="J786" s="1">
        <v>95239</v>
      </c>
      <c r="K786" s="2">
        <v>0</v>
      </c>
      <c r="L786" t="s">
        <v>19</v>
      </c>
      <c r="M786" t="s">
        <v>39</v>
      </c>
      <c r="N786" s="7" t="s">
        <v>21</v>
      </c>
      <c r="O786" s="1">
        <f>TBL_Employees[[#This Row],[Annual Salary]]+TBL_Employees[[#This Row],[Bonus %]]*TBL_Employees[[#This Row],[Annual Salary]]</f>
        <v>95239</v>
      </c>
      <c r="P786" t="str">
        <f>IF(AND(TBL_Employees[[#This Row],[Department]]="IT",TBL_Employees[[#This Row],[Gender]]="Female"),"Yes","No")</f>
        <v>No</v>
      </c>
      <c r="Q786" t="str">
        <f>IF(AND(TBL_Employees[[#This Row],[Gender]]="Female",TBL_Employees[[#This Row],[Ethnicity]]="Black"), "Female_Black", "Others")</f>
        <v>Others</v>
      </c>
    </row>
    <row r="787" spans="1:17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7">
        <v>43778</v>
      </c>
      <c r="J787" s="1">
        <v>75012</v>
      </c>
      <c r="K787" s="2">
        <v>0</v>
      </c>
      <c r="L787" t="s">
        <v>19</v>
      </c>
      <c r="M787" t="s">
        <v>20</v>
      </c>
      <c r="N787" s="7" t="s">
        <v>21</v>
      </c>
      <c r="O787" s="1">
        <f>TBL_Employees[[#This Row],[Annual Salary]]+TBL_Employees[[#This Row],[Bonus %]]*TBL_Employees[[#This Row],[Annual Salary]]</f>
        <v>75012</v>
      </c>
      <c r="P787" t="str">
        <f>IF(AND(TBL_Employees[[#This Row],[Department]]="IT",TBL_Employees[[#This Row],[Gender]]="Female"),"Yes","No")</f>
        <v>No</v>
      </c>
      <c r="Q787" t="str">
        <f>IF(AND(TBL_Employees[[#This Row],[Gender]]="Female",TBL_Employees[[#This Row],[Ethnicity]]="Black"), "Female_Black", "Others")</f>
        <v>Others</v>
      </c>
    </row>
    <row r="788" spans="1:17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7">
        <v>41819</v>
      </c>
      <c r="J788" s="1">
        <v>96366</v>
      </c>
      <c r="K788" s="2">
        <v>0</v>
      </c>
      <c r="L788" t="s">
        <v>33</v>
      </c>
      <c r="M788" t="s">
        <v>34</v>
      </c>
      <c r="N788" s="7" t="s">
        <v>21</v>
      </c>
      <c r="O788" s="1">
        <f>TBL_Employees[[#This Row],[Annual Salary]]+TBL_Employees[[#This Row],[Bonus %]]*TBL_Employees[[#This Row],[Annual Salary]]</f>
        <v>96366</v>
      </c>
      <c r="P788" t="str">
        <f>IF(AND(TBL_Employees[[#This Row],[Department]]="IT",TBL_Employees[[#This Row],[Gender]]="Female"),"Yes","No")</f>
        <v>Yes</v>
      </c>
      <c r="Q788" t="str">
        <f>IF(AND(TBL_Employees[[#This Row],[Gender]]="Female",TBL_Employees[[#This Row],[Ethnicity]]="Black"), "Female_Black", "Others")</f>
        <v>Others</v>
      </c>
    </row>
    <row r="789" spans="1:17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7">
        <v>41849</v>
      </c>
      <c r="J789" s="1">
        <v>40897</v>
      </c>
      <c r="K789" s="2">
        <v>0</v>
      </c>
      <c r="L789" t="s">
        <v>19</v>
      </c>
      <c r="M789" t="s">
        <v>63</v>
      </c>
      <c r="N789" s="7" t="s">
        <v>21</v>
      </c>
      <c r="O789" s="1">
        <f>TBL_Employees[[#This Row],[Annual Salary]]+TBL_Employees[[#This Row],[Bonus %]]*TBL_Employees[[#This Row],[Annual Salary]]</f>
        <v>40897</v>
      </c>
      <c r="P789" t="str">
        <f>IF(AND(TBL_Employees[[#This Row],[Department]]="IT",TBL_Employees[[#This Row],[Gender]]="Female"),"Yes","No")</f>
        <v>No</v>
      </c>
      <c r="Q789" t="str">
        <f>IF(AND(TBL_Employees[[#This Row],[Gender]]="Female",TBL_Employees[[#This Row],[Ethnicity]]="Black"), "Female_Black", "Others")</f>
        <v>Others</v>
      </c>
    </row>
    <row r="790" spans="1:17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7">
        <v>42605</v>
      </c>
      <c r="J790" s="1">
        <v>124928</v>
      </c>
      <c r="K790" s="2">
        <v>0.06</v>
      </c>
      <c r="L790" t="s">
        <v>33</v>
      </c>
      <c r="M790" t="s">
        <v>80</v>
      </c>
      <c r="N790" s="7" t="s">
        <v>21</v>
      </c>
      <c r="O790" s="1">
        <f>TBL_Employees[[#This Row],[Annual Salary]]+TBL_Employees[[#This Row],[Bonus %]]*TBL_Employees[[#This Row],[Annual Salary]]</f>
        <v>132423.67999999999</v>
      </c>
      <c r="P790" t="str">
        <f>IF(AND(TBL_Employees[[#This Row],[Department]]="IT",TBL_Employees[[#This Row],[Gender]]="Female"),"Yes","No")</f>
        <v>No</v>
      </c>
      <c r="Q790" t="str">
        <f>IF(AND(TBL_Employees[[#This Row],[Gender]]="Female",TBL_Employees[[#This Row],[Ethnicity]]="Black"), "Female_Black", "Others")</f>
        <v>Others</v>
      </c>
    </row>
    <row r="791" spans="1:17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7">
        <v>41439</v>
      </c>
      <c r="J791" s="1">
        <v>108221</v>
      </c>
      <c r="K791" s="2">
        <v>0.05</v>
      </c>
      <c r="L791" t="s">
        <v>52</v>
      </c>
      <c r="M791" t="s">
        <v>81</v>
      </c>
      <c r="N791" s="7" t="s">
        <v>21</v>
      </c>
      <c r="O791" s="1">
        <f>TBL_Employees[[#This Row],[Annual Salary]]+TBL_Employees[[#This Row],[Bonus %]]*TBL_Employees[[#This Row],[Annual Salary]]</f>
        <v>113632.05</v>
      </c>
      <c r="P791" t="str">
        <f>IF(AND(TBL_Employees[[#This Row],[Department]]="IT",TBL_Employees[[#This Row],[Gender]]="Female"),"Yes","No")</f>
        <v>No</v>
      </c>
      <c r="Q791" t="str">
        <f>IF(AND(TBL_Employees[[#This Row],[Gender]]="Female",TBL_Employees[[#This Row],[Ethnicity]]="Black"), "Female_Black", "Others")</f>
        <v>Others</v>
      </c>
    </row>
    <row r="792" spans="1:17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7">
        <v>39133</v>
      </c>
      <c r="J792" s="1">
        <v>75579</v>
      </c>
      <c r="K792" s="2">
        <v>0</v>
      </c>
      <c r="L792" t="s">
        <v>19</v>
      </c>
      <c r="M792" t="s">
        <v>63</v>
      </c>
      <c r="N792" s="7" t="s">
        <v>21</v>
      </c>
      <c r="O792" s="1">
        <f>TBL_Employees[[#This Row],[Annual Salary]]+TBL_Employees[[#This Row],[Bonus %]]*TBL_Employees[[#This Row],[Annual Salary]]</f>
        <v>75579</v>
      </c>
      <c r="P792" t="str">
        <f>IF(AND(TBL_Employees[[#This Row],[Department]]="IT",TBL_Employees[[#This Row],[Gender]]="Female"),"Yes","No")</f>
        <v>No</v>
      </c>
      <c r="Q792" t="str">
        <f>IF(AND(TBL_Employees[[#This Row],[Gender]]="Female",TBL_Employees[[#This Row],[Ethnicity]]="Black"), "Female_Black", "Others")</f>
        <v>Others</v>
      </c>
    </row>
    <row r="793" spans="1:17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7">
        <v>42365</v>
      </c>
      <c r="J793" s="1">
        <v>129903</v>
      </c>
      <c r="K793" s="2">
        <v>0.13</v>
      </c>
      <c r="L793" t="s">
        <v>52</v>
      </c>
      <c r="M793" t="s">
        <v>53</v>
      </c>
      <c r="N793" s="7" t="s">
        <v>21</v>
      </c>
      <c r="O793" s="1">
        <f>TBL_Employees[[#This Row],[Annual Salary]]+TBL_Employees[[#This Row],[Bonus %]]*TBL_Employees[[#This Row],[Annual Salary]]</f>
        <v>146790.39000000001</v>
      </c>
      <c r="P793" t="str">
        <f>IF(AND(TBL_Employees[[#This Row],[Department]]="IT",TBL_Employees[[#This Row],[Gender]]="Female"),"Yes","No")</f>
        <v>No</v>
      </c>
      <c r="Q793" t="str">
        <f>IF(AND(TBL_Employees[[#This Row],[Gender]]="Female",TBL_Employees[[#This Row],[Ethnicity]]="Black"), "Female_Black", "Others")</f>
        <v>Others</v>
      </c>
    </row>
    <row r="794" spans="1:17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7">
        <v>44303</v>
      </c>
      <c r="J794" s="1">
        <v>186870</v>
      </c>
      <c r="K794" s="2">
        <v>0.2</v>
      </c>
      <c r="L794" t="s">
        <v>33</v>
      </c>
      <c r="M794" t="s">
        <v>74</v>
      </c>
      <c r="N794" s="7" t="s">
        <v>21</v>
      </c>
      <c r="O794" s="1">
        <f>TBL_Employees[[#This Row],[Annual Salary]]+TBL_Employees[[#This Row],[Bonus %]]*TBL_Employees[[#This Row],[Annual Salary]]</f>
        <v>224244</v>
      </c>
      <c r="P794" t="str">
        <f>IF(AND(TBL_Employees[[#This Row],[Department]]="IT",TBL_Employees[[#This Row],[Gender]]="Female"),"Yes","No")</f>
        <v>No</v>
      </c>
      <c r="Q794" t="str">
        <f>IF(AND(TBL_Employees[[#This Row],[Gender]]="Female",TBL_Employees[[#This Row],[Ethnicity]]="Black"), "Female_Black", "Others")</f>
        <v>Others</v>
      </c>
    </row>
    <row r="795" spans="1:17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7">
        <v>40291</v>
      </c>
      <c r="J795" s="1">
        <v>57531</v>
      </c>
      <c r="K795" s="2">
        <v>0</v>
      </c>
      <c r="L795" t="s">
        <v>19</v>
      </c>
      <c r="M795" t="s">
        <v>20</v>
      </c>
      <c r="N795" s="7" t="s">
        <v>21</v>
      </c>
      <c r="O795" s="1">
        <f>TBL_Employees[[#This Row],[Annual Salary]]+TBL_Employees[[#This Row],[Bonus %]]*TBL_Employees[[#This Row],[Annual Salary]]</f>
        <v>57531</v>
      </c>
      <c r="P795" t="str">
        <f>IF(AND(TBL_Employees[[#This Row],[Department]]="IT",TBL_Employees[[#This Row],[Gender]]="Female"),"Yes","No")</f>
        <v>No</v>
      </c>
      <c r="Q795" t="str">
        <f>IF(AND(TBL_Employees[[#This Row],[Gender]]="Female",TBL_Employees[[#This Row],[Ethnicity]]="Black"), "Female_Black", "Others")</f>
        <v>Others</v>
      </c>
    </row>
    <row r="796" spans="1:17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7">
        <v>40657</v>
      </c>
      <c r="J796" s="1">
        <v>55894</v>
      </c>
      <c r="K796" s="2">
        <v>0</v>
      </c>
      <c r="L796" t="s">
        <v>19</v>
      </c>
      <c r="M796" t="s">
        <v>63</v>
      </c>
      <c r="N796" s="7" t="s">
        <v>21</v>
      </c>
      <c r="O796" s="1">
        <f>TBL_Employees[[#This Row],[Annual Salary]]+TBL_Employees[[#This Row],[Bonus %]]*TBL_Employees[[#This Row],[Annual Salary]]</f>
        <v>55894</v>
      </c>
      <c r="P796" t="str">
        <f>IF(AND(TBL_Employees[[#This Row],[Department]]="IT",TBL_Employees[[#This Row],[Gender]]="Female"),"Yes","No")</f>
        <v>No</v>
      </c>
      <c r="Q796" t="str">
        <f>IF(AND(TBL_Employees[[#This Row],[Gender]]="Female",TBL_Employees[[#This Row],[Ethnicity]]="Black"), "Female_Black", "Others")</f>
        <v>Others</v>
      </c>
    </row>
    <row r="797" spans="1:17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7">
        <v>41026</v>
      </c>
      <c r="J797" s="1">
        <v>72903</v>
      </c>
      <c r="K797" s="2">
        <v>0</v>
      </c>
      <c r="L797" t="s">
        <v>19</v>
      </c>
      <c r="M797" t="s">
        <v>39</v>
      </c>
      <c r="N797" s="7" t="s">
        <v>21</v>
      </c>
      <c r="O797" s="1">
        <f>TBL_Employees[[#This Row],[Annual Salary]]+TBL_Employees[[#This Row],[Bonus %]]*TBL_Employees[[#This Row],[Annual Salary]]</f>
        <v>72903</v>
      </c>
      <c r="P797" t="str">
        <f>IF(AND(TBL_Employees[[#This Row],[Department]]="IT",TBL_Employees[[#This Row],[Gender]]="Female"),"Yes","No")</f>
        <v>No</v>
      </c>
      <c r="Q797" t="str">
        <f>IF(AND(TBL_Employees[[#This Row],[Gender]]="Female",TBL_Employees[[#This Row],[Ethnicity]]="Black"), "Female_Black", "Others")</f>
        <v>Others</v>
      </c>
    </row>
    <row r="798" spans="1:17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7">
        <v>42317</v>
      </c>
      <c r="J798" s="1">
        <v>45369</v>
      </c>
      <c r="K798" s="2">
        <v>0</v>
      </c>
      <c r="L798" t="s">
        <v>33</v>
      </c>
      <c r="M798" t="s">
        <v>60</v>
      </c>
      <c r="N798" s="7" t="s">
        <v>21</v>
      </c>
      <c r="O798" s="1">
        <f>TBL_Employees[[#This Row],[Annual Salary]]+TBL_Employees[[#This Row],[Bonus %]]*TBL_Employees[[#This Row],[Annual Salary]]</f>
        <v>45369</v>
      </c>
      <c r="P798" t="str">
        <f>IF(AND(TBL_Employees[[#This Row],[Department]]="IT",TBL_Employees[[#This Row],[Gender]]="Female"),"Yes","No")</f>
        <v>No</v>
      </c>
      <c r="Q798" t="str">
        <f>IF(AND(TBL_Employees[[#This Row],[Gender]]="Female",TBL_Employees[[#This Row],[Ethnicity]]="Black"), "Female_Black", "Others")</f>
        <v>Others</v>
      </c>
    </row>
    <row r="799" spans="1:17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7">
        <v>40344</v>
      </c>
      <c r="J799" s="1">
        <v>106578</v>
      </c>
      <c r="K799" s="2">
        <v>0.09</v>
      </c>
      <c r="L799" t="s">
        <v>19</v>
      </c>
      <c r="M799" t="s">
        <v>45</v>
      </c>
      <c r="N799" s="7" t="s">
        <v>21</v>
      </c>
      <c r="O799" s="1">
        <f>TBL_Employees[[#This Row],[Annual Salary]]+TBL_Employees[[#This Row],[Bonus %]]*TBL_Employees[[#This Row],[Annual Salary]]</f>
        <v>116170.02</v>
      </c>
      <c r="P799" t="str">
        <f>IF(AND(TBL_Employees[[#This Row],[Department]]="IT",TBL_Employees[[#This Row],[Gender]]="Female"),"Yes","No")</f>
        <v>No</v>
      </c>
      <c r="Q799" t="str">
        <f>IF(AND(TBL_Employees[[#This Row],[Gender]]="Female",TBL_Employees[[#This Row],[Ethnicity]]="Black"), "Female_Black", "Others")</f>
        <v>Others</v>
      </c>
    </row>
    <row r="800" spans="1:17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7">
        <v>36416</v>
      </c>
      <c r="J800" s="1">
        <v>92994</v>
      </c>
      <c r="K800" s="2">
        <v>0</v>
      </c>
      <c r="L800" t="s">
        <v>19</v>
      </c>
      <c r="M800" t="s">
        <v>20</v>
      </c>
      <c r="N800" s="7" t="s">
        <v>21</v>
      </c>
      <c r="O800" s="1">
        <f>TBL_Employees[[#This Row],[Annual Salary]]+TBL_Employees[[#This Row],[Bonus %]]*TBL_Employees[[#This Row],[Annual Salary]]</f>
        <v>92994</v>
      </c>
      <c r="P800" t="str">
        <f>IF(AND(TBL_Employees[[#This Row],[Department]]="IT",TBL_Employees[[#This Row],[Gender]]="Female"),"Yes","No")</f>
        <v>No</v>
      </c>
      <c r="Q800" t="str">
        <f>IF(AND(TBL_Employees[[#This Row],[Gender]]="Female",TBL_Employees[[#This Row],[Ethnicity]]="Black"), "Female_Black", "Others")</f>
        <v>Others</v>
      </c>
    </row>
    <row r="801" spans="1:17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7">
        <v>35502</v>
      </c>
      <c r="J801" s="1">
        <v>83685</v>
      </c>
      <c r="K801" s="2">
        <v>0</v>
      </c>
      <c r="L801" t="s">
        <v>33</v>
      </c>
      <c r="M801" t="s">
        <v>60</v>
      </c>
      <c r="N801" s="7" t="s">
        <v>21</v>
      </c>
      <c r="O801" s="1">
        <f>TBL_Employees[[#This Row],[Annual Salary]]+TBL_Employees[[#This Row],[Bonus %]]*TBL_Employees[[#This Row],[Annual Salary]]</f>
        <v>83685</v>
      </c>
      <c r="P801" t="str">
        <f>IF(AND(TBL_Employees[[#This Row],[Department]]="IT",TBL_Employees[[#This Row],[Gender]]="Female"),"Yes","No")</f>
        <v>No</v>
      </c>
      <c r="Q801" t="str">
        <f>IF(AND(TBL_Employees[[#This Row],[Gender]]="Female",TBL_Employees[[#This Row],[Ethnicity]]="Black"), "Female_Black", "Others")</f>
        <v>Others</v>
      </c>
    </row>
    <row r="802" spans="1:17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7">
        <v>40435</v>
      </c>
      <c r="J802" s="1">
        <v>99335</v>
      </c>
      <c r="K802" s="2">
        <v>0</v>
      </c>
      <c r="L802" t="s">
        <v>19</v>
      </c>
      <c r="M802" t="s">
        <v>39</v>
      </c>
      <c r="N802" s="7" t="s">
        <v>21</v>
      </c>
      <c r="O802" s="1">
        <f>TBL_Employees[[#This Row],[Annual Salary]]+TBL_Employees[[#This Row],[Bonus %]]*TBL_Employees[[#This Row],[Annual Salary]]</f>
        <v>99335</v>
      </c>
      <c r="P802" t="str">
        <f>IF(AND(TBL_Employees[[#This Row],[Department]]="IT",TBL_Employees[[#This Row],[Gender]]="Female"),"Yes","No")</f>
        <v>No</v>
      </c>
      <c r="Q802" t="str">
        <f>IF(AND(TBL_Employees[[#This Row],[Gender]]="Female",TBL_Employees[[#This Row],[Ethnicity]]="Black"), "Female_Black", "Others")</f>
        <v>Others</v>
      </c>
    </row>
    <row r="803" spans="1:17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7">
        <v>41382</v>
      </c>
      <c r="J803" s="1">
        <v>131179</v>
      </c>
      <c r="K803" s="2">
        <v>0.15</v>
      </c>
      <c r="L803" t="s">
        <v>19</v>
      </c>
      <c r="M803" t="s">
        <v>29</v>
      </c>
      <c r="N803" s="7" t="s">
        <v>21</v>
      </c>
      <c r="O803" s="1">
        <f>TBL_Employees[[#This Row],[Annual Salary]]+TBL_Employees[[#This Row],[Bonus %]]*TBL_Employees[[#This Row],[Annual Salary]]</f>
        <v>150855.85</v>
      </c>
      <c r="P803" t="str">
        <f>IF(AND(TBL_Employees[[#This Row],[Department]]="IT",TBL_Employees[[#This Row],[Gender]]="Female"),"Yes","No")</f>
        <v>No</v>
      </c>
      <c r="Q803" t="str">
        <f>IF(AND(TBL_Employees[[#This Row],[Gender]]="Female",TBL_Employees[[#This Row],[Ethnicity]]="Black"), "Female_Black", "Others")</f>
        <v>Others</v>
      </c>
    </row>
    <row r="804" spans="1:17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7">
        <v>42493</v>
      </c>
      <c r="J804" s="1">
        <v>73899</v>
      </c>
      <c r="K804" s="2">
        <v>0.05</v>
      </c>
      <c r="L804" t="s">
        <v>33</v>
      </c>
      <c r="M804" t="s">
        <v>34</v>
      </c>
      <c r="N804" s="7" t="s">
        <v>21</v>
      </c>
      <c r="O804" s="1">
        <f>TBL_Employees[[#This Row],[Annual Salary]]+TBL_Employees[[#This Row],[Bonus %]]*TBL_Employees[[#This Row],[Annual Salary]]</f>
        <v>77593.95</v>
      </c>
      <c r="P804" t="str">
        <f>IF(AND(TBL_Employees[[#This Row],[Department]]="IT",TBL_Employees[[#This Row],[Gender]]="Female"),"Yes","No")</f>
        <v>No</v>
      </c>
      <c r="Q804" t="str">
        <f>IF(AND(TBL_Employees[[#This Row],[Gender]]="Female",TBL_Employees[[#This Row],[Ethnicity]]="Black"), "Female_Black", "Others")</f>
        <v>Others</v>
      </c>
    </row>
    <row r="805" spans="1:17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7">
        <v>41362</v>
      </c>
      <c r="J805" s="1">
        <v>252325</v>
      </c>
      <c r="K805" s="2">
        <v>0.4</v>
      </c>
      <c r="L805" t="s">
        <v>19</v>
      </c>
      <c r="M805" t="s">
        <v>29</v>
      </c>
      <c r="N805" s="7" t="s">
        <v>21</v>
      </c>
      <c r="O805" s="1">
        <f>TBL_Employees[[#This Row],[Annual Salary]]+TBL_Employees[[#This Row],[Bonus %]]*TBL_Employees[[#This Row],[Annual Salary]]</f>
        <v>353255</v>
      </c>
      <c r="P805" t="str">
        <f>IF(AND(TBL_Employees[[#This Row],[Department]]="IT",TBL_Employees[[#This Row],[Gender]]="Female"),"Yes","No")</f>
        <v>No</v>
      </c>
      <c r="Q805" t="str">
        <f>IF(AND(TBL_Employees[[#This Row],[Gender]]="Female",TBL_Employees[[#This Row],[Ethnicity]]="Black"), "Female_Black", "Others")</f>
        <v>Others</v>
      </c>
    </row>
    <row r="806" spans="1:17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7">
        <v>42068</v>
      </c>
      <c r="J806" s="1">
        <v>52697</v>
      </c>
      <c r="K806" s="2">
        <v>0</v>
      </c>
      <c r="L806" t="s">
        <v>19</v>
      </c>
      <c r="M806" t="s">
        <v>63</v>
      </c>
      <c r="N806" s="7" t="s">
        <v>21</v>
      </c>
      <c r="O806" s="1">
        <f>TBL_Employees[[#This Row],[Annual Salary]]+TBL_Employees[[#This Row],[Bonus %]]*TBL_Employees[[#This Row],[Annual Salary]]</f>
        <v>52697</v>
      </c>
      <c r="P806" t="str">
        <f>IF(AND(TBL_Employees[[#This Row],[Department]]="IT",TBL_Employees[[#This Row],[Gender]]="Female"),"Yes","No")</f>
        <v>No</v>
      </c>
      <c r="Q806" t="str">
        <f>IF(AND(TBL_Employees[[#This Row],[Gender]]="Female",TBL_Employees[[#This Row],[Ethnicity]]="Black"), "Female_Black", "Others")</f>
        <v>Others</v>
      </c>
    </row>
    <row r="807" spans="1:17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7">
        <v>44099</v>
      </c>
      <c r="J807" s="1">
        <v>123588</v>
      </c>
      <c r="K807" s="2">
        <v>0</v>
      </c>
      <c r="L807" t="s">
        <v>52</v>
      </c>
      <c r="M807" t="s">
        <v>53</v>
      </c>
      <c r="N807" s="7" t="s">
        <v>21</v>
      </c>
      <c r="O807" s="1">
        <f>TBL_Employees[[#This Row],[Annual Salary]]+TBL_Employees[[#This Row],[Bonus %]]*TBL_Employees[[#This Row],[Annual Salary]]</f>
        <v>123588</v>
      </c>
      <c r="P807" t="str">
        <f>IF(AND(TBL_Employees[[#This Row],[Department]]="IT",TBL_Employees[[#This Row],[Gender]]="Female"),"Yes","No")</f>
        <v>No</v>
      </c>
      <c r="Q807" t="str">
        <f>IF(AND(TBL_Employees[[#This Row],[Gender]]="Female",TBL_Employees[[#This Row],[Ethnicity]]="Black"), "Female_Black", "Others")</f>
        <v>Others</v>
      </c>
    </row>
    <row r="808" spans="1:17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7">
        <v>44556</v>
      </c>
      <c r="J808" s="1">
        <v>243568</v>
      </c>
      <c r="K808" s="2">
        <v>0.33</v>
      </c>
      <c r="L808" t="s">
        <v>19</v>
      </c>
      <c r="M808" t="s">
        <v>25</v>
      </c>
      <c r="N808" s="7" t="s">
        <v>21</v>
      </c>
      <c r="O808" s="1">
        <f>TBL_Employees[[#This Row],[Annual Salary]]+TBL_Employees[[#This Row],[Bonus %]]*TBL_Employees[[#This Row],[Annual Salary]]</f>
        <v>323945.44</v>
      </c>
      <c r="P808" t="str">
        <f>IF(AND(TBL_Employees[[#This Row],[Department]]="IT",TBL_Employees[[#This Row],[Gender]]="Female"),"Yes","No")</f>
        <v>No</v>
      </c>
      <c r="Q808" t="str">
        <f>IF(AND(TBL_Employees[[#This Row],[Gender]]="Female",TBL_Employees[[#This Row],[Ethnicity]]="Black"), "Female_Black", "Others")</f>
        <v>Others</v>
      </c>
    </row>
    <row r="809" spans="1:17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7">
        <v>37092</v>
      </c>
      <c r="J809" s="1">
        <v>199176</v>
      </c>
      <c r="K809" s="2">
        <v>0.24</v>
      </c>
      <c r="L809" t="s">
        <v>19</v>
      </c>
      <c r="M809" t="s">
        <v>39</v>
      </c>
      <c r="N809" s="7" t="s">
        <v>21</v>
      </c>
      <c r="O809" s="1">
        <f>TBL_Employees[[#This Row],[Annual Salary]]+TBL_Employees[[#This Row],[Bonus %]]*TBL_Employees[[#This Row],[Annual Salary]]</f>
        <v>246978.24</v>
      </c>
      <c r="P809" t="str">
        <f>IF(AND(TBL_Employees[[#This Row],[Department]]="IT",TBL_Employees[[#This Row],[Gender]]="Female"),"Yes","No")</f>
        <v>No</v>
      </c>
      <c r="Q809" t="str">
        <f>IF(AND(TBL_Employees[[#This Row],[Gender]]="Female",TBL_Employees[[#This Row],[Ethnicity]]="Black"), "Female_Black", "Others")</f>
        <v>Others</v>
      </c>
    </row>
    <row r="810" spans="1:17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7">
        <v>35238</v>
      </c>
      <c r="J810" s="1">
        <v>82806</v>
      </c>
      <c r="K810" s="2">
        <v>0</v>
      </c>
      <c r="L810" t="s">
        <v>19</v>
      </c>
      <c r="M810" t="s">
        <v>63</v>
      </c>
      <c r="N810" s="7" t="s">
        <v>21</v>
      </c>
      <c r="O810" s="1">
        <f>TBL_Employees[[#This Row],[Annual Salary]]+TBL_Employees[[#This Row],[Bonus %]]*TBL_Employees[[#This Row],[Annual Salary]]</f>
        <v>82806</v>
      </c>
      <c r="P810" t="str">
        <f>IF(AND(TBL_Employees[[#This Row],[Department]]="IT",TBL_Employees[[#This Row],[Gender]]="Female"),"Yes","No")</f>
        <v>Yes</v>
      </c>
      <c r="Q810" t="str">
        <f>IF(AND(TBL_Employees[[#This Row],[Gender]]="Female",TBL_Employees[[#This Row],[Ethnicity]]="Black"), "Female_Black", "Others")</f>
        <v>Others</v>
      </c>
    </row>
    <row r="811" spans="1:17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7">
        <v>35601</v>
      </c>
      <c r="J811" s="1">
        <v>164399</v>
      </c>
      <c r="K811" s="2">
        <v>0.25</v>
      </c>
      <c r="L811" t="s">
        <v>19</v>
      </c>
      <c r="M811" t="s">
        <v>63</v>
      </c>
      <c r="N811" s="7" t="s">
        <v>21</v>
      </c>
      <c r="O811" s="1">
        <f>TBL_Employees[[#This Row],[Annual Salary]]+TBL_Employees[[#This Row],[Bonus %]]*TBL_Employees[[#This Row],[Annual Salary]]</f>
        <v>205498.75</v>
      </c>
      <c r="P811" t="str">
        <f>IF(AND(TBL_Employees[[#This Row],[Department]]="IT",TBL_Employees[[#This Row],[Gender]]="Female"),"Yes","No")</f>
        <v>No</v>
      </c>
      <c r="Q811" t="str">
        <f>IF(AND(TBL_Employees[[#This Row],[Gender]]="Female",TBL_Employees[[#This Row],[Ethnicity]]="Black"), "Female_Black", "Others")</f>
        <v>Others</v>
      </c>
    </row>
    <row r="812" spans="1:17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7">
        <v>42839</v>
      </c>
      <c r="J812" s="1">
        <v>154956</v>
      </c>
      <c r="K812" s="2">
        <v>0.13</v>
      </c>
      <c r="L812" t="s">
        <v>19</v>
      </c>
      <c r="M812" t="s">
        <v>39</v>
      </c>
      <c r="N812" s="7" t="s">
        <v>21</v>
      </c>
      <c r="O812" s="1">
        <f>TBL_Employees[[#This Row],[Annual Salary]]+TBL_Employees[[#This Row],[Bonus %]]*TBL_Employees[[#This Row],[Annual Salary]]</f>
        <v>175100.28</v>
      </c>
      <c r="P812" t="str">
        <f>IF(AND(TBL_Employees[[#This Row],[Department]]="IT",TBL_Employees[[#This Row],[Gender]]="Female"),"Yes","No")</f>
        <v>No</v>
      </c>
      <c r="Q812" t="str">
        <f>IF(AND(TBL_Employees[[#This Row],[Gender]]="Female",TBL_Employees[[#This Row],[Ethnicity]]="Black"), "Female_Black", "Others")</f>
        <v>Others</v>
      </c>
    </row>
    <row r="813" spans="1:17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7">
        <v>42764</v>
      </c>
      <c r="J813" s="1">
        <v>143970</v>
      </c>
      <c r="K813" s="2">
        <v>0.12</v>
      </c>
      <c r="L813" t="s">
        <v>19</v>
      </c>
      <c r="M813" t="s">
        <v>63</v>
      </c>
      <c r="N813" s="7">
        <v>43078</v>
      </c>
      <c r="O813" s="1">
        <f>TBL_Employees[[#This Row],[Annual Salary]]+TBL_Employees[[#This Row],[Bonus %]]*TBL_Employees[[#This Row],[Annual Salary]]</f>
        <v>161246.39999999999</v>
      </c>
      <c r="P813" t="str">
        <f>IF(AND(TBL_Employees[[#This Row],[Department]]="IT",TBL_Employees[[#This Row],[Gender]]="Female"),"Yes","No")</f>
        <v>No</v>
      </c>
      <c r="Q813" t="str">
        <f>IF(AND(TBL_Employees[[#This Row],[Gender]]="Female",TBL_Employees[[#This Row],[Ethnicity]]="Black"), "Female_Black", "Others")</f>
        <v>Others</v>
      </c>
    </row>
    <row r="814" spans="1:17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7">
        <v>44099</v>
      </c>
      <c r="J814" s="1">
        <v>163143</v>
      </c>
      <c r="K814" s="2">
        <v>0.28000000000000003</v>
      </c>
      <c r="L814" t="s">
        <v>52</v>
      </c>
      <c r="M814" t="s">
        <v>53</v>
      </c>
      <c r="N814" s="7" t="s">
        <v>21</v>
      </c>
      <c r="O814" s="1">
        <f>TBL_Employees[[#This Row],[Annual Salary]]+TBL_Employees[[#This Row],[Bonus %]]*TBL_Employees[[#This Row],[Annual Salary]]</f>
        <v>208823.04000000001</v>
      </c>
      <c r="P814" t="str">
        <f>IF(AND(TBL_Employees[[#This Row],[Department]]="IT",TBL_Employees[[#This Row],[Gender]]="Female"),"Yes","No")</f>
        <v>No</v>
      </c>
      <c r="Q814" t="str">
        <f>IF(AND(TBL_Employees[[#This Row],[Gender]]="Female",TBL_Employees[[#This Row],[Ethnicity]]="Black"), "Female_Black", "Others")</f>
        <v>Others</v>
      </c>
    </row>
    <row r="815" spans="1:17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7">
        <v>44036</v>
      </c>
      <c r="J815" s="1">
        <v>89390</v>
      </c>
      <c r="K815" s="2">
        <v>0</v>
      </c>
      <c r="L815" t="s">
        <v>19</v>
      </c>
      <c r="M815" t="s">
        <v>63</v>
      </c>
      <c r="N815" s="7" t="s">
        <v>21</v>
      </c>
      <c r="O815" s="1">
        <f>TBL_Employees[[#This Row],[Annual Salary]]+TBL_Employees[[#This Row],[Bonus %]]*TBL_Employees[[#This Row],[Annual Salary]]</f>
        <v>89390</v>
      </c>
      <c r="P815" t="str">
        <f>IF(AND(TBL_Employees[[#This Row],[Department]]="IT",TBL_Employees[[#This Row],[Gender]]="Female"),"Yes","No")</f>
        <v>No</v>
      </c>
      <c r="Q815" t="str">
        <f>IF(AND(TBL_Employees[[#This Row],[Gender]]="Female",TBL_Employees[[#This Row],[Ethnicity]]="Black"), "Female_Black", "Others")</f>
        <v>Others</v>
      </c>
    </row>
    <row r="816" spans="1:17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7">
        <v>43013</v>
      </c>
      <c r="J816" s="1">
        <v>67468</v>
      </c>
      <c r="K816" s="2">
        <v>0</v>
      </c>
      <c r="L816" t="s">
        <v>19</v>
      </c>
      <c r="M816" t="s">
        <v>45</v>
      </c>
      <c r="N816" s="7" t="s">
        <v>21</v>
      </c>
      <c r="O816" s="1">
        <f>TBL_Employees[[#This Row],[Annual Salary]]+TBL_Employees[[#This Row],[Bonus %]]*TBL_Employees[[#This Row],[Annual Salary]]</f>
        <v>67468</v>
      </c>
      <c r="P816" t="str">
        <f>IF(AND(TBL_Employees[[#This Row],[Department]]="IT",TBL_Employees[[#This Row],[Gender]]="Female"),"Yes","No")</f>
        <v>No</v>
      </c>
      <c r="Q816" t="str">
        <f>IF(AND(TBL_Employees[[#This Row],[Gender]]="Female",TBL_Employees[[#This Row],[Ethnicity]]="Black"), "Female_Black", "Others")</f>
        <v>Others</v>
      </c>
    </row>
    <row r="817" spans="1:17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7">
        <v>42441</v>
      </c>
      <c r="J817" s="1">
        <v>100810</v>
      </c>
      <c r="K817" s="2">
        <v>0.12</v>
      </c>
      <c r="L817" t="s">
        <v>52</v>
      </c>
      <c r="M817" t="s">
        <v>66</v>
      </c>
      <c r="N817" s="7" t="s">
        <v>21</v>
      </c>
      <c r="O817" s="1">
        <f>TBL_Employees[[#This Row],[Annual Salary]]+TBL_Employees[[#This Row],[Bonus %]]*TBL_Employees[[#This Row],[Annual Salary]]</f>
        <v>112907.2</v>
      </c>
      <c r="P817" t="str">
        <f>IF(AND(TBL_Employees[[#This Row],[Department]]="IT",TBL_Employees[[#This Row],[Gender]]="Female"),"Yes","No")</f>
        <v>No</v>
      </c>
      <c r="Q817" t="str">
        <f>IF(AND(TBL_Employees[[#This Row],[Gender]]="Female",TBL_Employees[[#This Row],[Ethnicity]]="Black"), "Female_Black", "Others")</f>
        <v>Others</v>
      </c>
    </row>
    <row r="818" spans="1:17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7">
        <v>43542</v>
      </c>
      <c r="J818" s="1">
        <v>74779</v>
      </c>
      <c r="K818" s="2">
        <v>0</v>
      </c>
      <c r="L818" t="s">
        <v>19</v>
      </c>
      <c r="M818" t="s">
        <v>39</v>
      </c>
      <c r="N818" s="7" t="s">
        <v>21</v>
      </c>
      <c r="O818" s="1">
        <f>TBL_Employees[[#This Row],[Annual Salary]]+TBL_Employees[[#This Row],[Bonus %]]*TBL_Employees[[#This Row],[Annual Salary]]</f>
        <v>74779</v>
      </c>
      <c r="P818" t="str">
        <f>IF(AND(TBL_Employees[[#This Row],[Department]]="IT",TBL_Employees[[#This Row],[Gender]]="Female"),"Yes","No")</f>
        <v>No</v>
      </c>
      <c r="Q818" t="str">
        <f>IF(AND(TBL_Employees[[#This Row],[Gender]]="Female",TBL_Employees[[#This Row],[Ethnicity]]="Black"), "Female_Black", "Others")</f>
        <v>Others</v>
      </c>
    </row>
    <row r="819" spans="1:17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7">
        <v>43048</v>
      </c>
      <c r="J819" s="1">
        <v>63985</v>
      </c>
      <c r="K819" s="2">
        <v>0</v>
      </c>
      <c r="L819" t="s">
        <v>19</v>
      </c>
      <c r="M819" t="s">
        <v>45</v>
      </c>
      <c r="N819" s="7" t="s">
        <v>21</v>
      </c>
      <c r="O819" s="1">
        <f>TBL_Employees[[#This Row],[Annual Salary]]+TBL_Employees[[#This Row],[Bonus %]]*TBL_Employees[[#This Row],[Annual Salary]]</f>
        <v>63985</v>
      </c>
      <c r="P819" t="str">
        <f>IF(AND(TBL_Employees[[#This Row],[Department]]="IT",TBL_Employees[[#This Row],[Gender]]="Female"),"Yes","No")</f>
        <v>Yes</v>
      </c>
      <c r="Q819" t="str">
        <f>IF(AND(TBL_Employees[[#This Row],[Gender]]="Female",TBL_Employees[[#This Row],[Ethnicity]]="Black"), "Female_Black", "Others")</f>
        <v>Others</v>
      </c>
    </row>
    <row r="820" spans="1:17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7">
        <v>38176</v>
      </c>
      <c r="J820" s="1">
        <v>77903</v>
      </c>
      <c r="K820" s="2">
        <v>0</v>
      </c>
      <c r="L820" t="s">
        <v>19</v>
      </c>
      <c r="M820" t="s">
        <v>63</v>
      </c>
      <c r="N820" s="7" t="s">
        <v>21</v>
      </c>
      <c r="O820" s="1">
        <f>TBL_Employees[[#This Row],[Annual Salary]]+TBL_Employees[[#This Row],[Bonus %]]*TBL_Employees[[#This Row],[Annual Salary]]</f>
        <v>77903</v>
      </c>
      <c r="P820" t="str">
        <f>IF(AND(TBL_Employees[[#This Row],[Department]]="IT",TBL_Employees[[#This Row],[Gender]]="Female"),"Yes","No")</f>
        <v>Yes</v>
      </c>
      <c r="Q820" t="str">
        <f>IF(AND(TBL_Employees[[#This Row],[Gender]]="Female",TBL_Employees[[#This Row],[Ethnicity]]="Black"), "Female_Black", "Others")</f>
        <v>Others</v>
      </c>
    </row>
    <row r="821" spans="1:17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7">
        <v>42898</v>
      </c>
      <c r="J821" s="1">
        <v>164396</v>
      </c>
      <c r="K821" s="2">
        <v>0.28999999999999998</v>
      </c>
      <c r="L821" t="s">
        <v>19</v>
      </c>
      <c r="M821" t="s">
        <v>29</v>
      </c>
      <c r="N821" s="7" t="s">
        <v>21</v>
      </c>
      <c r="O821" s="1">
        <f>TBL_Employees[[#This Row],[Annual Salary]]+TBL_Employees[[#This Row],[Bonus %]]*TBL_Employees[[#This Row],[Annual Salary]]</f>
        <v>212070.84</v>
      </c>
      <c r="P821" t="str">
        <f>IF(AND(TBL_Employees[[#This Row],[Department]]="IT",TBL_Employees[[#This Row],[Gender]]="Female"),"Yes","No")</f>
        <v>No</v>
      </c>
      <c r="Q821" t="str">
        <f>IF(AND(TBL_Employees[[#This Row],[Gender]]="Female",TBL_Employees[[#This Row],[Ethnicity]]="Black"), "Female_Black", "Others")</f>
        <v>Others</v>
      </c>
    </row>
    <row r="822" spans="1:17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7">
        <v>44375</v>
      </c>
      <c r="J822" s="1">
        <v>71234</v>
      </c>
      <c r="K822" s="2">
        <v>0</v>
      </c>
      <c r="L822" t="s">
        <v>19</v>
      </c>
      <c r="M822" t="s">
        <v>63</v>
      </c>
      <c r="N822" s="7" t="s">
        <v>21</v>
      </c>
      <c r="O822" s="1">
        <f>TBL_Employees[[#This Row],[Annual Salary]]+TBL_Employees[[#This Row],[Bonus %]]*TBL_Employees[[#This Row],[Annual Salary]]</f>
        <v>71234</v>
      </c>
      <c r="P822" t="str">
        <f>IF(AND(TBL_Employees[[#This Row],[Department]]="IT",TBL_Employees[[#This Row],[Gender]]="Female"),"Yes","No")</f>
        <v>No</v>
      </c>
      <c r="Q822" t="str">
        <f>IF(AND(TBL_Employees[[#This Row],[Gender]]="Female",TBL_Employees[[#This Row],[Ethnicity]]="Black"), "Female_Black", "Others")</f>
        <v>Others</v>
      </c>
    </row>
    <row r="823" spans="1:17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7">
        <v>38096</v>
      </c>
      <c r="J823" s="1">
        <v>122487</v>
      </c>
      <c r="K823" s="2">
        <v>0.08</v>
      </c>
      <c r="L823" t="s">
        <v>33</v>
      </c>
      <c r="M823" t="s">
        <v>74</v>
      </c>
      <c r="N823" s="7" t="s">
        <v>21</v>
      </c>
      <c r="O823" s="1">
        <f>TBL_Employees[[#This Row],[Annual Salary]]+TBL_Employees[[#This Row],[Bonus %]]*TBL_Employees[[#This Row],[Annual Salary]]</f>
        <v>132285.96</v>
      </c>
      <c r="P823" t="str">
        <f>IF(AND(TBL_Employees[[#This Row],[Department]]="IT",TBL_Employees[[#This Row],[Gender]]="Female"),"Yes","No")</f>
        <v>No</v>
      </c>
      <c r="Q823" t="str">
        <f>IF(AND(TBL_Employees[[#This Row],[Gender]]="Female",TBL_Employees[[#This Row],[Ethnicity]]="Black"), "Female_Black", "Others")</f>
        <v>Others</v>
      </c>
    </row>
    <row r="824" spans="1:17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7">
        <v>42738</v>
      </c>
      <c r="J824" s="1">
        <v>101870</v>
      </c>
      <c r="K824" s="2">
        <v>0.1</v>
      </c>
      <c r="L824" t="s">
        <v>19</v>
      </c>
      <c r="M824" t="s">
        <v>39</v>
      </c>
      <c r="N824" s="7" t="s">
        <v>21</v>
      </c>
      <c r="O824" s="1">
        <f>TBL_Employees[[#This Row],[Annual Salary]]+TBL_Employees[[#This Row],[Bonus %]]*TBL_Employees[[#This Row],[Annual Salary]]</f>
        <v>112057</v>
      </c>
      <c r="P824" t="str">
        <f>IF(AND(TBL_Employees[[#This Row],[Department]]="IT",TBL_Employees[[#This Row],[Gender]]="Female"),"Yes","No")</f>
        <v>No</v>
      </c>
      <c r="Q824" t="str">
        <f>IF(AND(TBL_Employees[[#This Row],[Gender]]="Female",TBL_Employees[[#This Row],[Ethnicity]]="Black"), "Female_Black", "Others")</f>
        <v>Others</v>
      </c>
    </row>
    <row r="825" spans="1:17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7">
        <v>44009</v>
      </c>
      <c r="J825" s="1">
        <v>40316</v>
      </c>
      <c r="K825" s="2">
        <v>0</v>
      </c>
      <c r="L825" t="s">
        <v>52</v>
      </c>
      <c r="M825" t="s">
        <v>81</v>
      </c>
      <c r="N825" s="7" t="s">
        <v>21</v>
      </c>
      <c r="O825" s="1">
        <f>TBL_Employees[[#This Row],[Annual Salary]]+TBL_Employees[[#This Row],[Bonus %]]*TBL_Employees[[#This Row],[Annual Salary]]</f>
        <v>40316</v>
      </c>
      <c r="P825" t="str">
        <f>IF(AND(TBL_Employees[[#This Row],[Department]]="IT",TBL_Employees[[#This Row],[Gender]]="Female"),"Yes","No")</f>
        <v>No</v>
      </c>
      <c r="Q825" t="str">
        <f>IF(AND(TBL_Employees[[#This Row],[Gender]]="Female",TBL_Employees[[#This Row],[Ethnicity]]="Black"), "Female_Black", "Others")</f>
        <v>Others</v>
      </c>
    </row>
    <row r="826" spans="1:17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7">
        <v>38391</v>
      </c>
      <c r="J826" s="1">
        <v>115145</v>
      </c>
      <c r="K826" s="2">
        <v>0.05</v>
      </c>
      <c r="L826" t="s">
        <v>33</v>
      </c>
      <c r="M826" t="s">
        <v>80</v>
      </c>
      <c r="N826" s="7" t="s">
        <v>21</v>
      </c>
      <c r="O826" s="1">
        <f>TBL_Employees[[#This Row],[Annual Salary]]+TBL_Employees[[#This Row],[Bonus %]]*TBL_Employees[[#This Row],[Annual Salary]]</f>
        <v>120902.25</v>
      </c>
      <c r="P826" t="str">
        <f>IF(AND(TBL_Employees[[#This Row],[Department]]="IT",TBL_Employees[[#This Row],[Gender]]="Female"),"Yes","No")</f>
        <v>Yes</v>
      </c>
      <c r="Q826" t="str">
        <f>IF(AND(TBL_Employees[[#This Row],[Gender]]="Female",TBL_Employees[[#This Row],[Ethnicity]]="Black"), "Female_Black", "Others")</f>
        <v>Others</v>
      </c>
    </row>
    <row r="827" spans="1:17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7">
        <v>39885</v>
      </c>
      <c r="J827" s="1">
        <v>62335</v>
      </c>
      <c r="K827" s="2">
        <v>0</v>
      </c>
      <c r="L827" t="s">
        <v>52</v>
      </c>
      <c r="M827" t="s">
        <v>81</v>
      </c>
      <c r="N827" s="7" t="s">
        <v>21</v>
      </c>
      <c r="O827" s="1">
        <f>TBL_Employees[[#This Row],[Annual Salary]]+TBL_Employees[[#This Row],[Bonus %]]*TBL_Employees[[#This Row],[Annual Salary]]</f>
        <v>62335</v>
      </c>
      <c r="P827" t="str">
        <f>IF(AND(TBL_Employees[[#This Row],[Department]]="IT",TBL_Employees[[#This Row],[Gender]]="Female"),"Yes","No")</f>
        <v>Yes</v>
      </c>
      <c r="Q827" t="str">
        <f>IF(AND(TBL_Employees[[#This Row],[Gender]]="Female",TBL_Employees[[#This Row],[Ethnicity]]="Black"), "Female_Black", "Others")</f>
        <v>Others</v>
      </c>
    </row>
    <row r="828" spans="1:17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7">
        <v>38847</v>
      </c>
      <c r="J828" s="1">
        <v>41561</v>
      </c>
      <c r="K828" s="2">
        <v>0</v>
      </c>
      <c r="L828" t="s">
        <v>19</v>
      </c>
      <c r="M828" t="s">
        <v>25</v>
      </c>
      <c r="N828" s="7" t="s">
        <v>21</v>
      </c>
      <c r="O828" s="1">
        <f>TBL_Employees[[#This Row],[Annual Salary]]+TBL_Employees[[#This Row],[Bonus %]]*TBL_Employees[[#This Row],[Annual Salary]]</f>
        <v>41561</v>
      </c>
      <c r="P828" t="str">
        <f>IF(AND(TBL_Employees[[#This Row],[Department]]="IT",TBL_Employees[[#This Row],[Gender]]="Female"),"Yes","No")</f>
        <v>No</v>
      </c>
      <c r="Q828" t="str">
        <f>IF(AND(TBL_Employees[[#This Row],[Gender]]="Female",TBL_Employees[[#This Row],[Ethnicity]]="Black"), "Female_Black", "Others")</f>
        <v>Others</v>
      </c>
    </row>
    <row r="829" spans="1:17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7">
        <v>40657</v>
      </c>
      <c r="J829" s="1">
        <v>131183</v>
      </c>
      <c r="K829" s="2">
        <v>0.14000000000000001</v>
      </c>
      <c r="L829" t="s">
        <v>33</v>
      </c>
      <c r="M829" t="s">
        <v>74</v>
      </c>
      <c r="N829" s="7">
        <v>42445</v>
      </c>
      <c r="O829" s="1">
        <f>TBL_Employees[[#This Row],[Annual Salary]]+TBL_Employees[[#This Row],[Bonus %]]*TBL_Employees[[#This Row],[Annual Salary]]</f>
        <v>149548.62</v>
      </c>
      <c r="P829" t="str">
        <f>IF(AND(TBL_Employees[[#This Row],[Department]]="IT",TBL_Employees[[#This Row],[Gender]]="Female"),"Yes","No")</f>
        <v>No</v>
      </c>
      <c r="Q829" t="str">
        <f>IF(AND(TBL_Employees[[#This Row],[Gender]]="Female",TBL_Employees[[#This Row],[Ethnicity]]="Black"), "Female_Black", "Others")</f>
        <v>Others</v>
      </c>
    </row>
    <row r="830" spans="1:17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7">
        <v>37445</v>
      </c>
      <c r="J830" s="1">
        <v>92655</v>
      </c>
      <c r="K830" s="2">
        <v>0</v>
      </c>
      <c r="L830" t="s">
        <v>33</v>
      </c>
      <c r="M830" t="s">
        <v>34</v>
      </c>
      <c r="N830" s="7" t="s">
        <v>21</v>
      </c>
      <c r="O830" s="1">
        <f>TBL_Employees[[#This Row],[Annual Salary]]+TBL_Employees[[#This Row],[Bonus %]]*TBL_Employees[[#This Row],[Annual Salary]]</f>
        <v>92655</v>
      </c>
      <c r="P830" t="str">
        <f>IF(AND(TBL_Employees[[#This Row],[Department]]="IT",TBL_Employees[[#This Row],[Gender]]="Female"),"Yes","No")</f>
        <v>Yes</v>
      </c>
      <c r="Q830" t="str">
        <f>IF(AND(TBL_Employees[[#This Row],[Gender]]="Female",TBL_Employees[[#This Row],[Ethnicity]]="Black"), "Female_Black", "Others")</f>
        <v>Others</v>
      </c>
    </row>
    <row r="831" spans="1:17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7">
        <v>35157</v>
      </c>
      <c r="J831" s="1">
        <v>157057</v>
      </c>
      <c r="K831" s="2">
        <v>0.12</v>
      </c>
      <c r="L831" t="s">
        <v>19</v>
      </c>
      <c r="M831" t="s">
        <v>45</v>
      </c>
      <c r="N831" s="7" t="s">
        <v>21</v>
      </c>
      <c r="O831" s="1">
        <f>TBL_Employees[[#This Row],[Annual Salary]]+TBL_Employees[[#This Row],[Bonus %]]*TBL_Employees[[#This Row],[Annual Salary]]</f>
        <v>175903.84</v>
      </c>
      <c r="P831" t="str">
        <f>IF(AND(TBL_Employees[[#This Row],[Department]]="IT",TBL_Employees[[#This Row],[Gender]]="Female"),"Yes","No")</f>
        <v>No</v>
      </c>
      <c r="Q831" t="str">
        <f>IF(AND(TBL_Employees[[#This Row],[Gender]]="Female",TBL_Employees[[#This Row],[Ethnicity]]="Black"), "Female_Black", "Others")</f>
        <v>Others</v>
      </c>
    </row>
    <row r="832" spans="1:17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7">
        <v>38392</v>
      </c>
      <c r="J832" s="1">
        <v>64462</v>
      </c>
      <c r="K832" s="2">
        <v>0</v>
      </c>
      <c r="L832" t="s">
        <v>19</v>
      </c>
      <c r="M832" t="s">
        <v>20</v>
      </c>
      <c r="N832" s="7" t="s">
        <v>21</v>
      </c>
      <c r="O832" s="1">
        <f>TBL_Employees[[#This Row],[Annual Salary]]+TBL_Employees[[#This Row],[Bonus %]]*TBL_Employees[[#This Row],[Annual Salary]]</f>
        <v>64462</v>
      </c>
      <c r="P832" t="str">
        <f>IF(AND(TBL_Employees[[#This Row],[Department]]="IT",TBL_Employees[[#This Row],[Gender]]="Female"),"Yes","No")</f>
        <v>Yes</v>
      </c>
      <c r="Q832" t="str">
        <f>IF(AND(TBL_Employees[[#This Row],[Gender]]="Female",TBL_Employees[[#This Row],[Ethnicity]]="Black"), "Female_Black", "Others")</f>
        <v>Others</v>
      </c>
    </row>
    <row r="833" spans="1:17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7">
        <v>38632</v>
      </c>
      <c r="J833" s="1">
        <v>79352</v>
      </c>
      <c r="K833" s="2">
        <v>0</v>
      </c>
      <c r="L833" t="s">
        <v>19</v>
      </c>
      <c r="M833" t="s">
        <v>63</v>
      </c>
      <c r="N833" s="7" t="s">
        <v>21</v>
      </c>
      <c r="O833" s="1">
        <f>TBL_Employees[[#This Row],[Annual Salary]]+TBL_Employees[[#This Row],[Bonus %]]*TBL_Employees[[#This Row],[Annual Salary]]</f>
        <v>79352</v>
      </c>
      <c r="P833" t="str">
        <f>IF(AND(TBL_Employees[[#This Row],[Department]]="IT",TBL_Employees[[#This Row],[Gender]]="Female"),"Yes","No")</f>
        <v>No</v>
      </c>
      <c r="Q833" t="str">
        <f>IF(AND(TBL_Employees[[#This Row],[Gender]]="Female",TBL_Employees[[#This Row],[Ethnicity]]="Black"), "Female_Black", "Others")</f>
        <v>Others</v>
      </c>
    </row>
    <row r="834" spans="1:17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7">
        <v>36977</v>
      </c>
      <c r="J834" s="1">
        <v>157812</v>
      </c>
      <c r="K834" s="2">
        <v>0.11</v>
      </c>
      <c r="L834" t="s">
        <v>19</v>
      </c>
      <c r="M834" t="s">
        <v>45</v>
      </c>
      <c r="N834" s="7" t="s">
        <v>21</v>
      </c>
      <c r="O834" s="1">
        <f>TBL_Employees[[#This Row],[Annual Salary]]+TBL_Employees[[#This Row],[Bonus %]]*TBL_Employees[[#This Row],[Annual Salary]]</f>
        <v>175171.32</v>
      </c>
      <c r="P834" t="str">
        <f>IF(AND(TBL_Employees[[#This Row],[Department]]="IT",TBL_Employees[[#This Row],[Gender]]="Female"),"Yes","No")</f>
        <v>No</v>
      </c>
      <c r="Q834" t="str">
        <f>IF(AND(TBL_Employees[[#This Row],[Gender]]="Female",TBL_Employees[[#This Row],[Ethnicity]]="Black"), "Female_Black", "Others")</f>
        <v>Others</v>
      </c>
    </row>
    <row r="835" spans="1:17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7">
        <v>43354</v>
      </c>
      <c r="J835" s="1">
        <v>80745</v>
      </c>
      <c r="K835" s="2">
        <v>0</v>
      </c>
      <c r="L835" t="s">
        <v>19</v>
      </c>
      <c r="M835" t="s">
        <v>20</v>
      </c>
      <c r="N835" s="7" t="s">
        <v>21</v>
      </c>
      <c r="O835" s="1">
        <f>TBL_Employees[[#This Row],[Annual Salary]]+TBL_Employees[[#This Row],[Bonus %]]*TBL_Employees[[#This Row],[Annual Salary]]</f>
        <v>80745</v>
      </c>
      <c r="P835" t="str">
        <f>IF(AND(TBL_Employees[[#This Row],[Department]]="IT",TBL_Employees[[#This Row],[Gender]]="Female"),"Yes","No")</f>
        <v>No</v>
      </c>
      <c r="Q835" t="str">
        <f>IF(AND(TBL_Employees[[#This Row],[Gender]]="Female",TBL_Employees[[#This Row],[Ethnicity]]="Black"), "Female_Black", "Others")</f>
        <v>Others</v>
      </c>
    </row>
    <row r="836" spans="1:17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7">
        <v>35113</v>
      </c>
      <c r="J836" s="1">
        <v>75354</v>
      </c>
      <c r="K836" s="2">
        <v>0</v>
      </c>
      <c r="L836" t="s">
        <v>19</v>
      </c>
      <c r="M836" t="s">
        <v>25</v>
      </c>
      <c r="N836" s="7">
        <v>35413</v>
      </c>
      <c r="O836" s="1">
        <f>TBL_Employees[[#This Row],[Annual Salary]]+TBL_Employees[[#This Row],[Bonus %]]*TBL_Employees[[#This Row],[Annual Salary]]</f>
        <v>75354</v>
      </c>
      <c r="P836" t="str">
        <f>IF(AND(TBL_Employees[[#This Row],[Department]]="IT",TBL_Employees[[#This Row],[Gender]]="Female"),"Yes","No")</f>
        <v>Yes</v>
      </c>
      <c r="Q836" t="str">
        <f>IF(AND(TBL_Employees[[#This Row],[Gender]]="Female",TBL_Employees[[#This Row],[Ethnicity]]="Black"), "Female_Black", "Others")</f>
        <v>Others</v>
      </c>
    </row>
    <row r="837" spans="1:17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7">
        <v>43363</v>
      </c>
      <c r="J837" s="1">
        <v>78938</v>
      </c>
      <c r="K837" s="2">
        <v>0.14000000000000001</v>
      </c>
      <c r="L837" t="s">
        <v>19</v>
      </c>
      <c r="M837" t="s">
        <v>39</v>
      </c>
      <c r="N837" s="7" t="s">
        <v>21</v>
      </c>
      <c r="O837" s="1">
        <f>TBL_Employees[[#This Row],[Annual Salary]]+TBL_Employees[[#This Row],[Bonus %]]*TBL_Employees[[#This Row],[Annual Salary]]</f>
        <v>89989.32</v>
      </c>
      <c r="P837" t="str">
        <f>IF(AND(TBL_Employees[[#This Row],[Department]]="IT",TBL_Employees[[#This Row],[Gender]]="Female"),"Yes","No")</f>
        <v>No</v>
      </c>
      <c r="Q837" t="str">
        <f>IF(AND(TBL_Employees[[#This Row],[Gender]]="Female",TBL_Employees[[#This Row],[Ethnicity]]="Black"), "Female_Black", "Others")</f>
        <v>Others</v>
      </c>
    </row>
    <row r="838" spans="1:17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7">
        <v>39701</v>
      </c>
      <c r="J838" s="1">
        <v>96313</v>
      </c>
      <c r="K838" s="2">
        <v>0</v>
      </c>
      <c r="L838" t="s">
        <v>19</v>
      </c>
      <c r="M838" t="s">
        <v>25</v>
      </c>
      <c r="N838" s="7" t="s">
        <v>21</v>
      </c>
      <c r="O838" s="1">
        <f>TBL_Employees[[#This Row],[Annual Salary]]+TBL_Employees[[#This Row],[Bonus %]]*TBL_Employees[[#This Row],[Annual Salary]]</f>
        <v>96313</v>
      </c>
      <c r="P838" t="str">
        <f>IF(AND(TBL_Employees[[#This Row],[Department]]="IT",TBL_Employees[[#This Row],[Gender]]="Female"),"Yes","No")</f>
        <v>No</v>
      </c>
      <c r="Q838" t="str">
        <f>IF(AND(TBL_Employees[[#This Row],[Gender]]="Female",TBL_Employees[[#This Row],[Ethnicity]]="Black"), "Female_Black", "Others")</f>
        <v>Others</v>
      </c>
    </row>
    <row r="839" spans="1:17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7">
        <v>40511</v>
      </c>
      <c r="J839" s="1">
        <v>153767</v>
      </c>
      <c r="K839" s="2">
        <v>0.27</v>
      </c>
      <c r="L839" t="s">
        <v>19</v>
      </c>
      <c r="M839" t="s">
        <v>39</v>
      </c>
      <c r="N839" s="7" t="s">
        <v>21</v>
      </c>
      <c r="O839" s="1">
        <f>TBL_Employees[[#This Row],[Annual Salary]]+TBL_Employees[[#This Row],[Bonus %]]*TBL_Employees[[#This Row],[Annual Salary]]</f>
        <v>195284.09</v>
      </c>
      <c r="P839" t="str">
        <f>IF(AND(TBL_Employees[[#This Row],[Department]]="IT",TBL_Employees[[#This Row],[Gender]]="Female"),"Yes","No")</f>
        <v>No</v>
      </c>
      <c r="Q839" t="str">
        <f>IF(AND(TBL_Employees[[#This Row],[Gender]]="Female",TBL_Employees[[#This Row],[Ethnicity]]="Black"), "Female_Black", "Others")</f>
        <v>Others</v>
      </c>
    </row>
    <row r="840" spans="1:17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7">
        <v>42266</v>
      </c>
      <c r="J840" s="1">
        <v>103423</v>
      </c>
      <c r="K840" s="2">
        <v>0.06</v>
      </c>
      <c r="L840" t="s">
        <v>19</v>
      </c>
      <c r="M840" t="s">
        <v>29</v>
      </c>
      <c r="N840" s="7" t="s">
        <v>21</v>
      </c>
      <c r="O840" s="1">
        <f>TBL_Employees[[#This Row],[Annual Salary]]+TBL_Employees[[#This Row],[Bonus %]]*TBL_Employees[[#This Row],[Annual Salary]]</f>
        <v>109628.38</v>
      </c>
      <c r="P840" t="str">
        <f>IF(AND(TBL_Employees[[#This Row],[Department]]="IT",TBL_Employees[[#This Row],[Gender]]="Female"),"Yes","No")</f>
        <v>No</v>
      </c>
      <c r="Q840" t="str">
        <f>IF(AND(TBL_Employees[[#This Row],[Gender]]="Female",TBL_Employees[[#This Row],[Ethnicity]]="Black"), "Female_Black", "Others")</f>
        <v>Female_Black</v>
      </c>
    </row>
    <row r="841" spans="1:17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7">
        <v>44370</v>
      </c>
      <c r="J841" s="1">
        <v>86464</v>
      </c>
      <c r="K841" s="2">
        <v>0</v>
      </c>
      <c r="L841" t="s">
        <v>33</v>
      </c>
      <c r="M841" t="s">
        <v>74</v>
      </c>
      <c r="N841" s="7" t="s">
        <v>21</v>
      </c>
      <c r="O841" s="1">
        <f>TBL_Employees[[#This Row],[Annual Salary]]+TBL_Employees[[#This Row],[Bonus %]]*TBL_Employees[[#This Row],[Annual Salary]]</f>
        <v>86464</v>
      </c>
      <c r="P841" t="str">
        <f>IF(AND(TBL_Employees[[#This Row],[Department]]="IT",TBL_Employees[[#This Row],[Gender]]="Female"),"Yes","No")</f>
        <v>No</v>
      </c>
      <c r="Q841" t="str">
        <f>IF(AND(TBL_Employees[[#This Row],[Gender]]="Female",TBL_Employees[[#This Row],[Ethnicity]]="Black"), "Female_Black", "Others")</f>
        <v>Others</v>
      </c>
    </row>
    <row r="842" spans="1:17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7">
        <v>43114</v>
      </c>
      <c r="J842" s="1">
        <v>80516</v>
      </c>
      <c r="K842" s="2">
        <v>0</v>
      </c>
      <c r="L842" t="s">
        <v>52</v>
      </c>
      <c r="M842" t="s">
        <v>53</v>
      </c>
      <c r="N842" s="7" t="s">
        <v>21</v>
      </c>
      <c r="O842" s="1">
        <f>TBL_Employees[[#This Row],[Annual Salary]]+TBL_Employees[[#This Row],[Bonus %]]*TBL_Employees[[#This Row],[Annual Salary]]</f>
        <v>80516</v>
      </c>
      <c r="P842" t="str">
        <f>IF(AND(TBL_Employees[[#This Row],[Department]]="IT",TBL_Employees[[#This Row],[Gender]]="Female"),"Yes","No")</f>
        <v>No</v>
      </c>
      <c r="Q842" t="str">
        <f>IF(AND(TBL_Employees[[#This Row],[Gender]]="Female",TBL_Employees[[#This Row],[Ethnicity]]="Black"), "Female_Black", "Others")</f>
        <v>Others</v>
      </c>
    </row>
    <row r="843" spans="1:17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7">
        <v>41507</v>
      </c>
      <c r="J843" s="1">
        <v>105390</v>
      </c>
      <c r="K843" s="2">
        <v>0.06</v>
      </c>
      <c r="L843" t="s">
        <v>19</v>
      </c>
      <c r="M843" t="s">
        <v>29</v>
      </c>
      <c r="N843" s="7" t="s">
        <v>21</v>
      </c>
      <c r="O843" s="1">
        <f>TBL_Employees[[#This Row],[Annual Salary]]+TBL_Employees[[#This Row],[Bonus %]]*TBL_Employees[[#This Row],[Annual Salary]]</f>
        <v>111713.4</v>
      </c>
      <c r="P843" t="str">
        <f>IF(AND(TBL_Employees[[#This Row],[Department]]="IT",TBL_Employees[[#This Row],[Gender]]="Female"),"Yes","No")</f>
        <v>No</v>
      </c>
      <c r="Q843" t="str">
        <f>IF(AND(TBL_Employees[[#This Row],[Gender]]="Female",TBL_Employees[[#This Row],[Ethnicity]]="Black"), "Female_Black", "Others")</f>
        <v>Female_Black</v>
      </c>
    </row>
    <row r="844" spans="1:17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7">
        <v>44445</v>
      </c>
      <c r="J844" s="1">
        <v>83418</v>
      </c>
      <c r="K844" s="2">
        <v>0</v>
      </c>
      <c r="L844" t="s">
        <v>33</v>
      </c>
      <c r="M844" t="s">
        <v>74</v>
      </c>
      <c r="N844" s="7" t="s">
        <v>21</v>
      </c>
      <c r="O844" s="1">
        <f>TBL_Employees[[#This Row],[Annual Salary]]+TBL_Employees[[#This Row],[Bonus %]]*TBL_Employees[[#This Row],[Annual Salary]]</f>
        <v>83418</v>
      </c>
      <c r="P844" t="str">
        <f>IF(AND(TBL_Employees[[#This Row],[Department]]="IT",TBL_Employees[[#This Row],[Gender]]="Female"),"Yes","No")</f>
        <v>Yes</v>
      </c>
      <c r="Q844" t="str">
        <f>IF(AND(TBL_Employees[[#This Row],[Gender]]="Female",TBL_Employees[[#This Row],[Ethnicity]]="Black"), "Female_Black", "Others")</f>
        <v>Others</v>
      </c>
    </row>
    <row r="845" spans="1:17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7">
        <v>43042</v>
      </c>
      <c r="J845" s="1">
        <v>66660</v>
      </c>
      <c r="K845" s="2">
        <v>0</v>
      </c>
      <c r="L845" t="s">
        <v>19</v>
      </c>
      <c r="M845" t="s">
        <v>25</v>
      </c>
      <c r="N845" s="7" t="s">
        <v>21</v>
      </c>
      <c r="O845" s="1">
        <f>TBL_Employees[[#This Row],[Annual Salary]]+TBL_Employees[[#This Row],[Bonus %]]*TBL_Employees[[#This Row],[Annual Salary]]</f>
        <v>66660</v>
      </c>
      <c r="P845" t="str">
        <f>IF(AND(TBL_Employees[[#This Row],[Department]]="IT",TBL_Employees[[#This Row],[Gender]]="Female"),"Yes","No")</f>
        <v>Yes</v>
      </c>
      <c r="Q845" t="str">
        <f>IF(AND(TBL_Employees[[#This Row],[Gender]]="Female",TBL_Employees[[#This Row],[Ethnicity]]="Black"), "Female_Black", "Others")</f>
        <v>Others</v>
      </c>
    </row>
    <row r="846" spans="1:17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7">
        <v>42165</v>
      </c>
      <c r="J846" s="1">
        <v>101985</v>
      </c>
      <c r="K846" s="2">
        <v>7.0000000000000007E-2</v>
      </c>
      <c r="L846" t="s">
        <v>19</v>
      </c>
      <c r="M846" t="s">
        <v>45</v>
      </c>
      <c r="N846" s="7" t="s">
        <v>21</v>
      </c>
      <c r="O846" s="1">
        <f>TBL_Employees[[#This Row],[Annual Salary]]+TBL_Employees[[#This Row],[Bonus %]]*TBL_Employees[[#This Row],[Annual Salary]]</f>
        <v>109123.95</v>
      </c>
      <c r="P846" t="str">
        <f>IF(AND(TBL_Employees[[#This Row],[Department]]="IT",TBL_Employees[[#This Row],[Gender]]="Female"),"Yes","No")</f>
        <v>No</v>
      </c>
      <c r="Q846" t="str">
        <f>IF(AND(TBL_Employees[[#This Row],[Gender]]="Female",TBL_Employees[[#This Row],[Ethnicity]]="Black"), "Female_Black", "Others")</f>
        <v>Others</v>
      </c>
    </row>
    <row r="847" spans="1:17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7">
        <v>43439</v>
      </c>
      <c r="J847" s="1">
        <v>199504</v>
      </c>
      <c r="K847" s="2">
        <v>0.3</v>
      </c>
      <c r="L847" t="s">
        <v>19</v>
      </c>
      <c r="M847" t="s">
        <v>25</v>
      </c>
      <c r="N847" s="7" t="s">
        <v>21</v>
      </c>
      <c r="O847" s="1">
        <f>TBL_Employees[[#This Row],[Annual Salary]]+TBL_Employees[[#This Row],[Bonus %]]*TBL_Employees[[#This Row],[Annual Salary]]</f>
        <v>259355.2</v>
      </c>
      <c r="P847" t="str">
        <f>IF(AND(TBL_Employees[[#This Row],[Department]]="IT",TBL_Employees[[#This Row],[Gender]]="Female"),"Yes","No")</f>
        <v>No</v>
      </c>
      <c r="Q847" t="str">
        <f>IF(AND(TBL_Employees[[#This Row],[Gender]]="Female",TBL_Employees[[#This Row],[Ethnicity]]="Black"), "Female_Black", "Others")</f>
        <v>Others</v>
      </c>
    </row>
    <row r="848" spans="1:17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7">
        <v>38995</v>
      </c>
      <c r="J848" s="1">
        <v>147966</v>
      </c>
      <c r="K848" s="2">
        <v>0.11</v>
      </c>
      <c r="L848" t="s">
        <v>52</v>
      </c>
      <c r="M848" t="s">
        <v>66</v>
      </c>
      <c r="N848" s="7">
        <v>43608</v>
      </c>
      <c r="O848" s="1">
        <f>TBL_Employees[[#This Row],[Annual Salary]]+TBL_Employees[[#This Row],[Bonus %]]*TBL_Employees[[#This Row],[Annual Salary]]</f>
        <v>164242.26</v>
      </c>
      <c r="P848" t="str">
        <f>IF(AND(TBL_Employees[[#This Row],[Department]]="IT",TBL_Employees[[#This Row],[Gender]]="Female"),"Yes","No")</f>
        <v>No</v>
      </c>
      <c r="Q848" t="str">
        <f>IF(AND(TBL_Employees[[#This Row],[Gender]]="Female",TBL_Employees[[#This Row],[Ethnicity]]="Black"), "Female_Black", "Others")</f>
        <v>Others</v>
      </c>
    </row>
    <row r="849" spans="1:17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7">
        <v>41810</v>
      </c>
      <c r="J849" s="1">
        <v>41728</v>
      </c>
      <c r="K849" s="2">
        <v>0</v>
      </c>
      <c r="L849" t="s">
        <v>33</v>
      </c>
      <c r="M849" t="s">
        <v>80</v>
      </c>
      <c r="N849" s="7" t="s">
        <v>21</v>
      </c>
      <c r="O849" s="1">
        <f>TBL_Employees[[#This Row],[Annual Salary]]+TBL_Employees[[#This Row],[Bonus %]]*TBL_Employees[[#This Row],[Annual Salary]]</f>
        <v>41728</v>
      </c>
      <c r="P849" t="str">
        <f>IF(AND(TBL_Employees[[#This Row],[Department]]="IT",TBL_Employees[[#This Row],[Gender]]="Female"),"Yes","No")</f>
        <v>No</v>
      </c>
      <c r="Q849" t="str">
        <f>IF(AND(TBL_Employees[[#This Row],[Gender]]="Female",TBL_Employees[[#This Row],[Ethnicity]]="Black"), "Female_Black", "Others")</f>
        <v>Others</v>
      </c>
    </row>
    <row r="850" spans="1:17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7">
        <v>40591</v>
      </c>
      <c r="J850" s="1">
        <v>94422</v>
      </c>
      <c r="K850" s="2">
        <v>0</v>
      </c>
      <c r="L850" t="s">
        <v>19</v>
      </c>
      <c r="M850" t="s">
        <v>39</v>
      </c>
      <c r="N850" s="7" t="s">
        <v>21</v>
      </c>
      <c r="O850" s="1">
        <f>TBL_Employees[[#This Row],[Annual Salary]]+TBL_Employees[[#This Row],[Bonus %]]*TBL_Employees[[#This Row],[Annual Salary]]</f>
        <v>94422</v>
      </c>
      <c r="P850" t="str">
        <f>IF(AND(TBL_Employees[[#This Row],[Department]]="IT",TBL_Employees[[#This Row],[Gender]]="Female"),"Yes","No")</f>
        <v>No</v>
      </c>
      <c r="Q850" t="str">
        <f>IF(AND(TBL_Employees[[#This Row],[Gender]]="Female",TBL_Employees[[#This Row],[Ethnicity]]="Black"), "Female_Black", "Others")</f>
        <v>Others</v>
      </c>
    </row>
    <row r="851" spans="1:17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7">
        <v>42184</v>
      </c>
      <c r="J851" s="1">
        <v>191026</v>
      </c>
      <c r="K851" s="2">
        <v>0.16</v>
      </c>
      <c r="L851" t="s">
        <v>19</v>
      </c>
      <c r="M851" t="s">
        <v>29</v>
      </c>
      <c r="N851" s="7" t="s">
        <v>21</v>
      </c>
      <c r="O851" s="1">
        <f>TBL_Employees[[#This Row],[Annual Salary]]+TBL_Employees[[#This Row],[Bonus %]]*TBL_Employees[[#This Row],[Annual Salary]]</f>
        <v>221590.16</v>
      </c>
      <c r="P851" t="str">
        <f>IF(AND(TBL_Employees[[#This Row],[Department]]="IT",TBL_Employees[[#This Row],[Gender]]="Female"),"Yes","No")</f>
        <v>No</v>
      </c>
      <c r="Q851" t="str">
        <f>IF(AND(TBL_Employees[[#This Row],[Gender]]="Female",TBL_Employees[[#This Row],[Ethnicity]]="Black"), "Female_Black", "Others")</f>
        <v>Others</v>
      </c>
    </row>
    <row r="852" spans="1:17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7">
        <v>40511</v>
      </c>
      <c r="J852" s="1">
        <v>186725</v>
      </c>
      <c r="K852" s="2">
        <v>0.32</v>
      </c>
      <c r="L852" t="s">
        <v>52</v>
      </c>
      <c r="M852" t="s">
        <v>81</v>
      </c>
      <c r="N852" s="7" t="s">
        <v>21</v>
      </c>
      <c r="O852" s="1">
        <f>TBL_Employees[[#This Row],[Annual Salary]]+TBL_Employees[[#This Row],[Bonus %]]*TBL_Employees[[#This Row],[Annual Salary]]</f>
        <v>246477</v>
      </c>
      <c r="P852" t="str">
        <f>IF(AND(TBL_Employees[[#This Row],[Department]]="IT",TBL_Employees[[#This Row],[Gender]]="Female"),"Yes","No")</f>
        <v>No</v>
      </c>
      <c r="Q852" t="str">
        <f>IF(AND(TBL_Employees[[#This Row],[Gender]]="Female",TBL_Employees[[#This Row],[Ethnicity]]="Black"), "Female_Black", "Others")</f>
        <v>Others</v>
      </c>
    </row>
    <row r="853" spans="1:17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7">
        <v>40045</v>
      </c>
      <c r="J853" s="1">
        <v>52800</v>
      </c>
      <c r="K853" s="2">
        <v>0</v>
      </c>
      <c r="L853" t="s">
        <v>19</v>
      </c>
      <c r="M853" t="s">
        <v>39</v>
      </c>
      <c r="N853" s="7" t="s">
        <v>21</v>
      </c>
      <c r="O853" s="1">
        <f>TBL_Employees[[#This Row],[Annual Salary]]+TBL_Employees[[#This Row],[Bonus %]]*TBL_Employees[[#This Row],[Annual Salary]]</f>
        <v>52800</v>
      </c>
      <c r="P853" t="str">
        <f>IF(AND(TBL_Employees[[#This Row],[Department]]="IT",TBL_Employees[[#This Row],[Gender]]="Female"),"Yes","No")</f>
        <v>No</v>
      </c>
      <c r="Q853" t="str">
        <f>IF(AND(TBL_Employees[[#This Row],[Gender]]="Female",TBL_Employees[[#This Row],[Ethnicity]]="Black"), "Female_Black", "Others")</f>
        <v>Others</v>
      </c>
    </row>
    <row r="854" spans="1:17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7">
        <v>40517</v>
      </c>
      <c r="J854" s="1">
        <v>113982</v>
      </c>
      <c r="K854" s="2">
        <v>0</v>
      </c>
      <c r="L854" t="s">
        <v>19</v>
      </c>
      <c r="M854" t="s">
        <v>63</v>
      </c>
      <c r="N854" s="7" t="s">
        <v>21</v>
      </c>
      <c r="O854" s="1">
        <f>TBL_Employees[[#This Row],[Annual Salary]]+TBL_Employees[[#This Row],[Bonus %]]*TBL_Employees[[#This Row],[Annual Salary]]</f>
        <v>113982</v>
      </c>
      <c r="P854" t="str">
        <f>IF(AND(TBL_Employees[[#This Row],[Department]]="IT",TBL_Employees[[#This Row],[Gender]]="Female"),"Yes","No")</f>
        <v>No</v>
      </c>
      <c r="Q854" t="str">
        <f>IF(AND(TBL_Employees[[#This Row],[Gender]]="Female",TBL_Employees[[#This Row],[Ethnicity]]="Black"), "Female_Black", "Others")</f>
        <v>Others</v>
      </c>
    </row>
    <row r="855" spans="1:17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7">
        <v>44271</v>
      </c>
      <c r="J855" s="1">
        <v>56239</v>
      </c>
      <c r="K855" s="2">
        <v>0</v>
      </c>
      <c r="L855" t="s">
        <v>33</v>
      </c>
      <c r="M855" t="s">
        <v>80</v>
      </c>
      <c r="N855" s="7" t="s">
        <v>21</v>
      </c>
      <c r="O855" s="1">
        <f>TBL_Employees[[#This Row],[Annual Salary]]+TBL_Employees[[#This Row],[Bonus %]]*TBL_Employees[[#This Row],[Annual Salary]]</f>
        <v>56239</v>
      </c>
      <c r="P855" t="str">
        <f>IF(AND(TBL_Employees[[#This Row],[Department]]="IT",TBL_Employees[[#This Row],[Gender]]="Female"),"Yes","No")</f>
        <v>No</v>
      </c>
      <c r="Q855" t="str">
        <f>IF(AND(TBL_Employees[[#This Row],[Gender]]="Female",TBL_Employees[[#This Row],[Ethnicity]]="Black"), "Female_Black", "Others")</f>
        <v>Others</v>
      </c>
    </row>
    <row r="856" spans="1:17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7">
        <v>44257</v>
      </c>
      <c r="J856" s="1">
        <v>44732</v>
      </c>
      <c r="K856" s="2">
        <v>0</v>
      </c>
      <c r="L856" t="s">
        <v>52</v>
      </c>
      <c r="M856" t="s">
        <v>66</v>
      </c>
      <c r="N856" s="7" t="s">
        <v>21</v>
      </c>
      <c r="O856" s="1">
        <f>TBL_Employees[[#This Row],[Annual Salary]]+TBL_Employees[[#This Row],[Bonus %]]*TBL_Employees[[#This Row],[Annual Salary]]</f>
        <v>44732</v>
      </c>
      <c r="P856" t="str">
        <f>IF(AND(TBL_Employees[[#This Row],[Department]]="IT",TBL_Employees[[#This Row],[Gender]]="Female"),"Yes","No")</f>
        <v>No</v>
      </c>
      <c r="Q856" t="str">
        <f>IF(AND(TBL_Employees[[#This Row],[Gender]]="Female",TBL_Employees[[#This Row],[Ethnicity]]="Black"), "Female_Black", "Others")</f>
        <v>Others</v>
      </c>
    </row>
    <row r="857" spans="1:17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7">
        <v>41816</v>
      </c>
      <c r="J857" s="1">
        <v>153961</v>
      </c>
      <c r="K857" s="2">
        <v>0.25</v>
      </c>
      <c r="L857" t="s">
        <v>33</v>
      </c>
      <c r="M857" t="s">
        <v>74</v>
      </c>
      <c r="N857" s="7" t="s">
        <v>21</v>
      </c>
      <c r="O857" s="1">
        <f>TBL_Employees[[#This Row],[Annual Salary]]+TBL_Employees[[#This Row],[Bonus %]]*TBL_Employees[[#This Row],[Annual Salary]]</f>
        <v>192451.25</v>
      </c>
      <c r="P857" t="str">
        <f>IF(AND(TBL_Employees[[#This Row],[Department]]="IT",TBL_Employees[[#This Row],[Gender]]="Female"),"Yes","No")</f>
        <v>No</v>
      </c>
      <c r="Q857" t="str">
        <f>IF(AND(TBL_Employees[[#This Row],[Gender]]="Female",TBL_Employees[[#This Row],[Ethnicity]]="Black"), "Female_Black", "Others")</f>
        <v>Others</v>
      </c>
    </row>
    <row r="858" spans="1:17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7">
        <v>39069</v>
      </c>
      <c r="J858" s="1">
        <v>68337</v>
      </c>
      <c r="K858" s="2">
        <v>0</v>
      </c>
      <c r="L858" t="s">
        <v>33</v>
      </c>
      <c r="M858" t="s">
        <v>80</v>
      </c>
      <c r="N858" s="7" t="s">
        <v>21</v>
      </c>
      <c r="O858" s="1">
        <f>TBL_Employees[[#This Row],[Annual Salary]]+TBL_Employees[[#This Row],[Bonus %]]*TBL_Employees[[#This Row],[Annual Salary]]</f>
        <v>68337</v>
      </c>
      <c r="P858" t="str">
        <f>IF(AND(TBL_Employees[[#This Row],[Department]]="IT",TBL_Employees[[#This Row],[Gender]]="Female"),"Yes","No")</f>
        <v>Yes</v>
      </c>
      <c r="Q858" t="str">
        <f>IF(AND(TBL_Employees[[#This Row],[Gender]]="Female",TBL_Employees[[#This Row],[Ethnicity]]="Black"), "Female_Black", "Others")</f>
        <v>Others</v>
      </c>
    </row>
    <row r="859" spans="1:17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7">
        <v>40305</v>
      </c>
      <c r="J859" s="1">
        <v>145093</v>
      </c>
      <c r="K859" s="2">
        <v>0.12</v>
      </c>
      <c r="L859" t="s">
        <v>19</v>
      </c>
      <c r="M859" t="s">
        <v>20</v>
      </c>
      <c r="N859" s="7" t="s">
        <v>21</v>
      </c>
      <c r="O859" s="1">
        <f>TBL_Employees[[#This Row],[Annual Salary]]+TBL_Employees[[#This Row],[Bonus %]]*TBL_Employees[[#This Row],[Annual Salary]]</f>
        <v>162504.16</v>
      </c>
      <c r="P859" t="str">
        <f>IF(AND(TBL_Employees[[#This Row],[Department]]="IT",TBL_Employees[[#This Row],[Gender]]="Female"),"Yes","No")</f>
        <v>No</v>
      </c>
      <c r="Q859" t="str">
        <f>IF(AND(TBL_Employees[[#This Row],[Gender]]="Female",TBL_Employees[[#This Row],[Ethnicity]]="Black"), "Female_Black", "Others")</f>
        <v>Others</v>
      </c>
    </row>
    <row r="860" spans="1:17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7">
        <v>44266</v>
      </c>
      <c r="J860" s="1">
        <v>74170</v>
      </c>
      <c r="K860" s="2">
        <v>0</v>
      </c>
      <c r="L860" t="s">
        <v>19</v>
      </c>
      <c r="M860" t="s">
        <v>25</v>
      </c>
      <c r="N860" s="7" t="s">
        <v>21</v>
      </c>
      <c r="O860" s="1">
        <f>TBL_Employees[[#This Row],[Annual Salary]]+TBL_Employees[[#This Row],[Bonus %]]*TBL_Employees[[#This Row],[Annual Salary]]</f>
        <v>74170</v>
      </c>
      <c r="P860" t="str">
        <f>IF(AND(TBL_Employees[[#This Row],[Department]]="IT",TBL_Employees[[#This Row],[Gender]]="Female"),"Yes","No")</f>
        <v>Yes</v>
      </c>
      <c r="Q860" t="str">
        <f>IF(AND(TBL_Employees[[#This Row],[Gender]]="Female",TBL_Employees[[#This Row],[Ethnicity]]="Black"), "Female_Black", "Others")</f>
        <v>Others</v>
      </c>
    </row>
    <row r="861" spans="1:17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7">
        <v>35153</v>
      </c>
      <c r="J861" s="1">
        <v>62605</v>
      </c>
      <c r="K861" s="2">
        <v>0</v>
      </c>
      <c r="L861" t="s">
        <v>19</v>
      </c>
      <c r="M861" t="s">
        <v>25</v>
      </c>
      <c r="N861" s="7" t="s">
        <v>21</v>
      </c>
      <c r="O861" s="1">
        <f>TBL_Employees[[#This Row],[Annual Salary]]+TBL_Employees[[#This Row],[Bonus %]]*TBL_Employees[[#This Row],[Annual Salary]]</f>
        <v>62605</v>
      </c>
      <c r="P861" t="str">
        <f>IF(AND(TBL_Employees[[#This Row],[Department]]="IT",TBL_Employees[[#This Row],[Gender]]="Female"),"Yes","No")</f>
        <v>No</v>
      </c>
      <c r="Q861" t="str">
        <f>IF(AND(TBL_Employees[[#This Row],[Gender]]="Female",TBL_Employees[[#This Row],[Ethnicity]]="Black"), "Female_Black", "Others")</f>
        <v>Others</v>
      </c>
    </row>
    <row r="862" spans="1:17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7">
        <v>43903</v>
      </c>
      <c r="J862" s="1">
        <v>107195</v>
      </c>
      <c r="K862" s="2">
        <v>0.09</v>
      </c>
      <c r="L862" t="s">
        <v>19</v>
      </c>
      <c r="M862" t="s">
        <v>25</v>
      </c>
      <c r="N862" s="7" t="s">
        <v>21</v>
      </c>
      <c r="O862" s="1">
        <f>TBL_Employees[[#This Row],[Annual Salary]]+TBL_Employees[[#This Row],[Bonus %]]*TBL_Employees[[#This Row],[Annual Salary]]</f>
        <v>116842.55</v>
      </c>
      <c r="P862" t="str">
        <f>IF(AND(TBL_Employees[[#This Row],[Department]]="IT",TBL_Employees[[#This Row],[Gender]]="Female"),"Yes","No")</f>
        <v>Yes</v>
      </c>
      <c r="Q862" t="str">
        <f>IF(AND(TBL_Employees[[#This Row],[Gender]]="Female",TBL_Employees[[#This Row],[Ethnicity]]="Black"), "Female_Black", "Others")</f>
        <v>Others</v>
      </c>
    </row>
    <row r="863" spans="1:17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7">
        <v>43111</v>
      </c>
      <c r="J863" s="1">
        <v>127422</v>
      </c>
      <c r="K863" s="2">
        <v>0.15</v>
      </c>
      <c r="L863" t="s">
        <v>19</v>
      </c>
      <c r="M863" t="s">
        <v>29</v>
      </c>
      <c r="N863" s="7" t="s">
        <v>21</v>
      </c>
      <c r="O863" s="1">
        <f>TBL_Employees[[#This Row],[Annual Salary]]+TBL_Employees[[#This Row],[Bonus %]]*TBL_Employees[[#This Row],[Annual Salary]]</f>
        <v>146535.29999999999</v>
      </c>
      <c r="P863" t="str">
        <f>IF(AND(TBL_Employees[[#This Row],[Department]]="IT",TBL_Employees[[#This Row],[Gender]]="Female"),"Yes","No")</f>
        <v>No</v>
      </c>
      <c r="Q863" t="str">
        <f>IF(AND(TBL_Employees[[#This Row],[Gender]]="Female",TBL_Employees[[#This Row],[Ethnicity]]="Black"), "Female_Black", "Others")</f>
        <v>Others</v>
      </c>
    </row>
    <row r="864" spans="1:17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7">
        <v>42912</v>
      </c>
      <c r="J864" s="1">
        <v>161269</v>
      </c>
      <c r="K864" s="2">
        <v>0.27</v>
      </c>
      <c r="L864" t="s">
        <v>19</v>
      </c>
      <c r="M864" t="s">
        <v>45</v>
      </c>
      <c r="N864" s="7" t="s">
        <v>21</v>
      </c>
      <c r="O864" s="1">
        <f>TBL_Employees[[#This Row],[Annual Salary]]+TBL_Employees[[#This Row],[Bonus %]]*TBL_Employees[[#This Row],[Annual Salary]]</f>
        <v>204811.63</v>
      </c>
      <c r="P864" t="str">
        <f>IF(AND(TBL_Employees[[#This Row],[Department]]="IT",TBL_Employees[[#This Row],[Gender]]="Female"),"Yes","No")</f>
        <v>No</v>
      </c>
      <c r="Q864" t="str">
        <f>IF(AND(TBL_Employees[[#This Row],[Gender]]="Female",TBL_Employees[[#This Row],[Ethnicity]]="Black"), "Female_Black", "Others")</f>
        <v>Others</v>
      </c>
    </row>
    <row r="865" spans="1:17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7">
        <v>41675</v>
      </c>
      <c r="J865" s="1">
        <v>203445</v>
      </c>
      <c r="K865" s="2">
        <v>0.34</v>
      </c>
      <c r="L865" t="s">
        <v>52</v>
      </c>
      <c r="M865" t="s">
        <v>81</v>
      </c>
      <c r="N865" s="7" t="s">
        <v>21</v>
      </c>
      <c r="O865" s="1">
        <f>TBL_Employees[[#This Row],[Annual Salary]]+TBL_Employees[[#This Row],[Bonus %]]*TBL_Employees[[#This Row],[Annual Salary]]</f>
        <v>272616.3</v>
      </c>
      <c r="P865" t="str">
        <f>IF(AND(TBL_Employees[[#This Row],[Department]]="IT",TBL_Employees[[#This Row],[Gender]]="Female"),"Yes","No")</f>
        <v>No</v>
      </c>
      <c r="Q865" t="str">
        <f>IF(AND(TBL_Employees[[#This Row],[Gender]]="Female",TBL_Employees[[#This Row],[Ethnicity]]="Black"), "Female_Black", "Others")</f>
        <v>Others</v>
      </c>
    </row>
    <row r="866" spans="1:17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7">
        <v>40560</v>
      </c>
      <c r="J866" s="1">
        <v>131353</v>
      </c>
      <c r="K866" s="2">
        <v>0.11</v>
      </c>
      <c r="L866" t="s">
        <v>33</v>
      </c>
      <c r="M866" t="s">
        <v>74</v>
      </c>
      <c r="N866" s="7" t="s">
        <v>21</v>
      </c>
      <c r="O866" s="1">
        <f>TBL_Employees[[#This Row],[Annual Salary]]+TBL_Employees[[#This Row],[Bonus %]]*TBL_Employees[[#This Row],[Annual Salary]]</f>
        <v>145801.82999999999</v>
      </c>
      <c r="P866" t="str">
        <f>IF(AND(TBL_Employees[[#This Row],[Department]]="IT",TBL_Employees[[#This Row],[Gender]]="Female"),"Yes","No")</f>
        <v>No</v>
      </c>
      <c r="Q866" t="str">
        <f>IF(AND(TBL_Employees[[#This Row],[Gender]]="Female",TBL_Employees[[#This Row],[Ethnicity]]="Black"), "Female_Black", "Others")</f>
        <v>Others</v>
      </c>
    </row>
    <row r="867" spans="1:17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7">
        <v>40253</v>
      </c>
      <c r="J867" s="1">
        <v>88182</v>
      </c>
      <c r="K867" s="2">
        <v>0</v>
      </c>
      <c r="L867" t="s">
        <v>33</v>
      </c>
      <c r="M867" t="s">
        <v>34</v>
      </c>
      <c r="N867" s="7" t="s">
        <v>21</v>
      </c>
      <c r="O867" s="1">
        <f>TBL_Employees[[#This Row],[Annual Salary]]+TBL_Employees[[#This Row],[Bonus %]]*TBL_Employees[[#This Row],[Annual Salary]]</f>
        <v>88182</v>
      </c>
      <c r="P867" t="str">
        <f>IF(AND(TBL_Employees[[#This Row],[Department]]="IT",TBL_Employees[[#This Row],[Gender]]="Female"),"Yes","No")</f>
        <v>No</v>
      </c>
      <c r="Q867" t="str">
        <f>IF(AND(TBL_Employees[[#This Row],[Gender]]="Female",TBL_Employees[[#This Row],[Ethnicity]]="Black"), "Female_Black", "Others")</f>
        <v>Others</v>
      </c>
    </row>
    <row r="868" spans="1:17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7">
        <v>43703</v>
      </c>
      <c r="J868" s="1">
        <v>75780</v>
      </c>
      <c r="K868" s="2">
        <v>0</v>
      </c>
      <c r="L868" t="s">
        <v>19</v>
      </c>
      <c r="M868" t="s">
        <v>63</v>
      </c>
      <c r="N868" s="7" t="s">
        <v>21</v>
      </c>
      <c r="O868" s="1">
        <f>TBL_Employees[[#This Row],[Annual Salary]]+TBL_Employees[[#This Row],[Bonus %]]*TBL_Employees[[#This Row],[Annual Salary]]</f>
        <v>75780</v>
      </c>
      <c r="P868" t="str">
        <f>IF(AND(TBL_Employees[[#This Row],[Department]]="IT",TBL_Employees[[#This Row],[Gender]]="Female"),"Yes","No")</f>
        <v>No</v>
      </c>
      <c r="Q868" t="str">
        <f>IF(AND(TBL_Employees[[#This Row],[Gender]]="Female",TBL_Employees[[#This Row],[Ethnicity]]="Black"), "Female_Black", "Others")</f>
        <v>Others</v>
      </c>
    </row>
    <row r="869" spans="1:17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7">
        <v>43557</v>
      </c>
      <c r="J869" s="1">
        <v>52621</v>
      </c>
      <c r="K869" s="2">
        <v>0</v>
      </c>
      <c r="L869" t="s">
        <v>33</v>
      </c>
      <c r="M869" t="s">
        <v>60</v>
      </c>
      <c r="N869" s="7" t="s">
        <v>21</v>
      </c>
      <c r="O869" s="1">
        <f>TBL_Employees[[#This Row],[Annual Salary]]+TBL_Employees[[#This Row],[Bonus %]]*TBL_Employees[[#This Row],[Annual Salary]]</f>
        <v>52621</v>
      </c>
      <c r="P869" t="str">
        <f>IF(AND(TBL_Employees[[#This Row],[Department]]="IT",TBL_Employees[[#This Row],[Gender]]="Female"),"Yes","No")</f>
        <v>No</v>
      </c>
      <c r="Q869" t="str">
        <f>IF(AND(TBL_Employees[[#This Row],[Gender]]="Female",TBL_Employees[[#This Row],[Ethnicity]]="Black"), "Female_Black", "Others")</f>
        <v>Others</v>
      </c>
    </row>
    <row r="870" spans="1:17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7">
        <v>43146</v>
      </c>
      <c r="J870" s="1">
        <v>106079</v>
      </c>
      <c r="K870" s="2">
        <v>0.14000000000000001</v>
      </c>
      <c r="L870" t="s">
        <v>19</v>
      </c>
      <c r="M870" t="s">
        <v>25</v>
      </c>
      <c r="N870" s="7">
        <v>44295</v>
      </c>
      <c r="O870" s="1">
        <f>TBL_Employees[[#This Row],[Annual Salary]]+TBL_Employees[[#This Row],[Bonus %]]*TBL_Employees[[#This Row],[Annual Salary]]</f>
        <v>120930.06</v>
      </c>
      <c r="P870" t="str">
        <f>IF(AND(TBL_Employees[[#This Row],[Department]]="IT",TBL_Employees[[#This Row],[Gender]]="Female"),"Yes","No")</f>
        <v>No</v>
      </c>
      <c r="Q870" t="str">
        <f>IF(AND(TBL_Employees[[#This Row],[Gender]]="Female",TBL_Employees[[#This Row],[Ethnicity]]="Black"), "Female_Black", "Others")</f>
        <v>Others</v>
      </c>
    </row>
    <row r="871" spans="1:17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7">
        <v>42777</v>
      </c>
      <c r="J871" s="1">
        <v>92058</v>
      </c>
      <c r="K871" s="2">
        <v>0</v>
      </c>
      <c r="L871" t="s">
        <v>19</v>
      </c>
      <c r="M871" t="s">
        <v>25</v>
      </c>
      <c r="N871" s="7" t="s">
        <v>21</v>
      </c>
      <c r="O871" s="1">
        <f>TBL_Employees[[#This Row],[Annual Salary]]+TBL_Employees[[#This Row],[Bonus %]]*TBL_Employees[[#This Row],[Annual Salary]]</f>
        <v>92058</v>
      </c>
      <c r="P871" t="str">
        <f>IF(AND(TBL_Employees[[#This Row],[Department]]="IT",TBL_Employees[[#This Row],[Gender]]="Female"),"Yes","No")</f>
        <v>No</v>
      </c>
      <c r="Q871" t="str">
        <f>IF(AND(TBL_Employees[[#This Row],[Gender]]="Female",TBL_Employees[[#This Row],[Ethnicity]]="Black"), "Female_Black", "Others")</f>
        <v>Others</v>
      </c>
    </row>
    <row r="872" spans="1:17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7">
        <v>43527</v>
      </c>
      <c r="J872" s="1">
        <v>67114</v>
      </c>
      <c r="K872" s="2">
        <v>0</v>
      </c>
      <c r="L872" t="s">
        <v>19</v>
      </c>
      <c r="M872" t="s">
        <v>39</v>
      </c>
      <c r="N872" s="7" t="s">
        <v>21</v>
      </c>
      <c r="O872" s="1">
        <f>TBL_Employees[[#This Row],[Annual Salary]]+TBL_Employees[[#This Row],[Bonus %]]*TBL_Employees[[#This Row],[Annual Salary]]</f>
        <v>67114</v>
      </c>
      <c r="P872" t="str">
        <f>IF(AND(TBL_Employees[[#This Row],[Department]]="IT",TBL_Employees[[#This Row],[Gender]]="Female"),"Yes","No")</f>
        <v>No</v>
      </c>
      <c r="Q872" t="str">
        <f>IF(AND(TBL_Employees[[#This Row],[Gender]]="Female",TBL_Employees[[#This Row],[Ethnicity]]="Black"), "Female_Black", "Others")</f>
        <v>Others</v>
      </c>
    </row>
    <row r="873" spans="1:17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7">
        <v>44024</v>
      </c>
      <c r="J873" s="1">
        <v>56565</v>
      </c>
      <c r="K873" s="2">
        <v>0</v>
      </c>
      <c r="L873" t="s">
        <v>52</v>
      </c>
      <c r="M873" t="s">
        <v>53</v>
      </c>
      <c r="N873" s="7" t="s">
        <v>21</v>
      </c>
      <c r="O873" s="1">
        <f>TBL_Employees[[#This Row],[Annual Salary]]+TBL_Employees[[#This Row],[Bonus %]]*TBL_Employees[[#This Row],[Annual Salary]]</f>
        <v>56565</v>
      </c>
      <c r="P873" t="str">
        <f>IF(AND(TBL_Employees[[#This Row],[Department]]="IT",TBL_Employees[[#This Row],[Gender]]="Female"),"Yes","No")</f>
        <v>No</v>
      </c>
      <c r="Q873" t="str">
        <f>IF(AND(TBL_Employees[[#This Row],[Gender]]="Female",TBL_Employees[[#This Row],[Ethnicity]]="Black"), "Female_Black", "Others")</f>
        <v>Others</v>
      </c>
    </row>
    <row r="874" spans="1:17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7">
        <v>40683</v>
      </c>
      <c r="J874" s="1">
        <v>64937</v>
      </c>
      <c r="K874" s="2">
        <v>0</v>
      </c>
      <c r="L874" t="s">
        <v>19</v>
      </c>
      <c r="M874" t="s">
        <v>39</v>
      </c>
      <c r="N874" s="7" t="s">
        <v>21</v>
      </c>
      <c r="O874" s="1">
        <f>TBL_Employees[[#This Row],[Annual Salary]]+TBL_Employees[[#This Row],[Bonus %]]*TBL_Employees[[#This Row],[Annual Salary]]</f>
        <v>64937</v>
      </c>
      <c r="P874" t="str">
        <f>IF(AND(TBL_Employees[[#This Row],[Department]]="IT",TBL_Employees[[#This Row],[Gender]]="Female"),"Yes","No")</f>
        <v>No</v>
      </c>
      <c r="Q874" t="str">
        <f>IF(AND(TBL_Employees[[#This Row],[Gender]]="Female",TBL_Employees[[#This Row],[Ethnicity]]="Black"), "Female_Black", "Others")</f>
        <v>Others</v>
      </c>
    </row>
    <row r="875" spans="1:17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7">
        <v>38967</v>
      </c>
      <c r="J875" s="1">
        <v>127626</v>
      </c>
      <c r="K875" s="2">
        <v>0.1</v>
      </c>
      <c r="L875" t="s">
        <v>19</v>
      </c>
      <c r="M875" t="s">
        <v>45</v>
      </c>
      <c r="N875" s="7" t="s">
        <v>21</v>
      </c>
      <c r="O875" s="1">
        <f>TBL_Employees[[#This Row],[Annual Salary]]+TBL_Employees[[#This Row],[Bonus %]]*TBL_Employees[[#This Row],[Annual Salary]]</f>
        <v>140388.6</v>
      </c>
      <c r="P875" t="str">
        <f>IF(AND(TBL_Employees[[#This Row],[Department]]="IT",TBL_Employees[[#This Row],[Gender]]="Female"),"Yes","No")</f>
        <v>No</v>
      </c>
      <c r="Q875" t="str">
        <f>IF(AND(TBL_Employees[[#This Row],[Gender]]="Female",TBL_Employees[[#This Row],[Ethnicity]]="Black"), "Female_Black", "Others")</f>
        <v>Others</v>
      </c>
    </row>
    <row r="876" spans="1:17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7">
        <v>38013</v>
      </c>
      <c r="J876" s="1">
        <v>88478</v>
      </c>
      <c r="K876" s="2">
        <v>0</v>
      </c>
      <c r="L876" t="s">
        <v>19</v>
      </c>
      <c r="M876" t="s">
        <v>25</v>
      </c>
      <c r="N876" s="7" t="s">
        <v>21</v>
      </c>
      <c r="O876" s="1">
        <f>TBL_Employees[[#This Row],[Annual Salary]]+TBL_Employees[[#This Row],[Bonus %]]*TBL_Employees[[#This Row],[Annual Salary]]</f>
        <v>88478</v>
      </c>
      <c r="P876" t="str">
        <f>IF(AND(TBL_Employees[[#This Row],[Department]]="IT",TBL_Employees[[#This Row],[Gender]]="Female"),"Yes","No")</f>
        <v>No</v>
      </c>
      <c r="Q876" t="str">
        <f>IF(AND(TBL_Employees[[#This Row],[Gender]]="Female",TBL_Employees[[#This Row],[Ethnicity]]="Black"), "Female_Black", "Others")</f>
        <v>Others</v>
      </c>
    </row>
    <row r="877" spans="1:17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7">
        <v>41749</v>
      </c>
      <c r="J877" s="1">
        <v>91679</v>
      </c>
      <c r="K877" s="2">
        <v>7.0000000000000007E-2</v>
      </c>
      <c r="L877" t="s">
        <v>33</v>
      </c>
      <c r="M877" t="s">
        <v>80</v>
      </c>
      <c r="N877" s="7" t="s">
        <v>21</v>
      </c>
      <c r="O877" s="1">
        <f>TBL_Employees[[#This Row],[Annual Salary]]+TBL_Employees[[#This Row],[Bonus %]]*TBL_Employees[[#This Row],[Annual Salary]]</f>
        <v>98096.53</v>
      </c>
      <c r="P877" t="str">
        <f>IF(AND(TBL_Employees[[#This Row],[Department]]="IT",TBL_Employees[[#This Row],[Gender]]="Female"),"Yes","No")</f>
        <v>Yes</v>
      </c>
      <c r="Q877" t="str">
        <f>IF(AND(TBL_Employees[[#This Row],[Gender]]="Female",TBL_Employees[[#This Row],[Ethnicity]]="Black"), "Female_Black", "Others")</f>
        <v>Others</v>
      </c>
    </row>
    <row r="878" spans="1:17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7">
        <v>33682</v>
      </c>
      <c r="J878" s="1">
        <v>199848</v>
      </c>
      <c r="K878" s="2">
        <v>0.16</v>
      </c>
      <c r="L878" t="s">
        <v>33</v>
      </c>
      <c r="M878" t="s">
        <v>80</v>
      </c>
      <c r="N878" s="7" t="s">
        <v>21</v>
      </c>
      <c r="O878" s="1">
        <f>TBL_Employees[[#This Row],[Annual Salary]]+TBL_Employees[[#This Row],[Bonus %]]*TBL_Employees[[#This Row],[Annual Salary]]</f>
        <v>231823.68</v>
      </c>
      <c r="P878" t="str">
        <f>IF(AND(TBL_Employees[[#This Row],[Department]]="IT",TBL_Employees[[#This Row],[Gender]]="Female"),"Yes","No")</f>
        <v>No</v>
      </c>
      <c r="Q878" t="str">
        <f>IF(AND(TBL_Employees[[#This Row],[Gender]]="Female",TBL_Employees[[#This Row],[Ethnicity]]="Black"), "Female_Black", "Others")</f>
        <v>Others</v>
      </c>
    </row>
    <row r="879" spans="1:17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7">
        <v>43414</v>
      </c>
      <c r="J879" s="1">
        <v>61944</v>
      </c>
      <c r="K879" s="2">
        <v>0</v>
      </c>
      <c r="L879" t="s">
        <v>33</v>
      </c>
      <c r="M879" t="s">
        <v>74</v>
      </c>
      <c r="N879" s="7" t="s">
        <v>21</v>
      </c>
      <c r="O879" s="1">
        <f>TBL_Employees[[#This Row],[Annual Salary]]+TBL_Employees[[#This Row],[Bonus %]]*TBL_Employees[[#This Row],[Annual Salary]]</f>
        <v>61944</v>
      </c>
      <c r="P879" t="str">
        <f>IF(AND(TBL_Employees[[#This Row],[Department]]="IT",TBL_Employees[[#This Row],[Gender]]="Female"),"Yes","No")</f>
        <v>No</v>
      </c>
      <c r="Q879" t="str">
        <f>IF(AND(TBL_Employees[[#This Row],[Gender]]="Female",TBL_Employees[[#This Row],[Ethnicity]]="Black"), "Female_Black", "Others")</f>
        <v>Others</v>
      </c>
    </row>
    <row r="880" spans="1:17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7">
        <v>42960</v>
      </c>
      <c r="J880" s="1">
        <v>154624</v>
      </c>
      <c r="K880" s="2">
        <v>0.15</v>
      </c>
      <c r="L880" t="s">
        <v>19</v>
      </c>
      <c r="M880" t="s">
        <v>25</v>
      </c>
      <c r="N880" s="7" t="s">
        <v>21</v>
      </c>
      <c r="O880" s="1">
        <f>TBL_Employees[[#This Row],[Annual Salary]]+TBL_Employees[[#This Row],[Bonus %]]*TBL_Employees[[#This Row],[Annual Salary]]</f>
        <v>177817.60000000001</v>
      </c>
      <c r="P880" t="str">
        <f>IF(AND(TBL_Employees[[#This Row],[Department]]="IT",TBL_Employees[[#This Row],[Gender]]="Female"),"Yes","No")</f>
        <v>No</v>
      </c>
      <c r="Q880" t="str">
        <f>IF(AND(TBL_Employees[[#This Row],[Gender]]="Female",TBL_Employees[[#This Row],[Ethnicity]]="Black"), "Female_Black", "Others")</f>
        <v>Female_Black</v>
      </c>
    </row>
    <row r="881" spans="1:17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7">
        <v>40109</v>
      </c>
      <c r="J881" s="1">
        <v>79447</v>
      </c>
      <c r="K881" s="2">
        <v>0</v>
      </c>
      <c r="L881" t="s">
        <v>33</v>
      </c>
      <c r="M881" t="s">
        <v>74</v>
      </c>
      <c r="N881" s="7" t="s">
        <v>21</v>
      </c>
      <c r="O881" s="1">
        <f>TBL_Employees[[#This Row],[Annual Salary]]+TBL_Employees[[#This Row],[Bonus %]]*TBL_Employees[[#This Row],[Annual Salary]]</f>
        <v>79447</v>
      </c>
      <c r="P881" t="str">
        <f>IF(AND(TBL_Employees[[#This Row],[Department]]="IT",TBL_Employees[[#This Row],[Gender]]="Female"),"Yes","No")</f>
        <v>No</v>
      </c>
      <c r="Q881" t="str">
        <f>IF(AND(TBL_Employees[[#This Row],[Gender]]="Female",TBL_Employees[[#This Row],[Ethnicity]]="Black"), "Female_Black", "Others")</f>
        <v>Others</v>
      </c>
    </row>
    <row r="882" spans="1:17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7">
        <v>35852</v>
      </c>
      <c r="J882" s="1">
        <v>71111</v>
      </c>
      <c r="K882" s="2">
        <v>0</v>
      </c>
      <c r="L882" t="s">
        <v>52</v>
      </c>
      <c r="M882" t="s">
        <v>66</v>
      </c>
      <c r="N882" s="7" t="s">
        <v>21</v>
      </c>
      <c r="O882" s="1">
        <f>TBL_Employees[[#This Row],[Annual Salary]]+TBL_Employees[[#This Row],[Bonus %]]*TBL_Employees[[#This Row],[Annual Salary]]</f>
        <v>71111</v>
      </c>
      <c r="P882" t="str">
        <f>IF(AND(TBL_Employees[[#This Row],[Department]]="IT",TBL_Employees[[#This Row],[Gender]]="Female"),"Yes","No")</f>
        <v>No</v>
      </c>
      <c r="Q882" t="str">
        <f>IF(AND(TBL_Employees[[#This Row],[Gender]]="Female",TBL_Employees[[#This Row],[Ethnicity]]="Black"), "Female_Black", "Others")</f>
        <v>Others</v>
      </c>
    </row>
    <row r="883" spans="1:17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7">
        <v>41931</v>
      </c>
      <c r="J883" s="1">
        <v>159538</v>
      </c>
      <c r="K883" s="2">
        <v>0.11</v>
      </c>
      <c r="L883" t="s">
        <v>19</v>
      </c>
      <c r="M883" t="s">
        <v>45</v>
      </c>
      <c r="N883" s="7" t="s">
        <v>21</v>
      </c>
      <c r="O883" s="1">
        <f>TBL_Employees[[#This Row],[Annual Salary]]+TBL_Employees[[#This Row],[Bonus %]]*TBL_Employees[[#This Row],[Annual Salary]]</f>
        <v>177087.18</v>
      </c>
      <c r="P883" t="str">
        <f>IF(AND(TBL_Employees[[#This Row],[Department]]="IT",TBL_Employees[[#This Row],[Gender]]="Female"),"Yes","No")</f>
        <v>No</v>
      </c>
      <c r="Q883" t="str">
        <f>IF(AND(TBL_Employees[[#This Row],[Gender]]="Female",TBL_Employees[[#This Row],[Ethnicity]]="Black"), "Female_Black", "Others")</f>
        <v>Others</v>
      </c>
    </row>
    <row r="884" spans="1:17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7">
        <v>43375</v>
      </c>
      <c r="J884" s="1">
        <v>111404</v>
      </c>
      <c r="K884" s="2">
        <v>0</v>
      </c>
      <c r="L884" t="s">
        <v>52</v>
      </c>
      <c r="M884" t="s">
        <v>66</v>
      </c>
      <c r="N884" s="7" t="s">
        <v>21</v>
      </c>
      <c r="O884" s="1">
        <f>TBL_Employees[[#This Row],[Annual Salary]]+TBL_Employees[[#This Row],[Bonus %]]*TBL_Employees[[#This Row],[Annual Salary]]</f>
        <v>111404</v>
      </c>
      <c r="P884" t="str">
        <f>IF(AND(TBL_Employees[[#This Row],[Department]]="IT",TBL_Employees[[#This Row],[Gender]]="Female"),"Yes","No")</f>
        <v>No</v>
      </c>
      <c r="Q884" t="str">
        <f>IF(AND(TBL_Employees[[#This Row],[Gender]]="Female",TBL_Employees[[#This Row],[Ethnicity]]="Black"), "Female_Black", "Others")</f>
        <v>Others</v>
      </c>
    </row>
    <row r="885" spans="1:17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7">
        <v>44058</v>
      </c>
      <c r="J885" s="1">
        <v>172007</v>
      </c>
      <c r="K885" s="2">
        <v>0.26</v>
      </c>
      <c r="L885" t="s">
        <v>19</v>
      </c>
      <c r="M885" t="s">
        <v>45</v>
      </c>
      <c r="N885" s="7" t="s">
        <v>21</v>
      </c>
      <c r="O885" s="1">
        <f>TBL_Employees[[#This Row],[Annual Salary]]+TBL_Employees[[#This Row],[Bonus %]]*TBL_Employees[[#This Row],[Annual Salary]]</f>
        <v>216728.82</v>
      </c>
      <c r="P885" t="str">
        <f>IF(AND(TBL_Employees[[#This Row],[Department]]="IT",TBL_Employees[[#This Row],[Gender]]="Female"),"Yes","No")</f>
        <v>No</v>
      </c>
      <c r="Q885" t="str">
        <f>IF(AND(TBL_Employees[[#This Row],[Gender]]="Female",TBL_Employees[[#This Row],[Ethnicity]]="Black"), "Female_Black", "Others")</f>
        <v>Others</v>
      </c>
    </row>
    <row r="886" spans="1:17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7">
        <v>40745</v>
      </c>
      <c r="J886" s="1">
        <v>219474</v>
      </c>
      <c r="K886" s="2">
        <v>0.36</v>
      </c>
      <c r="L886" t="s">
        <v>52</v>
      </c>
      <c r="M886" t="s">
        <v>81</v>
      </c>
      <c r="N886" s="7" t="s">
        <v>21</v>
      </c>
      <c r="O886" s="1">
        <f>TBL_Employees[[#This Row],[Annual Salary]]+TBL_Employees[[#This Row],[Bonus %]]*TBL_Employees[[#This Row],[Annual Salary]]</f>
        <v>298484.64</v>
      </c>
      <c r="P886" t="str">
        <f>IF(AND(TBL_Employees[[#This Row],[Department]]="IT",TBL_Employees[[#This Row],[Gender]]="Female"),"Yes","No")</f>
        <v>No</v>
      </c>
      <c r="Q886" t="str">
        <f>IF(AND(TBL_Employees[[#This Row],[Gender]]="Female",TBL_Employees[[#This Row],[Ethnicity]]="Black"), "Female_Black", "Others")</f>
        <v>Others</v>
      </c>
    </row>
    <row r="887" spans="1:17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7">
        <v>43600</v>
      </c>
      <c r="J887" s="1">
        <v>174415</v>
      </c>
      <c r="K887" s="2">
        <v>0.23</v>
      </c>
      <c r="L887" t="s">
        <v>19</v>
      </c>
      <c r="M887" t="s">
        <v>45</v>
      </c>
      <c r="N887" s="7" t="s">
        <v>21</v>
      </c>
      <c r="O887" s="1">
        <f>TBL_Employees[[#This Row],[Annual Salary]]+TBL_Employees[[#This Row],[Bonus %]]*TBL_Employees[[#This Row],[Annual Salary]]</f>
        <v>214530.45</v>
      </c>
      <c r="P887" t="str">
        <f>IF(AND(TBL_Employees[[#This Row],[Department]]="IT",TBL_Employees[[#This Row],[Gender]]="Female"),"Yes","No")</f>
        <v>No</v>
      </c>
      <c r="Q887" t="str">
        <f>IF(AND(TBL_Employees[[#This Row],[Gender]]="Female",TBL_Employees[[#This Row],[Ethnicity]]="Black"), "Female_Black", "Others")</f>
        <v>Others</v>
      </c>
    </row>
    <row r="888" spans="1:17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7">
        <v>44217</v>
      </c>
      <c r="J888" s="1">
        <v>90333</v>
      </c>
      <c r="K888" s="2">
        <v>0</v>
      </c>
      <c r="L888" t="s">
        <v>52</v>
      </c>
      <c r="M888" t="s">
        <v>66</v>
      </c>
      <c r="N888" s="7" t="s">
        <v>21</v>
      </c>
      <c r="O888" s="1">
        <f>TBL_Employees[[#This Row],[Annual Salary]]+TBL_Employees[[#This Row],[Bonus %]]*TBL_Employees[[#This Row],[Annual Salary]]</f>
        <v>90333</v>
      </c>
      <c r="P888" t="str">
        <f>IF(AND(TBL_Employees[[#This Row],[Department]]="IT",TBL_Employees[[#This Row],[Gender]]="Female"),"Yes","No")</f>
        <v>Yes</v>
      </c>
      <c r="Q888" t="str">
        <f>IF(AND(TBL_Employees[[#This Row],[Gender]]="Female",TBL_Employees[[#This Row],[Ethnicity]]="Black"), "Female_Black", "Others")</f>
        <v>Others</v>
      </c>
    </row>
    <row r="889" spans="1:17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7">
        <v>44217</v>
      </c>
      <c r="J889" s="1">
        <v>67299</v>
      </c>
      <c r="K889" s="2">
        <v>0</v>
      </c>
      <c r="L889" t="s">
        <v>19</v>
      </c>
      <c r="M889" t="s">
        <v>39</v>
      </c>
      <c r="N889" s="7" t="s">
        <v>21</v>
      </c>
      <c r="O889" s="1">
        <f>TBL_Employees[[#This Row],[Annual Salary]]+TBL_Employees[[#This Row],[Bonus %]]*TBL_Employees[[#This Row],[Annual Salary]]</f>
        <v>67299</v>
      </c>
      <c r="P889" t="str">
        <f>IF(AND(TBL_Employees[[#This Row],[Department]]="IT",TBL_Employees[[#This Row],[Gender]]="Female"),"Yes","No")</f>
        <v>No</v>
      </c>
      <c r="Q889" t="str">
        <f>IF(AND(TBL_Employees[[#This Row],[Gender]]="Female",TBL_Employees[[#This Row],[Ethnicity]]="Black"), "Female_Black", "Others")</f>
        <v>Others</v>
      </c>
    </row>
    <row r="890" spans="1:17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7">
        <v>38406</v>
      </c>
      <c r="J890" s="1">
        <v>45286</v>
      </c>
      <c r="K890" s="2">
        <v>0</v>
      </c>
      <c r="L890" t="s">
        <v>19</v>
      </c>
      <c r="M890" t="s">
        <v>20</v>
      </c>
      <c r="N890" s="7" t="s">
        <v>21</v>
      </c>
      <c r="O890" s="1">
        <f>TBL_Employees[[#This Row],[Annual Salary]]+TBL_Employees[[#This Row],[Bonus %]]*TBL_Employees[[#This Row],[Annual Salary]]</f>
        <v>45286</v>
      </c>
      <c r="P890" t="str">
        <f>IF(AND(TBL_Employees[[#This Row],[Department]]="IT",TBL_Employees[[#This Row],[Gender]]="Female"),"Yes","No")</f>
        <v>Yes</v>
      </c>
      <c r="Q890" t="str">
        <f>IF(AND(TBL_Employees[[#This Row],[Gender]]="Female",TBL_Employees[[#This Row],[Ethnicity]]="Black"), "Female_Black", "Others")</f>
        <v>Others</v>
      </c>
    </row>
    <row r="891" spans="1:17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7">
        <v>39302</v>
      </c>
      <c r="J891" s="1">
        <v>194723</v>
      </c>
      <c r="K891" s="2">
        <v>0.25</v>
      </c>
      <c r="L891" t="s">
        <v>19</v>
      </c>
      <c r="M891" t="s">
        <v>39</v>
      </c>
      <c r="N891" s="7" t="s">
        <v>21</v>
      </c>
      <c r="O891" s="1">
        <f>TBL_Employees[[#This Row],[Annual Salary]]+TBL_Employees[[#This Row],[Bonus %]]*TBL_Employees[[#This Row],[Annual Salary]]</f>
        <v>243403.75</v>
      </c>
      <c r="P891" t="str">
        <f>IF(AND(TBL_Employees[[#This Row],[Department]]="IT",TBL_Employees[[#This Row],[Gender]]="Female"),"Yes","No")</f>
        <v>No</v>
      </c>
      <c r="Q891" t="str">
        <f>IF(AND(TBL_Employees[[#This Row],[Gender]]="Female",TBL_Employees[[#This Row],[Ethnicity]]="Black"), "Female_Black", "Others")</f>
        <v>Others</v>
      </c>
    </row>
    <row r="892" spans="1:17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7">
        <v>41131</v>
      </c>
      <c r="J892" s="1">
        <v>109850</v>
      </c>
      <c r="K892" s="2">
        <v>7.0000000000000007E-2</v>
      </c>
      <c r="L892" t="s">
        <v>33</v>
      </c>
      <c r="M892" t="s">
        <v>60</v>
      </c>
      <c r="N892" s="7">
        <v>43865</v>
      </c>
      <c r="O892" s="1">
        <f>TBL_Employees[[#This Row],[Annual Salary]]+TBL_Employees[[#This Row],[Bonus %]]*TBL_Employees[[#This Row],[Annual Salary]]</f>
        <v>117539.5</v>
      </c>
      <c r="P892" t="str">
        <f>IF(AND(TBL_Employees[[#This Row],[Department]]="IT",TBL_Employees[[#This Row],[Gender]]="Female"),"Yes","No")</f>
        <v>No</v>
      </c>
      <c r="Q892" t="str">
        <f>IF(AND(TBL_Employees[[#This Row],[Gender]]="Female",TBL_Employees[[#This Row],[Ethnicity]]="Black"), "Female_Black", "Others")</f>
        <v>Others</v>
      </c>
    </row>
    <row r="893" spans="1:17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7">
        <v>41748</v>
      </c>
      <c r="J893" s="1">
        <v>45295</v>
      </c>
      <c r="K893" s="2">
        <v>0</v>
      </c>
      <c r="L893" t="s">
        <v>52</v>
      </c>
      <c r="M893" t="s">
        <v>53</v>
      </c>
      <c r="N893" s="7" t="s">
        <v>21</v>
      </c>
      <c r="O893" s="1">
        <f>TBL_Employees[[#This Row],[Annual Salary]]+TBL_Employees[[#This Row],[Bonus %]]*TBL_Employees[[#This Row],[Annual Salary]]</f>
        <v>45295</v>
      </c>
      <c r="P893" t="str">
        <f>IF(AND(TBL_Employees[[#This Row],[Department]]="IT",TBL_Employees[[#This Row],[Gender]]="Female"),"Yes","No")</f>
        <v>No</v>
      </c>
      <c r="Q893" t="str">
        <f>IF(AND(TBL_Employees[[#This Row],[Gender]]="Female",TBL_Employees[[#This Row],[Ethnicity]]="Black"), "Female_Black", "Others")</f>
        <v>Others</v>
      </c>
    </row>
    <row r="894" spans="1:17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7">
        <v>40413</v>
      </c>
      <c r="J894" s="1">
        <v>61310</v>
      </c>
      <c r="K894" s="2">
        <v>0</v>
      </c>
      <c r="L894" t="s">
        <v>19</v>
      </c>
      <c r="M894" t="s">
        <v>39</v>
      </c>
      <c r="N894" s="7" t="s">
        <v>21</v>
      </c>
      <c r="O894" s="1">
        <f>TBL_Employees[[#This Row],[Annual Salary]]+TBL_Employees[[#This Row],[Bonus %]]*TBL_Employees[[#This Row],[Annual Salary]]</f>
        <v>61310</v>
      </c>
      <c r="P894" t="str">
        <f>IF(AND(TBL_Employees[[#This Row],[Department]]="IT",TBL_Employees[[#This Row],[Gender]]="Female"),"Yes","No")</f>
        <v>Yes</v>
      </c>
      <c r="Q894" t="str">
        <f>IF(AND(TBL_Employees[[#This Row],[Gender]]="Female",TBL_Employees[[#This Row],[Ethnicity]]="Black"), "Female_Black", "Others")</f>
        <v>Others</v>
      </c>
    </row>
    <row r="895" spans="1:17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7">
        <v>42683</v>
      </c>
      <c r="J895" s="1">
        <v>87851</v>
      </c>
      <c r="K895" s="2">
        <v>0</v>
      </c>
      <c r="L895" t="s">
        <v>33</v>
      </c>
      <c r="M895" t="s">
        <v>80</v>
      </c>
      <c r="N895" s="7" t="s">
        <v>21</v>
      </c>
      <c r="O895" s="1">
        <f>TBL_Employees[[#This Row],[Annual Salary]]+TBL_Employees[[#This Row],[Bonus %]]*TBL_Employees[[#This Row],[Annual Salary]]</f>
        <v>87851</v>
      </c>
      <c r="P895" t="str">
        <f>IF(AND(TBL_Employees[[#This Row],[Department]]="IT",TBL_Employees[[#This Row],[Gender]]="Female"),"Yes","No")</f>
        <v>No</v>
      </c>
      <c r="Q895" t="str">
        <f>IF(AND(TBL_Employees[[#This Row],[Gender]]="Female",TBL_Employees[[#This Row],[Ethnicity]]="Black"), "Female_Black", "Others")</f>
        <v>Others</v>
      </c>
    </row>
    <row r="896" spans="1:17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7">
        <v>43171</v>
      </c>
      <c r="J896" s="1">
        <v>47913</v>
      </c>
      <c r="K896" s="2">
        <v>0</v>
      </c>
      <c r="L896" t="s">
        <v>19</v>
      </c>
      <c r="M896" t="s">
        <v>63</v>
      </c>
      <c r="N896" s="7" t="s">
        <v>21</v>
      </c>
      <c r="O896" s="1">
        <f>TBL_Employees[[#This Row],[Annual Salary]]+TBL_Employees[[#This Row],[Bonus %]]*TBL_Employees[[#This Row],[Annual Salary]]</f>
        <v>47913</v>
      </c>
      <c r="P896" t="str">
        <f>IF(AND(TBL_Employees[[#This Row],[Department]]="IT",TBL_Employees[[#This Row],[Gender]]="Female"),"Yes","No")</f>
        <v>No</v>
      </c>
      <c r="Q896" t="str">
        <f>IF(AND(TBL_Employees[[#This Row],[Gender]]="Female",TBL_Employees[[#This Row],[Ethnicity]]="Black"), "Female_Black", "Others")</f>
        <v>Others</v>
      </c>
    </row>
    <row r="897" spans="1:17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7">
        <v>42985</v>
      </c>
      <c r="J897" s="1">
        <v>46727</v>
      </c>
      <c r="K897" s="2">
        <v>0</v>
      </c>
      <c r="L897" t="s">
        <v>19</v>
      </c>
      <c r="M897" t="s">
        <v>29</v>
      </c>
      <c r="N897" s="7">
        <v>43251</v>
      </c>
      <c r="O897" s="1">
        <f>TBL_Employees[[#This Row],[Annual Salary]]+TBL_Employees[[#This Row],[Bonus %]]*TBL_Employees[[#This Row],[Annual Salary]]</f>
        <v>46727</v>
      </c>
      <c r="P897" t="str">
        <f>IF(AND(TBL_Employees[[#This Row],[Department]]="IT",TBL_Employees[[#This Row],[Gender]]="Female"),"Yes","No")</f>
        <v>No</v>
      </c>
      <c r="Q897" t="str">
        <f>IF(AND(TBL_Employees[[#This Row],[Gender]]="Female",TBL_Employees[[#This Row],[Ethnicity]]="Black"), "Female_Black", "Others")</f>
        <v>Others</v>
      </c>
    </row>
    <row r="898" spans="1:17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7">
        <v>44302</v>
      </c>
      <c r="J898" s="1">
        <v>133400</v>
      </c>
      <c r="K898" s="2">
        <v>0.11</v>
      </c>
      <c r="L898" t="s">
        <v>19</v>
      </c>
      <c r="M898" t="s">
        <v>39</v>
      </c>
      <c r="N898" s="7" t="s">
        <v>21</v>
      </c>
      <c r="O898" s="1">
        <f>TBL_Employees[[#This Row],[Annual Salary]]+TBL_Employees[[#This Row],[Bonus %]]*TBL_Employees[[#This Row],[Annual Salary]]</f>
        <v>148074</v>
      </c>
      <c r="P898" t="str">
        <f>IF(AND(TBL_Employees[[#This Row],[Department]]="IT",TBL_Employees[[#This Row],[Gender]]="Female"),"Yes","No")</f>
        <v>No</v>
      </c>
      <c r="Q898" t="str">
        <f>IF(AND(TBL_Employees[[#This Row],[Gender]]="Female",TBL_Employees[[#This Row],[Ethnicity]]="Black"), "Female_Black", "Others")</f>
        <v>Others</v>
      </c>
    </row>
    <row r="899" spans="1:17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7">
        <v>43943</v>
      </c>
      <c r="J899" s="1">
        <v>90535</v>
      </c>
      <c r="K899" s="2">
        <v>0</v>
      </c>
      <c r="L899" t="s">
        <v>19</v>
      </c>
      <c r="M899" t="s">
        <v>45</v>
      </c>
      <c r="N899" s="7" t="s">
        <v>21</v>
      </c>
      <c r="O899" s="1">
        <f>TBL_Employees[[#This Row],[Annual Salary]]+TBL_Employees[[#This Row],[Bonus %]]*TBL_Employees[[#This Row],[Annual Salary]]</f>
        <v>90535</v>
      </c>
      <c r="P899" t="str">
        <f>IF(AND(TBL_Employees[[#This Row],[Department]]="IT",TBL_Employees[[#This Row],[Gender]]="Female"),"Yes","No")</f>
        <v>Yes</v>
      </c>
      <c r="Q899" t="str">
        <f>IF(AND(TBL_Employees[[#This Row],[Gender]]="Female",TBL_Employees[[#This Row],[Ethnicity]]="Black"), "Female_Black", "Others")</f>
        <v>Others</v>
      </c>
    </row>
    <row r="900" spans="1:17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7">
        <v>38909</v>
      </c>
      <c r="J900" s="1">
        <v>93343</v>
      </c>
      <c r="K900" s="2">
        <v>0</v>
      </c>
      <c r="L900" t="s">
        <v>33</v>
      </c>
      <c r="M900" t="s">
        <v>80</v>
      </c>
      <c r="N900" s="7" t="s">
        <v>21</v>
      </c>
      <c r="O900" s="1">
        <f>TBL_Employees[[#This Row],[Annual Salary]]+TBL_Employees[[#This Row],[Bonus %]]*TBL_Employees[[#This Row],[Annual Salary]]</f>
        <v>93343</v>
      </c>
      <c r="P900" t="str">
        <f>IF(AND(TBL_Employees[[#This Row],[Department]]="IT",TBL_Employees[[#This Row],[Gender]]="Female"),"Yes","No")</f>
        <v>No</v>
      </c>
      <c r="Q900" t="str">
        <f>IF(AND(TBL_Employees[[#This Row],[Gender]]="Female",TBL_Employees[[#This Row],[Ethnicity]]="Black"), "Female_Black", "Others")</f>
        <v>Others</v>
      </c>
    </row>
    <row r="901" spans="1:17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7">
        <v>38771</v>
      </c>
      <c r="J901" s="1">
        <v>63705</v>
      </c>
      <c r="K901" s="2">
        <v>0</v>
      </c>
      <c r="L901" t="s">
        <v>19</v>
      </c>
      <c r="M901" t="s">
        <v>45</v>
      </c>
      <c r="N901" s="7" t="s">
        <v>21</v>
      </c>
      <c r="O901" s="1">
        <f>TBL_Employees[[#This Row],[Annual Salary]]+TBL_Employees[[#This Row],[Bonus %]]*TBL_Employees[[#This Row],[Annual Salary]]</f>
        <v>63705</v>
      </c>
      <c r="P901" t="str">
        <f>IF(AND(TBL_Employees[[#This Row],[Department]]="IT",TBL_Employees[[#This Row],[Gender]]="Female"),"Yes","No")</f>
        <v>No</v>
      </c>
      <c r="Q901" t="str">
        <f>IF(AND(TBL_Employees[[#This Row],[Gender]]="Female",TBL_Employees[[#This Row],[Ethnicity]]="Black"), "Female_Black", "Others")</f>
        <v>Others</v>
      </c>
    </row>
    <row r="902" spans="1:17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7">
        <v>36584</v>
      </c>
      <c r="J902" s="1">
        <v>258081</v>
      </c>
      <c r="K902" s="2">
        <v>0.3</v>
      </c>
      <c r="L902" t="s">
        <v>19</v>
      </c>
      <c r="M902" t="s">
        <v>20</v>
      </c>
      <c r="N902" s="7" t="s">
        <v>21</v>
      </c>
      <c r="O902" s="1">
        <f>TBL_Employees[[#This Row],[Annual Salary]]+TBL_Employees[[#This Row],[Bonus %]]*TBL_Employees[[#This Row],[Annual Salary]]</f>
        <v>335505.3</v>
      </c>
      <c r="P902" t="str">
        <f>IF(AND(TBL_Employees[[#This Row],[Department]]="IT",TBL_Employees[[#This Row],[Gender]]="Female"),"Yes","No")</f>
        <v>No</v>
      </c>
      <c r="Q902" t="str">
        <f>IF(AND(TBL_Employees[[#This Row],[Gender]]="Female",TBL_Employees[[#This Row],[Ethnicity]]="Black"), "Female_Black", "Others")</f>
        <v>Others</v>
      </c>
    </row>
    <row r="903" spans="1:17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7">
        <v>44095</v>
      </c>
      <c r="J903" s="1">
        <v>54654</v>
      </c>
      <c r="K903" s="2">
        <v>0</v>
      </c>
      <c r="L903" t="s">
        <v>19</v>
      </c>
      <c r="M903" t="s">
        <v>39</v>
      </c>
      <c r="N903" s="7" t="s">
        <v>21</v>
      </c>
      <c r="O903" s="1">
        <f>TBL_Employees[[#This Row],[Annual Salary]]+TBL_Employees[[#This Row],[Bonus %]]*TBL_Employees[[#This Row],[Annual Salary]]</f>
        <v>54654</v>
      </c>
      <c r="P903" t="str">
        <f>IF(AND(TBL_Employees[[#This Row],[Department]]="IT",TBL_Employees[[#This Row],[Gender]]="Female"),"Yes","No")</f>
        <v>No</v>
      </c>
      <c r="Q903" t="str">
        <f>IF(AND(TBL_Employees[[#This Row],[Gender]]="Female",TBL_Employees[[#This Row],[Ethnicity]]="Black"), "Female_Black", "Others")</f>
        <v>Others</v>
      </c>
    </row>
    <row r="904" spans="1:17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7">
        <v>36062</v>
      </c>
      <c r="J904" s="1">
        <v>58006</v>
      </c>
      <c r="K904" s="2">
        <v>0</v>
      </c>
      <c r="L904" t="s">
        <v>19</v>
      </c>
      <c r="M904" t="s">
        <v>63</v>
      </c>
      <c r="N904" s="7" t="s">
        <v>21</v>
      </c>
      <c r="O904" s="1">
        <f>TBL_Employees[[#This Row],[Annual Salary]]+TBL_Employees[[#This Row],[Bonus %]]*TBL_Employees[[#This Row],[Annual Salary]]</f>
        <v>58006</v>
      </c>
      <c r="P904" t="str">
        <f>IF(AND(TBL_Employees[[#This Row],[Department]]="IT",TBL_Employees[[#This Row],[Gender]]="Female"),"Yes","No")</f>
        <v>No</v>
      </c>
      <c r="Q904" t="str">
        <f>IF(AND(TBL_Employees[[#This Row],[Gender]]="Female",TBL_Employees[[#This Row],[Ethnicity]]="Black"), "Female_Black", "Others")</f>
        <v>Others</v>
      </c>
    </row>
    <row r="905" spans="1:17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7">
        <v>40620</v>
      </c>
      <c r="J905" s="1">
        <v>150034</v>
      </c>
      <c r="K905" s="2">
        <v>0.12</v>
      </c>
      <c r="L905" t="s">
        <v>33</v>
      </c>
      <c r="M905" t="s">
        <v>60</v>
      </c>
      <c r="N905" s="7" t="s">
        <v>21</v>
      </c>
      <c r="O905" s="1">
        <f>TBL_Employees[[#This Row],[Annual Salary]]+TBL_Employees[[#This Row],[Bonus %]]*TBL_Employees[[#This Row],[Annual Salary]]</f>
        <v>168038.08</v>
      </c>
      <c r="P905" t="str">
        <f>IF(AND(TBL_Employees[[#This Row],[Department]]="IT",TBL_Employees[[#This Row],[Gender]]="Female"),"Yes","No")</f>
        <v>No</v>
      </c>
      <c r="Q905" t="str">
        <f>IF(AND(TBL_Employees[[#This Row],[Gender]]="Female",TBL_Employees[[#This Row],[Ethnicity]]="Black"), "Female_Black", "Others")</f>
        <v>Others</v>
      </c>
    </row>
    <row r="906" spans="1:17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7">
        <v>39232</v>
      </c>
      <c r="J906" s="1">
        <v>198562</v>
      </c>
      <c r="K906" s="2">
        <v>0.22</v>
      </c>
      <c r="L906" t="s">
        <v>19</v>
      </c>
      <c r="M906" t="s">
        <v>63</v>
      </c>
      <c r="N906" s="7" t="s">
        <v>21</v>
      </c>
      <c r="O906" s="1">
        <f>TBL_Employees[[#This Row],[Annual Salary]]+TBL_Employees[[#This Row],[Bonus %]]*TBL_Employees[[#This Row],[Annual Salary]]</f>
        <v>242245.64</v>
      </c>
      <c r="P906" t="str">
        <f>IF(AND(TBL_Employees[[#This Row],[Department]]="IT",TBL_Employees[[#This Row],[Gender]]="Female"),"Yes","No")</f>
        <v>No</v>
      </c>
      <c r="Q906" t="str">
        <f>IF(AND(TBL_Employees[[#This Row],[Gender]]="Female",TBL_Employees[[#This Row],[Ethnicity]]="Black"), "Female_Black", "Others")</f>
        <v>Others</v>
      </c>
    </row>
    <row r="907" spans="1:17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7">
        <v>39960</v>
      </c>
      <c r="J907" s="1">
        <v>62411</v>
      </c>
      <c r="K907" s="2">
        <v>0</v>
      </c>
      <c r="L907" t="s">
        <v>19</v>
      </c>
      <c r="M907" t="s">
        <v>45</v>
      </c>
      <c r="N907" s="7">
        <v>44422</v>
      </c>
      <c r="O907" s="1">
        <f>TBL_Employees[[#This Row],[Annual Salary]]+TBL_Employees[[#This Row],[Bonus %]]*TBL_Employees[[#This Row],[Annual Salary]]</f>
        <v>62411</v>
      </c>
      <c r="P907" t="str">
        <f>IF(AND(TBL_Employees[[#This Row],[Department]]="IT",TBL_Employees[[#This Row],[Gender]]="Female"),"Yes","No")</f>
        <v>No</v>
      </c>
      <c r="Q907" t="str">
        <f>IF(AND(TBL_Employees[[#This Row],[Gender]]="Female",TBL_Employees[[#This Row],[Ethnicity]]="Black"), "Female_Black", "Others")</f>
        <v>Female_Black</v>
      </c>
    </row>
    <row r="908" spans="1:17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7">
        <v>33612</v>
      </c>
      <c r="J908" s="1">
        <v>111299</v>
      </c>
      <c r="K908" s="2">
        <v>0.12</v>
      </c>
      <c r="L908" t="s">
        <v>19</v>
      </c>
      <c r="M908" t="s">
        <v>45</v>
      </c>
      <c r="N908" s="7" t="s">
        <v>21</v>
      </c>
      <c r="O908" s="1">
        <f>TBL_Employees[[#This Row],[Annual Salary]]+TBL_Employees[[#This Row],[Bonus %]]*TBL_Employees[[#This Row],[Annual Salary]]</f>
        <v>124654.88</v>
      </c>
      <c r="P908" t="str">
        <f>IF(AND(TBL_Employees[[#This Row],[Department]]="IT",TBL_Employees[[#This Row],[Gender]]="Female"),"Yes","No")</f>
        <v>No</v>
      </c>
      <c r="Q908" t="str">
        <f>IF(AND(TBL_Employees[[#This Row],[Gender]]="Female",TBL_Employees[[#This Row],[Ethnicity]]="Black"), "Female_Black", "Others")</f>
        <v>Others</v>
      </c>
    </row>
    <row r="909" spans="1:17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7">
        <v>43659</v>
      </c>
      <c r="J909" s="1">
        <v>41545</v>
      </c>
      <c r="K909" s="2">
        <v>0</v>
      </c>
      <c r="L909" t="s">
        <v>19</v>
      </c>
      <c r="M909" t="s">
        <v>45</v>
      </c>
      <c r="N909" s="7" t="s">
        <v>21</v>
      </c>
      <c r="O909" s="1">
        <f>TBL_Employees[[#This Row],[Annual Salary]]+TBL_Employees[[#This Row],[Bonus %]]*TBL_Employees[[#This Row],[Annual Salary]]</f>
        <v>41545</v>
      </c>
      <c r="P909" t="str">
        <f>IF(AND(TBL_Employees[[#This Row],[Department]]="IT",TBL_Employees[[#This Row],[Gender]]="Female"),"Yes","No")</f>
        <v>No</v>
      </c>
      <c r="Q909" t="str">
        <f>IF(AND(TBL_Employees[[#This Row],[Gender]]="Female",TBL_Employees[[#This Row],[Ethnicity]]="Black"), "Female_Black", "Others")</f>
        <v>Others</v>
      </c>
    </row>
    <row r="910" spans="1:17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7">
        <v>43569</v>
      </c>
      <c r="J910" s="1">
        <v>74467</v>
      </c>
      <c r="K910" s="2">
        <v>0</v>
      </c>
      <c r="L910" t="s">
        <v>19</v>
      </c>
      <c r="M910" t="s">
        <v>29</v>
      </c>
      <c r="N910" s="7">
        <v>44211</v>
      </c>
      <c r="O910" s="1">
        <f>TBL_Employees[[#This Row],[Annual Salary]]+TBL_Employees[[#This Row],[Bonus %]]*TBL_Employees[[#This Row],[Annual Salary]]</f>
        <v>74467</v>
      </c>
      <c r="P910" t="str">
        <f>IF(AND(TBL_Employees[[#This Row],[Department]]="IT",TBL_Employees[[#This Row],[Gender]]="Female"),"Yes","No")</f>
        <v>No</v>
      </c>
      <c r="Q910" t="str">
        <f>IF(AND(TBL_Employees[[#This Row],[Gender]]="Female",TBL_Employees[[#This Row],[Ethnicity]]="Black"), "Female_Black", "Others")</f>
        <v>Others</v>
      </c>
    </row>
    <row r="911" spans="1:17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7">
        <v>37296</v>
      </c>
      <c r="J911" s="1">
        <v>117545</v>
      </c>
      <c r="K911" s="2">
        <v>0.06</v>
      </c>
      <c r="L911" t="s">
        <v>19</v>
      </c>
      <c r="M911" t="s">
        <v>39</v>
      </c>
      <c r="N911" s="7" t="s">
        <v>21</v>
      </c>
      <c r="O911" s="1">
        <f>TBL_Employees[[#This Row],[Annual Salary]]+TBL_Employees[[#This Row],[Bonus %]]*TBL_Employees[[#This Row],[Annual Salary]]</f>
        <v>124597.7</v>
      </c>
      <c r="P911" t="str">
        <f>IF(AND(TBL_Employees[[#This Row],[Department]]="IT",TBL_Employees[[#This Row],[Gender]]="Female"),"Yes","No")</f>
        <v>No</v>
      </c>
      <c r="Q911" t="str">
        <f>IF(AND(TBL_Employees[[#This Row],[Gender]]="Female",TBL_Employees[[#This Row],[Ethnicity]]="Black"), "Female_Black", "Others")</f>
        <v>Others</v>
      </c>
    </row>
    <row r="912" spans="1:17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7">
        <v>40983</v>
      </c>
      <c r="J912" s="1">
        <v>117226</v>
      </c>
      <c r="K912" s="2">
        <v>0.08</v>
      </c>
      <c r="L912" t="s">
        <v>19</v>
      </c>
      <c r="M912" t="s">
        <v>39</v>
      </c>
      <c r="N912" s="7" t="s">
        <v>21</v>
      </c>
      <c r="O912" s="1">
        <f>TBL_Employees[[#This Row],[Annual Salary]]+TBL_Employees[[#This Row],[Bonus %]]*TBL_Employees[[#This Row],[Annual Salary]]</f>
        <v>126604.08</v>
      </c>
      <c r="P912" t="str">
        <f>IF(AND(TBL_Employees[[#This Row],[Department]]="IT",TBL_Employees[[#This Row],[Gender]]="Female"),"Yes","No")</f>
        <v>No</v>
      </c>
      <c r="Q912" t="str">
        <f>IF(AND(TBL_Employees[[#This Row],[Gender]]="Female",TBL_Employees[[#This Row],[Ethnicity]]="Black"), "Female_Black", "Others")</f>
        <v>Others</v>
      </c>
    </row>
    <row r="913" spans="1:17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7">
        <v>43489</v>
      </c>
      <c r="J913" s="1">
        <v>55767</v>
      </c>
      <c r="K913" s="2">
        <v>0</v>
      </c>
      <c r="L913" t="s">
        <v>19</v>
      </c>
      <c r="M913" t="s">
        <v>39</v>
      </c>
      <c r="N913" s="7" t="s">
        <v>21</v>
      </c>
      <c r="O913" s="1">
        <f>TBL_Employees[[#This Row],[Annual Salary]]+TBL_Employees[[#This Row],[Bonus %]]*TBL_Employees[[#This Row],[Annual Salary]]</f>
        <v>55767</v>
      </c>
      <c r="P913" t="str">
        <f>IF(AND(TBL_Employees[[#This Row],[Department]]="IT",TBL_Employees[[#This Row],[Gender]]="Female"),"Yes","No")</f>
        <v>No</v>
      </c>
      <c r="Q913" t="str">
        <f>IF(AND(TBL_Employees[[#This Row],[Gender]]="Female",TBL_Employees[[#This Row],[Ethnicity]]="Black"), "Female_Black", "Others")</f>
        <v>Others</v>
      </c>
    </row>
    <row r="914" spans="1:17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7">
        <v>42691</v>
      </c>
      <c r="J914" s="1">
        <v>60930</v>
      </c>
      <c r="K914" s="2">
        <v>0</v>
      </c>
      <c r="L914" t="s">
        <v>19</v>
      </c>
      <c r="M914" t="s">
        <v>25</v>
      </c>
      <c r="N914" s="7" t="s">
        <v>21</v>
      </c>
      <c r="O914" s="1">
        <f>TBL_Employees[[#This Row],[Annual Salary]]+TBL_Employees[[#This Row],[Bonus %]]*TBL_Employees[[#This Row],[Annual Salary]]</f>
        <v>60930</v>
      </c>
      <c r="P914" t="str">
        <f>IF(AND(TBL_Employees[[#This Row],[Department]]="IT",TBL_Employees[[#This Row],[Gender]]="Female"),"Yes","No")</f>
        <v>No</v>
      </c>
      <c r="Q914" t="str">
        <f>IF(AND(TBL_Employees[[#This Row],[Gender]]="Female",TBL_Employees[[#This Row],[Ethnicity]]="Black"), "Female_Black", "Others")</f>
        <v>Others</v>
      </c>
    </row>
    <row r="915" spans="1:17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7">
        <v>43397</v>
      </c>
      <c r="J915" s="1">
        <v>154973</v>
      </c>
      <c r="K915" s="2">
        <v>0.28999999999999998</v>
      </c>
      <c r="L915" t="s">
        <v>52</v>
      </c>
      <c r="M915" t="s">
        <v>53</v>
      </c>
      <c r="N915" s="7" t="s">
        <v>21</v>
      </c>
      <c r="O915" s="1">
        <f>TBL_Employees[[#This Row],[Annual Salary]]+TBL_Employees[[#This Row],[Bonus %]]*TBL_Employees[[#This Row],[Annual Salary]]</f>
        <v>199915.16999999998</v>
      </c>
      <c r="P915" t="str">
        <f>IF(AND(TBL_Employees[[#This Row],[Department]]="IT",TBL_Employees[[#This Row],[Gender]]="Female"),"Yes","No")</f>
        <v>No</v>
      </c>
      <c r="Q915" t="str">
        <f>IF(AND(TBL_Employees[[#This Row],[Gender]]="Female",TBL_Employees[[#This Row],[Ethnicity]]="Black"), "Female_Black", "Others")</f>
        <v>Others</v>
      </c>
    </row>
    <row r="916" spans="1:17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7">
        <v>43029</v>
      </c>
      <c r="J916" s="1">
        <v>69332</v>
      </c>
      <c r="K916" s="2">
        <v>0</v>
      </c>
      <c r="L916" t="s">
        <v>19</v>
      </c>
      <c r="M916" t="s">
        <v>29</v>
      </c>
      <c r="N916" s="7" t="s">
        <v>21</v>
      </c>
      <c r="O916" s="1">
        <f>TBL_Employees[[#This Row],[Annual Salary]]+TBL_Employees[[#This Row],[Bonus %]]*TBL_Employees[[#This Row],[Annual Salary]]</f>
        <v>69332</v>
      </c>
      <c r="P916" t="str">
        <f>IF(AND(TBL_Employees[[#This Row],[Department]]="IT",TBL_Employees[[#This Row],[Gender]]="Female"),"Yes","No")</f>
        <v>Yes</v>
      </c>
      <c r="Q916" t="str">
        <f>IF(AND(TBL_Employees[[#This Row],[Gender]]="Female",TBL_Employees[[#This Row],[Ethnicity]]="Black"), "Female_Black", "Others")</f>
        <v>Others</v>
      </c>
    </row>
    <row r="917" spans="1:17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7">
        <v>36990</v>
      </c>
      <c r="J917" s="1">
        <v>119699</v>
      </c>
      <c r="K917" s="2">
        <v>0</v>
      </c>
      <c r="L917" t="s">
        <v>33</v>
      </c>
      <c r="M917" t="s">
        <v>74</v>
      </c>
      <c r="N917" s="7" t="s">
        <v>21</v>
      </c>
      <c r="O917" s="1">
        <f>TBL_Employees[[#This Row],[Annual Salary]]+TBL_Employees[[#This Row],[Bonus %]]*TBL_Employees[[#This Row],[Annual Salary]]</f>
        <v>119699</v>
      </c>
      <c r="P917" t="str">
        <f>IF(AND(TBL_Employees[[#This Row],[Department]]="IT",TBL_Employees[[#This Row],[Gender]]="Female"),"Yes","No")</f>
        <v>No</v>
      </c>
      <c r="Q917" t="str">
        <f>IF(AND(TBL_Employees[[#This Row],[Gender]]="Female",TBL_Employees[[#This Row],[Ethnicity]]="Black"), "Female_Black", "Others")</f>
        <v>Others</v>
      </c>
    </row>
    <row r="918" spans="1:17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7">
        <v>44094</v>
      </c>
      <c r="J918" s="1">
        <v>198176</v>
      </c>
      <c r="K918" s="2">
        <v>0.17</v>
      </c>
      <c r="L918" t="s">
        <v>52</v>
      </c>
      <c r="M918" t="s">
        <v>81</v>
      </c>
      <c r="N918" s="7" t="s">
        <v>21</v>
      </c>
      <c r="O918" s="1">
        <f>TBL_Employees[[#This Row],[Annual Salary]]+TBL_Employees[[#This Row],[Bonus %]]*TBL_Employees[[#This Row],[Annual Salary]]</f>
        <v>231865.92</v>
      </c>
      <c r="P918" t="str">
        <f>IF(AND(TBL_Employees[[#This Row],[Department]]="IT",TBL_Employees[[#This Row],[Gender]]="Female"),"Yes","No")</f>
        <v>No</v>
      </c>
      <c r="Q918" t="str">
        <f>IF(AND(TBL_Employees[[#This Row],[Gender]]="Female",TBL_Employees[[#This Row],[Ethnicity]]="Black"), "Female_Black", "Others")</f>
        <v>Others</v>
      </c>
    </row>
    <row r="919" spans="1:17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7">
        <v>41127</v>
      </c>
      <c r="J919" s="1">
        <v>58586</v>
      </c>
      <c r="K919" s="2">
        <v>0</v>
      </c>
      <c r="L919" t="s">
        <v>52</v>
      </c>
      <c r="M919" t="s">
        <v>53</v>
      </c>
      <c r="N919" s="7" t="s">
        <v>21</v>
      </c>
      <c r="O919" s="1">
        <f>TBL_Employees[[#This Row],[Annual Salary]]+TBL_Employees[[#This Row],[Bonus %]]*TBL_Employees[[#This Row],[Annual Salary]]</f>
        <v>58586</v>
      </c>
      <c r="P919" t="str">
        <f>IF(AND(TBL_Employees[[#This Row],[Department]]="IT",TBL_Employees[[#This Row],[Gender]]="Female"),"Yes","No")</f>
        <v>No</v>
      </c>
      <c r="Q919" t="str">
        <f>IF(AND(TBL_Employees[[#This Row],[Gender]]="Female",TBL_Employees[[#This Row],[Ethnicity]]="Black"), "Female_Black", "Others")</f>
        <v>Others</v>
      </c>
    </row>
    <row r="920" spans="1:17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7">
        <v>40875</v>
      </c>
      <c r="J920" s="1">
        <v>74010</v>
      </c>
      <c r="K920" s="2">
        <v>0</v>
      </c>
      <c r="L920" t="s">
        <v>19</v>
      </c>
      <c r="M920" t="s">
        <v>20</v>
      </c>
      <c r="N920" s="7" t="s">
        <v>21</v>
      </c>
      <c r="O920" s="1">
        <f>TBL_Employees[[#This Row],[Annual Salary]]+TBL_Employees[[#This Row],[Bonus %]]*TBL_Employees[[#This Row],[Annual Salary]]</f>
        <v>74010</v>
      </c>
      <c r="P920" t="str">
        <f>IF(AND(TBL_Employees[[#This Row],[Department]]="IT",TBL_Employees[[#This Row],[Gender]]="Female"),"Yes","No")</f>
        <v>No</v>
      </c>
      <c r="Q920" t="str">
        <f>IF(AND(TBL_Employees[[#This Row],[Gender]]="Female",TBL_Employees[[#This Row],[Ethnicity]]="Black"), "Female_Black", "Others")</f>
        <v>Others</v>
      </c>
    </row>
    <row r="921" spans="1:17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7">
        <v>43864</v>
      </c>
      <c r="J921" s="1">
        <v>96598</v>
      </c>
      <c r="K921" s="2">
        <v>0</v>
      </c>
      <c r="L921" t="s">
        <v>19</v>
      </c>
      <c r="M921" t="s">
        <v>39</v>
      </c>
      <c r="N921" s="7" t="s">
        <v>21</v>
      </c>
      <c r="O921" s="1">
        <f>TBL_Employees[[#This Row],[Annual Salary]]+TBL_Employees[[#This Row],[Bonus %]]*TBL_Employees[[#This Row],[Annual Salary]]</f>
        <v>96598</v>
      </c>
      <c r="P921" t="str">
        <f>IF(AND(TBL_Employees[[#This Row],[Department]]="IT",TBL_Employees[[#This Row],[Gender]]="Female"),"Yes","No")</f>
        <v>No</v>
      </c>
      <c r="Q921" t="str">
        <f>IF(AND(TBL_Employees[[#This Row],[Gender]]="Female",TBL_Employees[[#This Row],[Ethnicity]]="Black"), "Female_Black", "Others")</f>
        <v>Others</v>
      </c>
    </row>
    <row r="922" spans="1:17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7">
        <v>37762</v>
      </c>
      <c r="J922" s="1">
        <v>106444</v>
      </c>
      <c r="K922" s="2">
        <v>0.05</v>
      </c>
      <c r="L922" t="s">
        <v>19</v>
      </c>
      <c r="M922" t="s">
        <v>39</v>
      </c>
      <c r="N922" s="7" t="s">
        <v>21</v>
      </c>
      <c r="O922" s="1">
        <f>TBL_Employees[[#This Row],[Annual Salary]]+TBL_Employees[[#This Row],[Bonus %]]*TBL_Employees[[#This Row],[Annual Salary]]</f>
        <v>111766.2</v>
      </c>
      <c r="P922" t="str">
        <f>IF(AND(TBL_Employees[[#This Row],[Department]]="IT",TBL_Employees[[#This Row],[Gender]]="Female"),"Yes","No")</f>
        <v>No</v>
      </c>
      <c r="Q922" t="str">
        <f>IF(AND(TBL_Employees[[#This Row],[Gender]]="Female",TBL_Employees[[#This Row],[Ethnicity]]="Black"), "Female_Black", "Others")</f>
        <v>Others</v>
      </c>
    </row>
    <row r="923" spans="1:17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7">
        <v>42957</v>
      </c>
      <c r="J923" s="1">
        <v>156931</v>
      </c>
      <c r="K923" s="2">
        <v>0.28000000000000003</v>
      </c>
      <c r="L923" t="s">
        <v>19</v>
      </c>
      <c r="M923" t="s">
        <v>63</v>
      </c>
      <c r="N923" s="7" t="s">
        <v>21</v>
      </c>
      <c r="O923" s="1">
        <f>TBL_Employees[[#This Row],[Annual Salary]]+TBL_Employees[[#This Row],[Bonus %]]*TBL_Employees[[#This Row],[Annual Salary]]</f>
        <v>200871.67999999999</v>
      </c>
      <c r="P923" t="str">
        <f>IF(AND(TBL_Employees[[#This Row],[Department]]="IT",TBL_Employees[[#This Row],[Gender]]="Female"),"Yes","No")</f>
        <v>No</v>
      </c>
      <c r="Q923" t="str">
        <f>IF(AND(TBL_Employees[[#This Row],[Gender]]="Female",TBL_Employees[[#This Row],[Ethnicity]]="Black"), "Female_Black", "Others")</f>
        <v>Others</v>
      </c>
    </row>
    <row r="924" spans="1:17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7">
        <v>41928</v>
      </c>
      <c r="J924" s="1">
        <v>171360</v>
      </c>
      <c r="K924" s="2">
        <v>0.23</v>
      </c>
      <c r="L924" t="s">
        <v>52</v>
      </c>
      <c r="M924" t="s">
        <v>81</v>
      </c>
      <c r="N924" s="7" t="s">
        <v>21</v>
      </c>
      <c r="O924" s="1">
        <f>TBL_Employees[[#This Row],[Annual Salary]]+TBL_Employees[[#This Row],[Bonus %]]*TBL_Employees[[#This Row],[Annual Salary]]</f>
        <v>210772.8</v>
      </c>
      <c r="P924" t="str">
        <f>IF(AND(TBL_Employees[[#This Row],[Department]]="IT",TBL_Employees[[#This Row],[Gender]]="Female"),"Yes","No")</f>
        <v>No</v>
      </c>
      <c r="Q924" t="str">
        <f>IF(AND(TBL_Employees[[#This Row],[Gender]]="Female",TBL_Employees[[#This Row],[Ethnicity]]="Black"), "Female_Black", "Others")</f>
        <v>Others</v>
      </c>
    </row>
    <row r="925" spans="1:17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7">
        <v>39908</v>
      </c>
      <c r="J925" s="1">
        <v>64505</v>
      </c>
      <c r="K925" s="2">
        <v>0</v>
      </c>
      <c r="L925" t="s">
        <v>19</v>
      </c>
      <c r="M925" t="s">
        <v>45</v>
      </c>
      <c r="N925" s="7" t="s">
        <v>21</v>
      </c>
      <c r="O925" s="1">
        <f>TBL_Employees[[#This Row],[Annual Salary]]+TBL_Employees[[#This Row],[Bonus %]]*TBL_Employees[[#This Row],[Annual Salary]]</f>
        <v>64505</v>
      </c>
      <c r="P925" t="str">
        <f>IF(AND(TBL_Employees[[#This Row],[Department]]="IT",TBL_Employees[[#This Row],[Gender]]="Female"),"Yes","No")</f>
        <v>Yes</v>
      </c>
      <c r="Q925" t="str">
        <f>IF(AND(TBL_Employees[[#This Row],[Gender]]="Female",TBL_Employees[[#This Row],[Ethnicity]]="Black"), "Female_Black", "Others")</f>
        <v>Others</v>
      </c>
    </row>
    <row r="926" spans="1:17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7">
        <v>44478</v>
      </c>
      <c r="J926" s="1">
        <v>102298</v>
      </c>
      <c r="K926" s="2">
        <v>0.13</v>
      </c>
      <c r="L926" t="s">
        <v>52</v>
      </c>
      <c r="M926" t="s">
        <v>66</v>
      </c>
      <c r="N926" s="7" t="s">
        <v>21</v>
      </c>
      <c r="O926" s="1">
        <f>TBL_Employees[[#This Row],[Annual Salary]]+TBL_Employees[[#This Row],[Bonus %]]*TBL_Employees[[#This Row],[Annual Salary]]</f>
        <v>115596.74</v>
      </c>
      <c r="P926" t="str">
        <f>IF(AND(TBL_Employees[[#This Row],[Department]]="IT",TBL_Employees[[#This Row],[Gender]]="Female"),"Yes","No")</f>
        <v>No</v>
      </c>
      <c r="Q926" t="str">
        <f>IF(AND(TBL_Employees[[#This Row],[Gender]]="Female",TBL_Employees[[#This Row],[Ethnicity]]="Black"), "Female_Black", "Others")</f>
        <v>Others</v>
      </c>
    </row>
    <row r="927" spans="1:17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7">
        <v>43721</v>
      </c>
      <c r="J927" s="1">
        <v>133297</v>
      </c>
      <c r="K927" s="2">
        <v>0.13</v>
      </c>
      <c r="L927" t="s">
        <v>52</v>
      </c>
      <c r="M927" t="s">
        <v>66</v>
      </c>
      <c r="N927" s="7" t="s">
        <v>21</v>
      </c>
      <c r="O927" s="1">
        <f>TBL_Employees[[#This Row],[Annual Salary]]+TBL_Employees[[#This Row],[Bonus %]]*TBL_Employees[[#This Row],[Annual Salary]]</f>
        <v>150625.60999999999</v>
      </c>
      <c r="P927" t="str">
        <f>IF(AND(TBL_Employees[[#This Row],[Department]]="IT",TBL_Employees[[#This Row],[Gender]]="Female"),"Yes","No")</f>
        <v>No</v>
      </c>
      <c r="Q927" t="str">
        <f>IF(AND(TBL_Employees[[#This Row],[Gender]]="Female",TBL_Employees[[#This Row],[Ethnicity]]="Black"), "Female_Black", "Others")</f>
        <v>Others</v>
      </c>
    </row>
    <row r="928" spans="1:17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7">
        <v>44272</v>
      </c>
      <c r="J928" s="1">
        <v>155080</v>
      </c>
      <c r="K928" s="2">
        <v>0.1</v>
      </c>
      <c r="L928" t="s">
        <v>19</v>
      </c>
      <c r="M928" t="s">
        <v>25</v>
      </c>
      <c r="N928" s="7" t="s">
        <v>21</v>
      </c>
      <c r="O928" s="1">
        <f>TBL_Employees[[#This Row],[Annual Salary]]+TBL_Employees[[#This Row],[Bonus %]]*TBL_Employees[[#This Row],[Annual Salary]]</f>
        <v>170588</v>
      </c>
      <c r="P928" t="str">
        <f>IF(AND(TBL_Employees[[#This Row],[Department]]="IT",TBL_Employees[[#This Row],[Gender]]="Female"),"Yes","No")</f>
        <v>No</v>
      </c>
      <c r="Q928" t="str">
        <f>IF(AND(TBL_Employees[[#This Row],[Gender]]="Female",TBL_Employees[[#This Row],[Ethnicity]]="Black"), "Female_Black", "Others")</f>
        <v>Female_Black</v>
      </c>
    </row>
    <row r="929" spans="1:17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7">
        <v>43325</v>
      </c>
      <c r="J929" s="1">
        <v>81828</v>
      </c>
      <c r="K929" s="2">
        <v>0</v>
      </c>
      <c r="L929" t="s">
        <v>19</v>
      </c>
      <c r="M929" t="s">
        <v>45</v>
      </c>
      <c r="N929" s="7" t="s">
        <v>21</v>
      </c>
      <c r="O929" s="1">
        <f>TBL_Employees[[#This Row],[Annual Salary]]+TBL_Employees[[#This Row],[Bonus %]]*TBL_Employees[[#This Row],[Annual Salary]]</f>
        <v>81828</v>
      </c>
      <c r="P929" t="str">
        <f>IF(AND(TBL_Employees[[#This Row],[Department]]="IT",TBL_Employees[[#This Row],[Gender]]="Female"),"Yes","No")</f>
        <v>No</v>
      </c>
      <c r="Q929" t="str">
        <f>IF(AND(TBL_Employees[[#This Row],[Gender]]="Female",TBL_Employees[[#This Row],[Ethnicity]]="Black"), "Female_Black", "Others")</f>
        <v>Others</v>
      </c>
    </row>
    <row r="930" spans="1:17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7">
        <v>36823</v>
      </c>
      <c r="J930" s="1">
        <v>149417</v>
      </c>
      <c r="K930" s="2">
        <v>0.13</v>
      </c>
      <c r="L930" t="s">
        <v>33</v>
      </c>
      <c r="M930" t="s">
        <v>34</v>
      </c>
      <c r="N930" s="7" t="s">
        <v>21</v>
      </c>
      <c r="O930" s="1">
        <f>TBL_Employees[[#This Row],[Annual Salary]]+TBL_Employees[[#This Row],[Bonus %]]*TBL_Employees[[#This Row],[Annual Salary]]</f>
        <v>168841.21</v>
      </c>
      <c r="P930" t="str">
        <f>IF(AND(TBL_Employees[[#This Row],[Department]]="IT",TBL_Employees[[#This Row],[Gender]]="Female"),"Yes","No")</f>
        <v>No</v>
      </c>
      <c r="Q930" t="str">
        <f>IF(AND(TBL_Employees[[#This Row],[Gender]]="Female",TBL_Employees[[#This Row],[Ethnicity]]="Black"), "Female_Black", "Others")</f>
        <v>Others</v>
      </c>
    </row>
    <row r="931" spans="1:17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7">
        <v>41024</v>
      </c>
      <c r="J931" s="1">
        <v>113269</v>
      </c>
      <c r="K931" s="2">
        <v>0.09</v>
      </c>
      <c r="L931" t="s">
        <v>52</v>
      </c>
      <c r="M931" t="s">
        <v>53</v>
      </c>
      <c r="N931" s="7" t="s">
        <v>21</v>
      </c>
      <c r="O931" s="1">
        <f>TBL_Employees[[#This Row],[Annual Salary]]+TBL_Employees[[#This Row],[Bonus %]]*TBL_Employees[[#This Row],[Annual Salary]]</f>
        <v>123463.20999999999</v>
      </c>
      <c r="P931" t="str">
        <f>IF(AND(TBL_Employees[[#This Row],[Department]]="IT",TBL_Employees[[#This Row],[Gender]]="Female"),"Yes","No")</f>
        <v>No</v>
      </c>
      <c r="Q931" t="str">
        <f>IF(AND(TBL_Employees[[#This Row],[Gender]]="Female",TBL_Employees[[#This Row],[Ethnicity]]="Black"), "Female_Black", "Others")</f>
        <v>Others</v>
      </c>
    </row>
    <row r="932" spans="1:17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7">
        <v>43085</v>
      </c>
      <c r="J932" s="1">
        <v>136716</v>
      </c>
      <c r="K932" s="2">
        <v>0.12</v>
      </c>
      <c r="L932" t="s">
        <v>19</v>
      </c>
      <c r="M932" t="s">
        <v>25</v>
      </c>
      <c r="N932" s="7" t="s">
        <v>21</v>
      </c>
      <c r="O932" s="1">
        <f>TBL_Employees[[#This Row],[Annual Salary]]+TBL_Employees[[#This Row],[Bonus %]]*TBL_Employees[[#This Row],[Annual Salary]]</f>
        <v>153121.91999999998</v>
      </c>
      <c r="P932" t="str">
        <f>IF(AND(TBL_Employees[[#This Row],[Department]]="IT",TBL_Employees[[#This Row],[Gender]]="Female"),"Yes","No")</f>
        <v>No</v>
      </c>
      <c r="Q932" t="str">
        <f>IF(AND(TBL_Employees[[#This Row],[Gender]]="Female",TBL_Employees[[#This Row],[Ethnicity]]="Black"), "Female_Black", "Others")</f>
        <v>Others</v>
      </c>
    </row>
    <row r="933" spans="1:17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7">
        <v>40836</v>
      </c>
      <c r="J933" s="1">
        <v>122644</v>
      </c>
      <c r="K933" s="2">
        <v>0.12</v>
      </c>
      <c r="L933" t="s">
        <v>19</v>
      </c>
      <c r="M933" t="s">
        <v>25</v>
      </c>
      <c r="N933" s="7" t="s">
        <v>21</v>
      </c>
      <c r="O933" s="1">
        <f>TBL_Employees[[#This Row],[Annual Salary]]+TBL_Employees[[#This Row],[Bonus %]]*TBL_Employees[[#This Row],[Annual Salary]]</f>
        <v>137361.28</v>
      </c>
      <c r="P933" t="str">
        <f>IF(AND(TBL_Employees[[#This Row],[Department]]="IT",TBL_Employees[[#This Row],[Gender]]="Female"),"Yes","No")</f>
        <v>No</v>
      </c>
      <c r="Q933" t="str">
        <f>IF(AND(TBL_Employees[[#This Row],[Gender]]="Female",TBL_Employees[[#This Row],[Ethnicity]]="Black"), "Female_Black", "Others")</f>
        <v>Others</v>
      </c>
    </row>
    <row r="934" spans="1:17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7">
        <v>36653</v>
      </c>
      <c r="J934" s="1">
        <v>106428</v>
      </c>
      <c r="K934" s="2">
        <v>7.0000000000000007E-2</v>
      </c>
      <c r="L934" t="s">
        <v>19</v>
      </c>
      <c r="M934" t="s">
        <v>20</v>
      </c>
      <c r="N934" s="7" t="s">
        <v>21</v>
      </c>
      <c r="O934" s="1">
        <f>TBL_Employees[[#This Row],[Annual Salary]]+TBL_Employees[[#This Row],[Bonus %]]*TBL_Employees[[#This Row],[Annual Salary]]</f>
        <v>113877.96</v>
      </c>
      <c r="P934" t="str">
        <f>IF(AND(TBL_Employees[[#This Row],[Department]]="IT",TBL_Employees[[#This Row],[Gender]]="Female"),"Yes","No")</f>
        <v>No</v>
      </c>
      <c r="Q934" t="str">
        <f>IF(AND(TBL_Employees[[#This Row],[Gender]]="Female",TBL_Employees[[#This Row],[Ethnicity]]="Black"), "Female_Black", "Others")</f>
        <v>Others</v>
      </c>
    </row>
    <row r="935" spans="1:17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7">
        <v>39830</v>
      </c>
      <c r="J935" s="1">
        <v>238236</v>
      </c>
      <c r="K935" s="2">
        <v>0.31</v>
      </c>
      <c r="L935" t="s">
        <v>19</v>
      </c>
      <c r="M935" t="s">
        <v>63</v>
      </c>
      <c r="N935" s="7" t="s">
        <v>21</v>
      </c>
      <c r="O935" s="1">
        <f>TBL_Employees[[#This Row],[Annual Salary]]+TBL_Employees[[#This Row],[Bonus %]]*TBL_Employees[[#This Row],[Annual Salary]]</f>
        <v>312089.16000000003</v>
      </c>
      <c r="P935" t="str">
        <f>IF(AND(TBL_Employees[[#This Row],[Department]]="IT",TBL_Employees[[#This Row],[Gender]]="Female"),"Yes","No")</f>
        <v>No</v>
      </c>
      <c r="Q935" t="str">
        <f>IF(AND(TBL_Employees[[#This Row],[Gender]]="Female",TBL_Employees[[#This Row],[Ethnicity]]="Black"), "Female_Black", "Others")</f>
        <v>Others</v>
      </c>
    </row>
    <row r="936" spans="1:17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7">
        <v>41264</v>
      </c>
      <c r="J936" s="1">
        <v>153253</v>
      </c>
      <c r="K936" s="2">
        <v>0.24</v>
      </c>
      <c r="L936" t="s">
        <v>19</v>
      </c>
      <c r="M936" t="s">
        <v>25</v>
      </c>
      <c r="N936" s="7" t="s">
        <v>21</v>
      </c>
      <c r="O936" s="1">
        <f>TBL_Employees[[#This Row],[Annual Salary]]+TBL_Employees[[#This Row],[Bonus %]]*TBL_Employees[[#This Row],[Annual Salary]]</f>
        <v>190033.72</v>
      </c>
      <c r="P936" t="str">
        <f>IF(AND(TBL_Employees[[#This Row],[Department]]="IT",TBL_Employees[[#This Row],[Gender]]="Female"),"Yes","No")</f>
        <v>No</v>
      </c>
      <c r="Q936" t="str">
        <f>IF(AND(TBL_Employees[[#This Row],[Gender]]="Female",TBL_Employees[[#This Row],[Ethnicity]]="Black"), "Female_Black", "Others")</f>
        <v>Others</v>
      </c>
    </row>
    <row r="937" spans="1:17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7">
        <v>41915</v>
      </c>
      <c r="J937" s="1">
        <v>103707</v>
      </c>
      <c r="K937" s="2">
        <v>0.09</v>
      </c>
      <c r="L937" t="s">
        <v>19</v>
      </c>
      <c r="M937" t="s">
        <v>29</v>
      </c>
      <c r="N937" s="7" t="s">
        <v>21</v>
      </c>
      <c r="O937" s="1">
        <f>TBL_Employees[[#This Row],[Annual Salary]]+TBL_Employees[[#This Row],[Bonus %]]*TBL_Employees[[#This Row],[Annual Salary]]</f>
        <v>113040.63</v>
      </c>
      <c r="P937" t="str">
        <f>IF(AND(TBL_Employees[[#This Row],[Department]]="IT",TBL_Employees[[#This Row],[Gender]]="Female"),"Yes","No")</f>
        <v>No</v>
      </c>
      <c r="Q937" t="str">
        <f>IF(AND(TBL_Employees[[#This Row],[Gender]]="Female",TBL_Employees[[#This Row],[Ethnicity]]="Black"), "Female_Black", "Others")</f>
        <v>Others</v>
      </c>
    </row>
    <row r="938" spans="1:17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7">
        <v>41130</v>
      </c>
      <c r="J938" s="1">
        <v>245360</v>
      </c>
      <c r="K938" s="2">
        <v>0.37</v>
      </c>
      <c r="L938" t="s">
        <v>19</v>
      </c>
      <c r="M938" t="s">
        <v>25</v>
      </c>
      <c r="N938" s="7" t="s">
        <v>21</v>
      </c>
      <c r="O938" s="1">
        <f>TBL_Employees[[#This Row],[Annual Salary]]+TBL_Employees[[#This Row],[Bonus %]]*TBL_Employees[[#This Row],[Annual Salary]]</f>
        <v>336143.2</v>
      </c>
      <c r="P938" t="str">
        <f>IF(AND(TBL_Employees[[#This Row],[Department]]="IT",TBL_Employees[[#This Row],[Gender]]="Female"),"Yes","No")</f>
        <v>No</v>
      </c>
      <c r="Q938" t="str">
        <f>IF(AND(TBL_Employees[[#This Row],[Gender]]="Female",TBL_Employees[[#This Row],[Ethnicity]]="Black"), "Female_Black", "Others")</f>
        <v>Others</v>
      </c>
    </row>
    <row r="939" spans="1:17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7">
        <v>44385</v>
      </c>
      <c r="J939" s="1">
        <v>67275</v>
      </c>
      <c r="K939" s="2">
        <v>0</v>
      </c>
      <c r="L939" t="s">
        <v>19</v>
      </c>
      <c r="M939" t="s">
        <v>29</v>
      </c>
      <c r="N939" s="7" t="s">
        <v>21</v>
      </c>
      <c r="O939" s="1">
        <f>TBL_Employees[[#This Row],[Annual Salary]]+TBL_Employees[[#This Row],[Bonus %]]*TBL_Employees[[#This Row],[Annual Salary]]</f>
        <v>67275</v>
      </c>
      <c r="P939" t="str">
        <f>IF(AND(TBL_Employees[[#This Row],[Department]]="IT",TBL_Employees[[#This Row],[Gender]]="Female"),"Yes","No")</f>
        <v>No</v>
      </c>
      <c r="Q939" t="str">
        <f>IF(AND(TBL_Employees[[#This Row],[Gender]]="Female",TBL_Employees[[#This Row],[Ethnicity]]="Black"), "Female_Black", "Others")</f>
        <v>Others</v>
      </c>
    </row>
    <row r="940" spans="1:17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7">
        <v>42026</v>
      </c>
      <c r="J940" s="1">
        <v>101288</v>
      </c>
      <c r="K940" s="2">
        <v>0.1</v>
      </c>
      <c r="L940" t="s">
        <v>19</v>
      </c>
      <c r="M940" t="s">
        <v>39</v>
      </c>
      <c r="N940" s="7" t="s">
        <v>21</v>
      </c>
      <c r="O940" s="1">
        <f>TBL_Employees[[#This Row],[Annual Salary]]+TBL_Employees[[#This Row],[Bonus %]]*TBL_Employees[[#This Row],[Annual Salary]]</f>
        <v>111416.8</v>
      </c>
      <c r="P940" t="str">
        <f>IF(AND(TBL_Employees[[#This Row],[Department]]="IT",TBL_Employees[[#This Row],[Gender]]="Female"),"Yes","No")</f>
        <v>No</v>
      </c>
      <c r="Q940" t="str">
        <f>IF(AND(TBL_Employees[[#This Row],[Gender]]="Female",TBL_Employees[[#This Row],[Ethnicity]]="Black"), "Female_Black", "Others")</f>
        <v>Others</v>
      </c>
    </row>
    <row r="941" spans="1:17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7">
        <v>34209</v>
      </c>
      <c r="J941" s="1">
        <v>177443</v>
      </c>
      <c r="K941" s="2">
        <v>0.25</v>
      </c>
      <c r="L941" t="s">
        <v>52</v>
      </c>
      <c r="M941" t="s">
        <v>53</v>
      </c>
      <c r="N941" s="7" t="s">
        <v>21</v>
      </c>
      <c r="O941" s="1">
        <f>TBL_Employees[[#This Row],[Annual Salary]]+TBL_Employees[[#This Row],[Bonus %]]*TBL_Employees[[#This Row],[Annual Salary]]</f>
        <v>221803.75</v>
      </c>
      <c r="P941" t="str">
        <f>IF(AND(TBL_Employees[[#This Row],[Department]]="IT",TBL_Employees[[#This Row],[Gender]]="Female"),"Yes","No")</f>
        <v>No</v>
      </c>
      <c r="Q941" t="str">
        <f>IF(AND(TBL_Employees[[#This Row],[Gender]]="Female",TBL_Employees[[#This Row],[Ethnicity]]="Black"), "Female_Black", "Others")</f>
        <v>Others</v>
      </c>
    </row>
    <row r="942" spans="1:17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7">
        <v>42487</v>
      </c>
      <c r="J942" s="1">
        <v>91400</v>
      </c>
      <c r="K942" s="2">
        <v>0</v>
      </c>
      <c r="L942" t="s">
        <v>19</v>
      </c>
      <c r="M942" t="s">
        <v>20</v>
      </c>
      <c r="N942" s="7" t="s">
        <v>21</v>
      </c>
      <c r="O942" s="1">
        <f>TBL_Employees[[#This Row],[Annual Salary]]+TBL_Employees[[#This Row],[Bonus %]]*TBL_Employees[[#This Row],[Annual Salary]]</f>
        <v>91400</v>
      </c>
      <c r="P942" t="str">
        <f>IF(AND(TBL_Employees[[#This Row],[Department]]="IT",TBL_Employees[[#This Row],[Gender]]="Female"),"Yes","No")</f>
        <v>Yes</v>
      </c>
      <c r="Q942" t="str">
        <f>IF(AND(TBL_Employees[[#This Row],[Gender]]="Female",TBL_Employees[[#This Row],[Ethnicity]]="Black"), "Female_Black", "Others")</f>
        <v>Female_Black</v>
      </c>
    </row>
    <row r="943" spans="1:17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7">
        <v>39335</v>
      </c>
      <c r="J943" s="1">
        <v>181247</v>
      </c>
      <c r="K943" s="2">
        <v>0.33</v>
      </c>
      <c r="L943" t="s">
        <v>52</v>
      </c>
      <c r="M943" t="s">
        <v>53</v>
      </c>
      <c r="N943" s="7" t="s">
        <v>21</v>
      </c>
      <c r="O943" s="1">
        <f>TBL_Employees[[#This Row],[Annual Salary]]+TBL_Employees[[#This Row],[Bonus %]]*TBL_Employees[[#This Row],[Annual Salary]]</f>
        <v>241058.51</v>
      </c>
      <c r="P943" t="str">
        <f>IF(AND(TBL_Employees[[#This Row],[Department]]="IT",TBL_Employees[[#This Row],[Gender]]="Female"),"Yes","No")</f>
        <v>No</v>
      </c>
      <c r="Q943" t="str">
        <f>IF(AND(TBL_Employees[[#This Row],[Gender]]="Female",TBL_Employees[[#This Row],[Ethnicity]]="Black"), "Female_Black", "Others")</f>
        <v>Others</v>
      </c>
    </row>
    <row r="944" spans="1:17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7">
        <v>37914</v>
      </c>
      <c r="J944" s="1">
        <v>135558</v>
      </c>
      <c r="K944" s="2">
        <v>0.14000000000000001</v>
      </c>
      <c r="L944" t="s">
        <v>19</v>
      </c>
      <c r="M944" t="s">
        <v>39</v>
      </c>
      <c r="N944" s="7" t="s">
        <v>21</v>
      </c>
      <c r="O944" s="1">
        <f>TBL_Employees[[#This Row],[Annual Salary]]+TBL_Employees[[#This Row],[Bonus %]]*TBL_Employees[[#This Row],[Annual Salary]]</f>
        <v>154536.12</v>
      </c>
      <c r="P944" t="str">
        <f>IF(AND(TBL_Employees[[#This Row],[Department]]="IT",TBL_Employees[[#This Row],[Gender]]="Female"),"Yes","No")</f>
        <v>No</v>
      </c>
      <c r="Q944" t="str">
        <f>IF(AND(TBL_Employees[[#This Row],[Gender]]="Female",TBL_Employees[[#This Row],[Ethnicity]]="Black"), "Female_Black", "Others")</f>
        <v>Others</v>
      </c>
    </row>
    <row r="945" spans="1:17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7">
        <v>40894</v>
      </c>
      <c r="J945" s="1">
        <v>56878</v>
      </c>
      <c r="K945" s="2">
        <v>0</v>
      </c>
      <c r="L945" t="s">
        <v>19</v>
      </c>
      <c r="M945" t="s">
        <v>63</v>
      </c>
      <c r="N945" s="7" t="s">
        <v>21</v>
      </c>
      <c r="O945" s="1">
        <f>TBL_Employees[[#This Row],[Annual Salary]]+TBL_Employees[[#This Row],[Bonus %]]*TBL_Employees[[#This Row],[Annual Salary]]</f>
        <v>56878</v>
      </c>
      <c r="P945" t="str">
        <f>IF(AND(TBL_Employees[[#This Row],[Department]]="IT",TBL_Employees[[#This Row],[Gender]]="Female"),"Yes","No")</f>
        <v>No</v>
      </c>
      <c r="Q945" t="str">
        <f>IF(AND(TBL_Employees[[#This Row],[Gender]]="Female",TBL_Employees[[#This Row],[Ethnicity]]="Black"), "Female_Black", "Others")</f>
        <v>Others</v>
      </c>
    </row>
    <row r="946" spans="1:17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7">
        <v>43728</v>
      </c>
      <c r="J946" s="1">
        <v>94735</v>
      </c>
      <c r="K946" s="2">
        <v>0</v>
      </c>
      <c r="L946" t="s">
        <v>33</v>
      </c>
      <c r="M946" t="s">
        <v>60</v>
      </c>
      <c r="N946" s="7" t="s">
        <v>21</v>
      </c>
      <c r="O946" s="1">
        <f>TBL_Employees[[#This Row],[Annual Salary]]+TBL_Employees[[#This Row],[Bonus %]]*TBL_Employees[[#This Row],[Annual Salary]]</f>
        <v>94735</v>
      </c>
      <c r="P946" t="str">
        <f>IF(AND(TBL_Employees[[#This Row],[Department]]="IT",TBL_Employees[[#This Row],[Gender]]="Female"),"Yes","No")</f>
        <v>No</v>
      </c>
      <c r="Q946" t="str">
        <f>IF(AND(TBL_Employees[[#This Row],[Gender]]="Female",TBL_Employees[[#This Row],[Ethnicity]]="Black"), "Female_Black", "Others")</f>
        <v>Others</v>
      </c>
    </row>
    <row r="947" spans="1:17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7">
        <v>39229</v>
      </c>
      <c r="J947" s="1">
        <v>51234</v>
      </c>
      <c r="K947" s="2">
        <v>0</v>
      </c>
      <c r="L947" t="s">
        <v>19</v>
      </c>
      <c r="M947" t="s">
        <v>63</v>
      </c>
      <c r="N947" s="7" t="s">
        <v>21</v>
      </c>
      <c r="O947" s="1">
        <f>TBL_Employees[[#This Row],[Annual Salary]]+TBL_Employees[[#This Row],[Bonus %]]*TBL_Employees[[#This Row],[Annual Salary]]</f>
        <v>51234</v>
      </c>
      <c r="P947" t="str">
        <f>IF(AND(TBL_Employees[[#This Row],[Department]]="IT",TBL_Employees[[#This Row],[Gender]]="Female"),"Yes","No")</f>
        <v>No</v>
      </c>
      <c r="Q947" t="str">
        <f>IF(AND(TBL_Employees[[#This Row],[Gender]]="Female",TBL_Employees[[#This Row],[Ethnicity]]="Black"), "Female_Black", "Others")</f>
        <v>Others</v>
      </c>
    </row>
    <row r="948" spans="1:17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7">
        <v>42018</v>
      </c>
      <c r="J948" s="1">
        <v>230025</v>
      </c>
      <c r="K948" s="2">
        <v>0.34</v>
      </c>
      <c r="L948" t="s">
        <v>19</v>
      </c>
      <c r="M948" t="s">
        <v>39</v>
      </c>
      <c r="N948" s="7" t="s">
        <v>21</v>
      </c>
      <c r="O948" s="1">
        <f>TBL_Employees[[#This Row],[Annual Salary]]+TBL_Employees[[#This Row],[Bonus %]]*TBL_Employees[[#This Row],[Annual Salary]]</f>
        <v>308233.5</v>
      </c>
      <c r="P948" t="str">
        <f>IF(AND(TBL_Employees[[#This Row],[Department]]="IT",TBL_Employees[[#This Row],[Gender]]="Female"),"Yes","No")</f>
        <v>No</v>
      </c>
      <c r="Q948" t="str">
        <f>IF(AND(TBL_Employees[[#This Row],[Gender]]="Female",TBL_Employees[[#This Row],[Ethnicity]]="Black"), "Female_Black", "Others")</f>
        <v>Others</v>
      </c>
    </row>
    <row r="949" spans="1:17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7">
        <v>40248</v>
      </c>
      <c r="J949" s="1">
        <v>134006</v>
      </c>
      <c r="K949" s="2">
        <v>0.13</v>
      </c>
      <c r="L949" t="s">
        <v>33</v>
      </c>
      <c r="M949" t="s">
        <v>60</v>
      </c>
      <c r="N949" s="7" t="s">
        <v>21</v>
      </c>
      <c r="O949" s="1">
        <f>TBL_Employees[[#This Row],[Annual Salary]]+TBL_Employees[[#This Row],[Bonus %]]*TBL_Employees[[#This Row],[Annual Salary]]</f>
        <v>151426.78</v>
      </c>
      <c r="P949" t="str">
        <f>IF(AND(TBL_Employees[[#This Row],[Department]]="IT",TBL_Employees[[#This Row],[Gender]]="Female"),"Yes","No")</f>
        <v>No</v>
      </c>
      <c r="Q949" t="str">
        <f>IF(AND(TBL_Employees[[#This Row],[Gender]]="Female",TBL_Employees[[#This Row],[Ethnicity]]="Black"), "Female_Black", "Others")</f>
        <v>Others</v>
      </c>
    </row>
    <row r="950" spans="1:17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7">
        <v>40092</v>
      </c>
      <c r="J950" s="1">
        <v>103096</v>
      </c>
      <c r="K950" s="2">
        <v>7.0000000000000007E-2</v>
      </c>
      <c r="L950" t="s">
        <v>33</v>
      </c>
      <c r="M950" t="s">
        <v>60</v>
      </c>
      <c r="N950" s="7" t="s">
        <v>21</v>
      </c>
      <c r="O950" s="1">
        <f>TBL_Employees[[#This Row],[Annual Salary]]+TBL_Employees[[#This Row],[Bonus %]]*TBL_Employees[[#This Row],[Annual Salary]]</f>
        <v>110312.72</v>
      </c>
      <c r="P950" t="str">
        <f>IF(AND(TBL_Employees[[#This Row],[Department]]="IT",TBL_Employees[[#This Row],[Gender]]="Female"),"Yes","No")</f>
        <v>No</v>
      </c>
      <c r="Q950" t="str">
        <f>IF(AND(TBL_Employees[[#This Row],[Gender]]="Female",TBL_Employees[[#This Row],[Ethnicity]]="Black"), "Female_Black", "Others")</f>
        <v>Others</v>
      </c>
    </row>
    <row r="951" spans="1:17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7">
        <v>42602</v>
      </c>
      <c r="J951" s="1">
        <v>58703</v>
      </c>
      <c r="K951" s="2">
        <v>0</v>
      </c>
      <c r="L951" t="s">
        <v>19</v>
      </c>
      <c r="M951" t="s">
        <v>29</v>
      </c>
      <c r="N951" s="7" t="s">
        <v>21</v>
      </c>
      <c r="O951" s="1">
        <f>TBL_Employees[[#This Row],[Annual Salary]]+TBL_Employees[[#This Row],[Bonus %]]*TBL_Employees[[#This Row],[Annual Salary]]</f>
        <v>58703</v>
      </c>
      <c r="P951" t="str">
        <f>IF(AND(TBL_Employees[[#This Row],[Department]]="IT",TBL_Employees[[#This Row],[Gender]]="Female"),"Yes","No")</f>
        <v>No</v>
      </c>
      <c r="Q951" t="str">
        <f>IF(AND(TBL_Employees[[#This Row],[Gender]]="Female",TBL_Employees[[#This Row],[Ethnicity]]="Black"), "Female_Black", "Others")</f>
        <v>Others</v>
      </c>
    </row>
    <row r="952" spans="1:17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7">
        <v>41267</v>
      </c>
      <c r="J952" s="1">
        <v>132544</v>
      </c>
      <c r="K952" s="2">
        <v>0.1</v>
      </c>
      <c r="L952" t="s">
        <v>52</v>
      </c>
      <c r="M952" t="s">
        <v>66</v>
      </c>
      <c r="N952" s="7" t="s">
        <v>21</v>
      </c>
      <c r="O952" s="1">
        <f>TBL_Employees[[#This Row],[Annual Salary]]+TBL_Employees[[#This Row],[Bonus %]]*TBL_Employees[[#This Row],[Annual Salary]]</f>
        <v>145798.39999999999</v>
      </c>
      <c r="P952" t="str">
        <f>IF(AND(TBL_Employees[[#This Row],[Department]]="IT",TBL_Employees[[#This Row],[Gender]]="Female"),"Yes","No")</f>
        <v>No</v>
      </c>
      <c r="Q952" t="str">
        <f>IF(AND(TBL_Employees[[#This Row],[Gender]]="Female",TBL_Employees[[#This Row],[Ethnicity]]="Black"), "Female_Black", "Others")</f>
        <v>Others</v>
      </c>
    </row>
    <row r="953" spans="1:17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7">
        <v>43936</v>
      </c>
      <c r="J953" s="1">
        <v>126671</v>
      </c>
      <c r="K953" s="2">
        <v>0.09</v>
      </c>
      <c r="L953" t="s">
        <v>19</v>
      </c>
      <c r="M953" t="s">
        <v>45</v>
      </c>
      <c r="N953" s="7" t="s">
        <v>21</v>
      </c>
      <c r="O953" s="1">
        <f>TBL_Employees[[#This Row],[Annual Salary]]+TBL_Employees[[#This Row],[Bonus %]]*TBL_Employees[[#This Row],[Annual Salary]]</f>
        <v>138071.39000000001</v>
      </c>
      <c r="P953" t="str">
        <f>IF(AND(TBL_Employees[[#This Row],[Department]]="IT",TBL_Employees[[#This Row],[Gender]]="Female"),"Yes","No")</f>
        <v>No</v>
      </c>
      <c r="Q953" t="str">
        <f>IF(AND(TBL_Employees[[#This Row],[Gender]]="Female",TBL_Employees[[#This Row],[Ethnicity]]="Black"), "Female_Black", "Others")</f>
        <v>Others</v>
      </c>
    </row>
    <row r="954" spans="1:17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7">
        <v>44218</v>
      </c>
      <c r="J954" s="1">
        <v>56405</v>
      </c>
      <c r="K954" s="2">
        <v>0</v>
      </c>
      <c r="L954" t="s">
        <v>19</v>
      </c>
      <c r="M954" t="s">
        <v>20</v>
      </c>
      <c r="N954" s="7" t="s">
        <v>21</v>
      </c>
      <c r="O954" s="1">
        <f>TBL_Employees[[#This Row],[Annual Salary]]+TBL_Employees[[#This Row],[Bonus %]]*TBL_Employees[[#This Row],[Annual Salary]]</f>
        <v>56405</v>
      </c>
      <c r="P954" t="str">
        <f>IF(AND(TBL_Employees[[#This Row],[Department]]="IT",TBL_Employees[[#This Row],[Gender]]="Female"),"Yes","No")</f>
        <v>No</v>
      </c>
      <c r="Q954" t="str">
        <f>IF(AND(TBL_Employees[[#This Row],[Gender]]="Female",TBL_Employees[[#This Row],[Ethnicity]]="Black"), "Female_Black", "Others")</f>
        <v>Others</v>
      </c>
    </row>
    <row r="955" spans="1:17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7">
        <v>41972</v>
      </c>
      <c r="J955" s="1">
        <v>88730</v>
      </c>
      <c r="K955" s="2">
        <v>0.08</v>
      </c>
      <c r="L955" t="s">
        <v>33</v>
      </c>
      <c r="M955" t="s">
        <v>80</v>
      </c>
      <c r="N955" s="7" t="s">
        <v>21</v>
      </c>
      <c r="O955" s="1">
        <f>TBL_Employees[[#This Row],[Annual Salary]]+TBL_Employees[[#This Row],[Bonus %]]*TBL_Employees[[#This Row],[Annual Salary]]</f>
        <v>95828.4</v>
      </c>
      <c r="P955" t="str">
        <f>IF(AND(TBL_Employees[[#This Row],[Department]]="IT",TBL_Employees[[#This Row],[Gender]]="Female"),"Yes","No")</f>
        <v>Yes</v>
      </c>
      <c r="Q955" t="str">
        <f>IF(AND(TBL_Employees[[#This Row],[Gender]]="Female",TBL_Employees[[#This Row],[Ethnicity]]="Black"), "Female_Black", "Others")</f>
        <v>Others</v>
      </c>
    </row>
    <row r="956" spans="1:17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7">
        <v>39708</v>
      </c>
      <c r="J956" s="1">
        <v>62861</v>
      </c>
      <c r="K956" s="2">
        <v>0</v>
      </c>
      <c r="L956" t="s">
        <v>19</v>
      </c>
      <c r="M956" t="s">
        <v>63</v>
      </c>
      <c r="N956" s="7" t="s">
        <v>21</v>
      </c>
      <c r="O956" s="1">
        <f>TBL_Employees[[#This Row],[Annual Salary]]+TBL_Employees[[#This Row],[Bonus %]]*TBL_Employees[[#This Row],[Annual Salary]]</f>
        <v>62861</v>
      </c>
      <c r="P956" t="str">
        <f>IF(AND(TBL_Employees[[#This Row],[Department]]="IT",TBL_Employees[[#This Row],[Gender]]="Female"),"Yes","No")</f>
        <v>No</v>
      </c>
      <c r="Q956" t="str">
        <f>IF(AND(TBL_Employees[[#This Row],[Gender]]="Female",TBL_Employees[[#This Row],[Ethnicity]]="Black"), "Female_Black", "Others")</f>
        <v>Others</v>
      </c>
    </row>
    <row r="957" spans="1:17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7">
        <v>38919</v>
      </c>
      <c r="J957" s="1">
        <v>151246</v>
      </c>
      <c r="K957" s="2">
        <v>0.21</v>
      </c>
      <c r="L957" t="s">
        <v>52</v>
      </c>
      <c r="M957" t="s">
        <v>53</v>
      </c>
      <c r="N957" s="7" t="s">
        <v>21</v>
      </c>
      <c r="O957" s="1">
        <f>TBL_Employees[[#This Row],[Annual Salary]]+TBL_Employees[[#This Row],[Bonus %]]*TBL_Employees[[#This Row],[Annual Salary]]</f>
        <v>183007.66</v>
      </c>
      <c r="P957" t="str">
        <f>IF(AND(TBL_Employees[[#This Row],[Department]]="IT",TBL_Employees[[#This Row],[Gender]]="Female"),"Yes","No")</f>
        <v>No</v>
      </c>
      <c r="Q957" t="str">
        <f>IF(AND(TBL_Employees[[#This Row],[Gender]]="Female",TBL_Employees[[#This Row],[Ethnicity]]="Black"), "Female_Black", "Others")</f>
        <v>Others</v>
      </c>
    </row>
    <row r="958" spans="1:17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7">
        <v>35532</v>
      </c>
      <c r="J958" s="1">
        <v>154388</v>
      </c>
      <c r="K958" s="2">
        <v>0.1</v>
      </c>
      <c r="L958" t="s">
        <v>19</v>
      </c>
      <c r="M958" t="s">
        <v>63</v>
      </c>
      <c r="N958" s="7" t="s">
        <v>21</v>
      </c>
      <c r="O958" s="1">
        <f>TBL_Employees[[#This Row],[Annual Salary]]+TBL_Employees[[#This Row],[Bonus %]]*TBL_Employees[[#This Row],[Annual Salary]]</f>
        <v>169826.8</v>
      </c>
      <c r="P958" t="str">
        <f>IF(AND(TBL_Employees[[#This Row],[Department]]="IT",TBL_Employees[[#This Row],[Gender]]="Female"),"Yes","No")</f>
        <v>Yes</v>
      </c>
      <c r="Q958" t="str">
        <f>IF(AND(TBL_Employees[[#This Row],[Gender]]="Female",TBL_Employees[[#This Row],[Ethnicity]]="Black"), "Female_Black", "Others")</f>
        <v>Others</v>
      </c>
    </row>
    <row r="959" spans="1:17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7">
        <v>34603</v>
      </c>
      <c r="J959" s="1">
        <v>162978</v>
      </c>
      <c r="K959" s="2">
        <v>0.17</v>
      </c>
      <c r="L959" t="s">
        <v>19</v>
      </c>
      <c r="M959" t="s">
        <v>45</v>
      </c>
      <c r="N959" s="7">
        <v>38131</v>
      </c>
      <c r="O959" s="1">
        <f>TBL_Employees[[#This Row],[Annual Salary]]+TBL_Employees[[#This Row],[Bonus %]]*TBL_Employees[[#This Row],[Annual Salary]]</f>
        <v>190684.26</v>
      </c>
      <c r="P959" t="str">
        <f>IF(AND(TBL_Employees[[#This Row],[Department]]="IT",TBL_Employees[[#This Row],[Gender]]="Female"),"Yes","No")</f>
        <v>No</v>
      </c>
      <c r="Q959" t="str">
        <f>IF(AND(TBL_Employees[[#This Row],[Gender]]="Female",TBL_Employees[[#This Row],[Ethnicity]]="Black"), "Female_Black", "Others")</f>
        <v>Others</v>
      </c>
    </row>
    <row r="960" spans="1:17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7">
        <v>34290</v>
      </c>
      <c r="J960" s="1">
        <v>80170</v>
      </c>
      <c r="K960" s="2">
        <v>0</v>
      </c>
      <c r="L960" t="s">
        <v>19</v>
      </c>
      <c r="M960" t="s">
        <v>45</v>
      </c>
      <c r="N960" s="7" t="s">
        <v>21</v>
      </c>
      <c r="O960" s="1">
        <f>TBL_Employees[[#This Row],[Annual Salary]]+TBL_Employees[[#This Row],[Bonus %]]*TBL_Employees[[#This Row],[Annual Salary]]</f>
        <v>80170</v>
      </c>
      <c r="P960" t="str">
        <f>IF(AND(TBL_Employees[[#This Row],[Department]]="IT",TBL_Employees[[#This Row],[Gender]]="Female"),"Yes","No")</f>
        <v>No</v>
      </c>
      <c r="Q960" t="str">
        <f>IF(AND(TBL_Employees[[#This Row],[Gender]]="Female",TBL_Employees[[#This Row],[Ethnicity]]="Black"), "Female_Black", "Others")</f>
        <v>Others</v>
      </c>
    </row>
    <row r="961" spans="1:17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7">
        <v>44314</v>
      </c>
      <c r="J961" s="1">
        <v>98520</v>
      </c>
      <c r="K961" s="2">
        <v>0</v>
      </c>
      <c r="L961" t="s">
        <v>19</v>
      </c>
      <c r="M961" t="s">
        <v>45</v>
      </c>
      <c r="N961" s="7" t="s">
        <v>21</v>
      </c>
      <c r="O961" s="1">
        <f>TBL_Employees[[#This Row],[Annual Salary]]+TBL_Employees[[#This Row],[Bonus %]]*TBL_Employees[[#This Row],[Annual Salary]]</f>
        <v>98520</v>
      </c>
      <c r="P961" t="str">
        <f>IF(AND(TBL_Employees[[#This Row],[Department]]="IT",TBL_Employees[[#This Row],[Gender]]="Female"),"Yes","No")</f>
        <v>No</v>
      </c>
      <c r="Q961" t="str">
        <f>IF(AND(TBL_Employees[[#This Row],[Gender]]="Female",TBL_Employees[[#This Row],[Ethnicity]]="Black"), "Female_Black", "Others")</f>
        <v>Others</v>
      </c>
    </row>
    <row r="962" spans="1:17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7">
        <v>36523</v>
      </c>
      <c r="J962" s="1">
        <v>116527</v>
      </c>
      <c r="K962" s="2">
        <v>7.0000000000000007E-2</v>
      </c>
      <c r="L962" t="s">
        <v>19</v>
      </c>
      <c r="M962" t="s">
        <v>39</v>
      </c>
      <c r="N962" s="7" t="s">
        <v>21</v>
      </c>
      <c r="O962" s="1">
        <f>TBL_Employees[[#This Row],[Annual Salary]]+TBL_Employees[[#This Row],[Bonus %]]*TBL_Employees[[#This Row],[Annual Salary]]</f>
        <v>124683.89</v>
      </c>
      <c r="P962" t="str">
        <f>IF(AND(TBL_Employees[[#This Row],[Department]]="IT",TBL_Employees[[#This Row],[Gender]]="Female"),"Yes","No")</f>
        <v>No</v>
      </c>
      <c r="Q962" t="str">
        <f>IF(AND(TBL_Employees[[#This Row],[Gender]]="Female",TBL_Employees[[#This Row],[Ethnicity]]="Black"), "Female_Black", "Others")</f>
        <v>Others</v>
      </c>
    </row>
    <row r="963" spans="1:17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7">
        <v>43776</v>
      </c>
      <c r="J963" s="1">
        <v>174607</v>
      </c>
      <c r="K963" s="2">
        <v>0.28999999999999998</v>
      </c>
      <c r="L963" t="s">
        <v>19</v>
      </c>
      <c r="M963" t="s">
        <v>29</v>
      </c>
      <c r="N963" s="7" t="s">
        <v>21</v>
      </c>
      <c r="O963" s="1">
        <f>TBL_Employees[[#This Row],[Annual Salary]]+TBL_Employees[[#This Row],[Bonus %]]*TBL_Employees[[#This Row],[Annual Salary]]</f>
        <v>225243.03</v>
      </c>
      <c r="P963" t="str">
        <f>IF(AND(TBL_Employees[[#This Row],[Department]]="IT",TBL_Employees[[#This Row],[Gender]]="Female"),"Yes","No")</f>
        <v>No</v>
      </c>
      <c r="Q963" t="str">
        <f>IF(AND(TBL_Employees[[#This Row],[Gender]]="Female",TBL_Employees[[#This Row],[Ethnicity]]="Black"), "Female_Black", "Others")</f>
        <v>Others</v>
      </c>
    </row>
    <row r="964" spans="1:17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7">
        <v>38819</v>
      </c>
      <c r="J964" s="1">
        <v>64202</v>
      </c>
      <c r="K964" s="2">
        <v>0</v>
      </c>
      <c r="L964" t="s">
        <v>19</v>
      </c>
      <c r="M964" t="s">
        <v>29</v>
      </c>
      <c r="N964" s="7" t="s">
        <v>21</v>
      </c>
      <c r="O964" s="1">
        <f>TBL_Employees[[#This Row],[Annual Salary]]+TBL_Employees[[#This Row],[Bonus %]]*TBL_Employees[[#This Row],[Annual Salary]]</f>
        <v>64202</v>
      </c>
      <c r="P964" t="str">
        <f>IF(AND(TBL_Employees[[#This Row],[Department]]="IT",TBL_Employees[[#This Row],[Gender]]="Female"),"Yes","No")</f>
        <v>No</v>
      </c>
      <c r="Q964" t="str">
        <f>IF(AND(TBL_Employees[[#This Row],[Gender]]="Female",TBL_Employees[[#This Row],[Ethnicity]]="Black"), "Female_Black", "Others")</f>
        <v>Others</v>
      </c>
    </row>
    <row r="965" spans="1:17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7">
        <v>43671</v>
      </c>
      <c r="J965" s="1">
        <v>50883</v>
      </c>
      <c r="K965" s="2">
        <v>0</v>
      </c>
      <c r="L965" t="s">
        <v>33</v>
      </c>
      <c r="M965" t="s">
        <v>80</v>
      </c>
      <c r="N965" s="7">
        <v>44257</v>
      </c>
      <c r="O965" s="1">
        <f>TBL_Employees[[#This Row],[Annual Salary]]+TBL_Employees[[#This Row],[Bonus %]]*TBL_Employees[[#This Row],[Annual Salary]]</f>
        <v>50883</v>
      </c>
      <c r="P965" t="str">
        <f>IF(AND(TBL_Employees[[#This Row],[Department]]="IT",TBL_Employees[[#This Row],[Gender]]="Female"),"Yes","No")</f>
        <v>No</v>
      </c>
      <c r="Q965" t="str">
        <f>IF(AND(TBL_Employees[[#This Row],[Gender]]="Female",TBL_Employees[[#This Row],[Ethnicity]]="Black"), "Female_Black", "Others")</f>
        <v>Others</v>
      </c>
    </row>
    <row r="966" spans="1:17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7">
        <v>42677</v>
      </c>
      <c r="J966" s="1">
        <v>94618</v>
      </c>
      <c r="K966" s="2">
        <v>0</v>
      </c>
      <c r="L966" t="s">
        <v>19</v>
      </c>
      <c r="M966" t="s">
        <v>29</v>
      </c>
      <c r="N966" s="7" t="s">
        <v>21</v>
      </c>
      <c r="O966" s="1">
        <f>TBL_Employees[[#This Row],[Annual Salary]]+TBL_Employees[[#This Row],[Bonus %]]*TBL_Employees[[#This Row],[Annual Salary]]</f>
        <v>94618</v>
      </c>
      <c r="P966" t="str">
        <f>IF(AND(TBL_Employees[[#This Row],[Department]]="IT",TBL_Employees[[#This Row],[Gender]]="Female"),"Yes","No")</f>
        <v>Yes</v>
      </c>
      <c r="Q966" t="str">
        <f>IF(AND(TBL_Employees[[#This Row],[Gender]]="Female",TBL_Employees[[#This Row],[Ethnicity]]="Black"), "Female_Black", "Others")</f>
        <v>Others</v>
      </c>
    </row>
    <row r="967" spans="1:17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7">
        <v>43753</v>
      </c>
      <c r="J967" s="1">
        <v>151556</v>
      </c>
      <c r="K967" s="2">
        <v>0.2</v>
      </c>
      <c r="L967" t="s">
        <v>19</v>
      </c>
      <c r="M967" t="s">
        <v>45</v>
      </c>
      <c r="N967" s="7" t="s">
        <v>21</v>
      </c>
      <c r="O967" s="1">
        <f>TBL_Employees[[#This Row],[Annual Salary]]+TBL_Employees[[#This Row],[Bonus %]]*TBL_Employees[[#This Row],[Annual Salary]]</f>
        <v>181867.2</v>
      </c>
      <c r="P967" t="str">
        <f>IF(AND(TBL_Employees[[#This Row],[Department]]="IT",TBL_Employees[[#This Row],[Gender]]="Female"),"Yes","No")</f>
        <v>No</v>
      </c>
      <c r="Q967" t="str">
        <f>IF(AND(TBL_Employees[[#This Row],[Gender]]="Female",TBL_Employees[[#This Row],[Ethnicity]]="Black"), "Female_Black", "Others")</f>
        <v>Others</v>
      </c>
    </row>
    <row r="968" spans="1:17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7">
        <v>43898</v>
      </c>
      <c r="J968" s="1">
        <v>80659</v>
      </c>
      <c r="K968" s="2">
        <v>0</v>
      </c>
      <c r="L968" t="s">
        <v>19</v>
      </c>
      <c r="M968" t="s">
        <v>39</v>
      </c>
      <c r="N968" s="7" t="s">
        <v>21</v>
      </c>
      <c r="O968" s="1">
        <f>TBL_Employees[[#This Row],[Annual Salary]]+TBL_Employees[[#This Row],[Bonus %]]*TBL_Employees[[#This Row],[Annual Salary]]</f>
        <v>80659</v>
      </c>
      <c r="P968" t="str">
        <f>IF(AND(TBL_Employees[[#This Row],[Department]]="IT",TBL_Employees[[#This Row],[Gender]]="Female"),"Yes","No")</f>
        <v>No</v>
      </c>
      <c r="Q968" t="str">
        <f>IF(AND(TBL_Employees[[#This Row],[Gender]]="Female",TBL_Employees[[#This Row],[Ethnicity]]="Black"), "Female_Black", "Others")</f>
        <v>Others</v>
      </c>
    </row>
    <row r="969" spans="1:17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7">
        <v>43772</v>
      </c>
      <c r="J969" s="1">
        <v>195385</v>
      </c>
      <c r="K969" s="2">
        <v>0.21</v>
      </c>
      <c r="L969" t="s">
        <v>33</v>
      </c>
      <c r="M969" t="s">
        <v>34</v>
      </c>
      <c r="N969" s="7" t="s">
        <v>21</v>
      </c>
      <c r="O969" s="1">
        <f>TBL_Employees[[#This Row],[Annual Salary]]+TBL_Employees[[#This Row],[Bonus %]]*TBL_Employees[[#This Row],[Annual Salary]]</f>
        <v>236415.85</v>
      </c>
      <c r="P969" t="str">
        <f>IF(AND(TBL_Employees[[#This Row],[Department]]="IT",TBL_Employees[[#This Row],[Gender]]="Female"),"Yes","No")</f>
        <v>No</v>
      </c>
      <c r="Q969" t="str">
        <f>IF(AND(TBL_Employees[[#This Row],[Gender]]="Female",TBL_Employees[[#This Row],[Ethnicity]]="Black"), "Female_Black", "Others")</f>
        <v>Others</v>
      </c>
    </row>
    <row r="970" spans="1:17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7">
        <v>42509</v>
      </c>
      <c r="J970" s="1">
        <v>52693</v>
      </c>
      <c r="K970" s="2">
        <v>0</v>
      </c>
      <c r="L970" t="s">
        <v>52</v>
      </c>
      <c r="M970" t="s">
        <v>66</v>
      </c>
      <c r="N970" s="7" t="s">
        <v>21</v>
      </c>
      <c r="O970" s="1">
        <f>TBL_Employees[[#This Row],[Annual Salary]]+TBL_Employees[[#This Row],[Bonus %]]*TBL_Employees[[#This Row],[Annual Salary]]</f>
        <v>52693</v>
      </c>
      <c r="P970" t="str">
        <f>IF(AND(TBL_Employees[[#This Row],[Department]]="IT",TBL_Employees[[#This Row],[Gender]]="Female"),"Yes","No")</f>
        <v>No</v>
      </c>
      <c r="Q970" t="str">
        <f>IF(AND(TBL_Employees[[#This Row],[Gender]]="Female",TBL_Employees[[#This Row],[Ethnicity]]="Black"), "Female_Black", "Others")</f>
        <v>Others</v>
      </c>
    </row>
    <row r="971" spans="1:17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7">
        <v>42486</v>
      </c>
      <c r="J971" s="1">
        <v>72045</v>
      </c>
      <c r="K971" s="2">
        <v>0</v>
      </c>
      <c r="L971" t="s">
        <v>19</v>
      </c>
      <c r="M971" t="s">
        <v>39</v>
      </c>
      <c r="N971" s="7" t="s">
        <v>21</v>
      </c>
      <c r="O971" s="1">
        <f>TBL_Employees[[#This Row],[Annual Salary]]+TBL_Employees[[#This Row],[Bonus %]]*TBL_Employees[[#This Row],[Annual Salary]]</f>
        <v>72045</v>
      </c>
      <c r="P971" t="str">
        <f>IF(AND(TBL_Employees[[#This Row],[Department]]="IT",TBL_Employees[[#This Row],[Gender]]="Female"),"Yes","No")</f>
        <v>Yes</v>
      </c>
      <c r="Q971" t="str">
        <f>IF(AND(TBL_Employees[[#This Row],[Gender]]="Female",TBL_Employees[[#This Row],[Ethnicity]]="Black"), "Female_Black", "Others")</f>
        <v>Others</v>
      </c>
    </row>
    <row r="972" spans="1:17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7">
        <v>38684</v>
      </c>
      <c r="J972" s="1">
        <v>62749</v>
      </c>
      <c r="K972" s="2">
        <v>0</v>
      </c>
      <c r="L972" t="s">
        <v>52</v>
      </c>
      <c r="M972" t="s">
        <v>81</v>
      </c>
      <c r="N972" s="7" t="s">
        <v>21</v>
      </c>
      <c r="O972" s="1">
        <f>TBL_Employees[[#This Row],[Annual Salary]]+TBL_Employees[[#This Row],[Bonus %]]*TBL_Employees[[#This Row],[Annual Salary]]</f>
        <v>62749</v>
      </c>
      <c r="P972" t="str">
        <f>IF(AND(TBL_Employees[[#This Row],[Department]]="IT",TBL_Employees[[#This Row],[Gender]]="Female"),"Yes","No")</f>
        <v>No</v>
      </c>
      <c r="Q972" t="str">
        <f>IF(AND(TBL_Employees[[#This Row],[Gender]]="Female",TBL_Employees[[#This Row],[Ethnicity]]="Black"), "Female_Black", "Others")</f>
        <v>Others</v>
      </c>
    </row>
    <row r="973" spans="1:17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7">
        <v>43255</v>
      </c>
      <c r="J973" s="1">
        <v>154884</v>
      </c>
      <c r="K973" s="2">
        <v>0.1</v>
      </c>
      <c r="L973" t="s">
        <v>33</v>
      </c>
      <c r="M973" t="s">
        <v>74</v>
      </c>
      <c r="N973" s="7" t="s">
        <v>21</v>
      </c>
      <c r="O973" s="1">
        <f>TBL_Employees[[#This Row],[Annual Salary]]+TBL_Employees[[#This Row],[Bonus %]]*TBL_Employees[[#This Row],[Annual Salary]]</f>
        <v>170372.4</v>
      </c>
      <c r="P973" t="str">
        <f>IF(AND(TBL_Employees[[#This Row],[Department]]="IT",TBL_Employees[[#This Row],[Gender]]="Female"),"Yes","No")</f>
        <v>No</v>
      </c>
      <c r="Q973" t="str">
        <f>IF(AND(TBL_Employees[[#This Row],[Gender]]="Female",TBL_Employees[[#This Row],[Ethnicity]]="Black"), "Female_Black", "Others")</f>
        <v>Others</v>
      </c>
    </row>
    <row r="974" spans="1:17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7">
        <v>42437</v>
      </c>
      <c r="J974" s="1">
        <v>96566</v>
      </c>
      <c r="K974" s="2">
        <v>0</v>
      </c>
      <c r="L974" t="s">
        <v>19</v>
      </c>
      <c r="M974" t="s">
        <v>29</v>
      </c>
      <c r="N974" s="7" t="s">
        <v>21</v>
      </c>
      <c r="O974" s="1">
        <f>TBL_Employees[[#This Row],[Annual Salary]]+TBL_Employees[[#This Row],[Bonus %]]*TBL_Employees[[#This Row],[Annual Salary]]</f>
        <v>96566</v>
      </c>
      <c r="P974" t="str">
        <f>IF(AND(TBL_Employees[[#This Row],[Department]]="IT",TBL_Employees[[#This Row],[Gender]]="Female"),"Yes","No")</f>
        <v>No</v>
      </c>
      <c r="Q974" t="str">
        <f>IF(AND(TBL_Employees[[#This Row],[Gender]]="Female",TBL_Employees[[#This Row],[Ethnicity]]="Black"), "Female_Black", "Others")</f>
        <v>Others</v>
      </c>
    </row>
    <row r="975" spans="1:17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7">
        <v>37126</v>
      </c>
      <c r="J975" s="1">
        <v>54994</v>
      </c>
      <c r="K975" s="2">
        <v>0</v>
      </c>
      <c r="L975" t="s">
        <v>19</v>
      </c>
      <c r="M975" t="s">
        <v>29</v>
      </c>
      <c r="N975" s="7" t="s">
        <v>21</v>
      </c>
      <c r="O975" s="1">
        <f>TBL_Employees[[#This Row],[Annual Salary]]+TBL_Employees[[#This Row],[Bonus %]]*TBL_Employees[[#This Row],[Annual Salary]]</f>
        <v>54994</v>
      </c>
      <c r="P975" t="str">
        <f>IF(AND(TBL_Employees[[#This Row],[Department]]="IT",TBL_Employees[[#This Row],[Gender]]="Female"),"Yes","No")</f>
        <v>No</v>
      </c>
      <c r="Q975" t="str">
        <f>IF(AND(TBL_Employees[[#This Row],[Gender]]="Female",TBL_Employees[[#This Row],[Ethnicity]]="Black"), "Female_Black", "Others")</f>
        <v>Others</v>
      </c>
    </row>
    <row r="976" spans="1:17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7">
        <v>40944</v>
      </c>
      <c r="J976" s="1">
        <v>61523</v>
      </c>
      <c r="K976" s="2">
        <v>0</v>
      </c>
      <c r="L976" t="s">
        <v>19</v>
      </c>
      <c r="M976" t="s">
        <v>29</v>
      </c>
      <c r="N976" s="7" t="s">
        <v>21</v>
      </c>
      <c r="O976" s="1">
        <f>TBL_Employees[[#This Row],[Annual Salary]]+TBL_Employees[[#This Row],[Bonus %]]*TBL_Employees[[#This Row],[Annual Salary]]</f>
        <v>61523</v>
      </c>
      <c r="P976" t="str">
        <f>IF(AND(TBL_Employees[[#This Row],[Department]]="IT",TBL_Employees[[#This Row],[Gender]]="Female"),"Yes","No")</f>
        <v>Yes</v>
      </c>
      <c r="Q976" t="str">
        <f>IF(AND(TBL_Employees[[#This Row],[Gender]]="Female",TBL_Employees[[#This Row],[Ethnicity]]="Black"), "Female_Black", "Others")</f>
        <v>Others</v>
      </c>
    </row>
    <row r="977" spans="1:17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7">
        <v>40524</v>
      </c>
      <c r="J977" s="1">
        <v>190512</v>
      </c>
      <c r="K977" s="2">
        <v>0.32</v>
      </c>
      <c r="L977" t="s">
        <v>19</v>
      </c>
      <c r="M977" t="s">
        <v>29</v>
      </c>
      <c r="N977" s="7" t="s">
        <v>21</v>
      </c>
      <c r="O977" s="1">
        <f>TBL_Employees[[#This Row],[Annual Salary]]+TBL_Employees[[#This Row],[Bonus %]]*TBL_Employees[[#This Row],[Annual Salary]]</f>
        <v>251475.84</v>
      </c>
      <c r="P977" t="str">
        <f>IF(AND(TBL_Employees[[#This Row],[Department]]="IT",TBL_Employees[[#This Row],[Gender]]="Female"),"Yes","No")</f>
        <v>No</v>
      </c>
      <c r="Q977" t="str">
        <f>IF(AND(TBL_Employees[[#This Row],[Gender]]="Female",TBL_Employees[[#This Row],[Ethnicity]]="Black"), "Female_Black", "Others")</f>
        <v>Others</v>
      </c>
    </row>
    <row r="978" spans="1:17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7">
        <v>41318</v>
      </c>
      <c r="J978" s="1">
        <v>124827</v>
      </c>
      <c r="K978" s="2">
        <v>0</v>
      </c>
      <c r="L978" t="s">
        <v>33</v>
      </c>
      <c r="M978" t="s">
        <v>60</v>
      </c>
      <c r="N978" s="7" t="s">
        <v>21</v>
      </c>
      <c r="O978" s="1">
        <f>TBL_Employees[[#This Row],[Annual Salary]]+TBL_Employees[[#This Row],[Bonus %]]*TBL_Employees[[#This Row],[Annual Salary]]</f>
        <v>124827</v>
      </c>
      <c r="P978" t="str">
        <f>IF(AND(TBL_Employees[[#This Row],[Department]]="IT",TBL_Employees[[#This Row],[Gender]]="Female"),"Yes","No")</f>
        <v>No</v>
      </c>
      <c r="Q978" t="str">
        <f>IF(AND(TBL_Employees[[#This Row],[Gender]]="Female",TBL_Employees[[#This Row],[Ethnicity]]="Black"), "Female_Black", "Others")</f>
        <v>Others</v>
      </c>
    </row>
    <row r="979" spans="1:17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7">
        <v>43484</v>
      </c>
      <c r="J979" s="1">
        <v>101577</v>
      </c>
      <c r="K979" s="2">
        <v>0.05</v>
      </c>
      <c r="L979" t="s">
        <v>19</v>
      </c>
      <c r="M979" t="s">
        <v>20</v>
      </c>
      <c r="N979" s="7" t="s">
        <v>21</v>
      </c>
      <c r="O979" s="1">
        <f>TBL_Employees[[#This Row],[Annual Salary]]+TBL_Employees[[#This Row],[Bonus %]]*TBL_Employees[[#This Row],[Annual Salary]]</f>
        <v>106655.85</v>
      </c>
      <c r="P979" t="str">
        <f>IF(AND(TBL_Employees[[#This Row],[Department]]="IT",TBL_Employees[[#This Row],[Gender]]="Female"),"Yes","No")</f>
        <v>No</v>
      </c>
      <c r="Q979" t="str">
        <f>IF(AND(TBL_Employees[[#This Row],[Gender]]="Female",TBL_Employees[[#This Row],[Ethnicity]]="Black"), "Female_Black", "Others")</f>
        <v>Others</v>
      </c>
    </row>
    <row r="980" spans="1:17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7">
        <v>38642</v>
      </c>
      <c r="J980" s="1">
        <v>105223</v>
      </c>
      <c r="K980" s="2">
        <v>0.1</v>
      </c>
      <c r="L980" t="s">
        <v>19</v>
      </c>
      <c r="M980" t="s">
        <v>39</v>
      </c>
      <c r="N980" s="7" t="s">
        <v>21</v>
      </c>
      <c r="O980" s="1">
        <f>TBL_Employees[[#This Row],[Annual Salary]]+TBL_Employees[[#This Row],[Bonus %]]*TBL_Employees[[#This Row],[Annual Salary]]</f>
        <v>115745.3</v>
      </c>
      <c r="P980" t="str">
        <f>IF(AND(TBL_Employees[[#This Row],[Department]]="IT",TBL_Employees[[#This Row],[Gender]]="Female"),"Yes","No")</f>
        <v>No</v>
      </c>
      <c r="Q980" t="str">
        <f>IF(AND(TBL_Employees[[#This Row],[Gender]]="Female",TBL_Employees[[#This Row],[Ethnicity]]="Black"), "Female_Black", "Others")</f>
        <v>Others</v>
      </c>
    </row>
    <row r="981" spans="1:17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7">
        <v>39635</v>
      </c>
      <c r="J981" s="1">
        <v>94815</v>
      </c>
      <c r="K981" s="2">
        <v>0</v>
      </c>
      <c r="L981" t="s">
        <v>19</v>
      </c>
      <c r="M981" t="s">
        <v>20</v>
      </c>
      <c r="N981" s="7" t="s">
        <v>21</v>
      </c>
      <c r="O981" s="1">
        <f>TBL_Employees[[#This Row],[Annual Salary]]+TBL_Employees[[#This Row],[Bonus %]]*TBL_Employees[[#This Row],[Annual Salary]]</f>
        <v>94815</v>
      </c>
      <c r="P981" t="str">
        <f>IF(AND(TBL_Employees[[#This Row],[Department]]="IT",TBL_Employees[[#This Row],[Gender]]="Female"),"Yes","No")</f>
        <v>No</v>
      </c>
      <c r="Q981" t="str">
        <f>IF(AND(TBL_Employees[[#This Row],[Gender]]="Female",TBL_Employees[[#This Row],[Ethnicity]]="Black"), "Female_Black", "Others")</f>
        <v>Others</v>
      </c>
    </row>
    <row r="982" spans="1:17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7">
        <v>44545</v>
      </c>
      <c r="J982" s="1">
        <v>114893</v>
      </c>
      <c r="K982" s="2">
        <v>0.06</v>
      </c>
      <c r="L982" t="s">
        <v>33</v>
      </c>
      <c r="M982" t="s">
        <v>34</v>
      </c>
      <c r="N982" s="7" t="s">
        <v>21</v>
      </c>
      <c r="O982" s="1">
        <f>TBL_Employees[[#This Row],[Annual Salary]]+TBL_Employees[[#This Row],[Bonus %]]*TBL_Employees[[#This Row],[Annual Salary]]</f>
        <v>121786.58</v>
      </c>
      <c r="P982" t="str">
        <f>IF(AND(TBL_Employees[[#This Row],[Department]]="IT",TBL_Employees[[#This Row],[Gender]]="Female"),"Yes","No")</f>
        <v>No</v>
      </c>
      <c r="Q982" t="str">
        <f>IF(AND(TBL_Employees[[#This Row],[Gender]]="Female",TBL_Employees[[#This Row],[Ethnicity]]="Black"), "Female_Black", "Others")</f>
        <v>Others</v>
      </c>
    </row>
    <row r="983" spans="1:17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7">
        <v>42745</v>
      </c>
      <c r="J983" s="1">
        <v>80622</v>
      </c>
      <c r="K983" s="2">
        <v>0</v>
      </c>
      <c r="L983" t="s">
        <v>19</v>
      </c>
      <c r="M983" t="s">
        <v>25</v>
      </c>
      <c r="N983" s="7" t="s">
        <v>21</v>
      </c>
      <c r="O983" s="1">
        <f>TBL_Employees[[#This Row],[Annual Salary]]+TBL_Employees[[#This Row],[Bonus %]]*TBL_Employees[[#This Row],[Annual Salary]]</f>
        <v>80622</v>
      </c>
      <c r="P983" t="str">
        <f>IF(AND(TBL_Employees[[#This Row],[Department]]="IT",TBL_Employees[[#This Row],[Gender]]="Female"),"Yes","No")</f>
        <v>No</v>
      </c>
      <c r="Q983" t="str">
        <f>IF(AND(TBL_Employees[[#This Row],[Gender]]="Female",TBL_Employees[[#This Row],[Ethnicity]]="Black"), "Female_Black", "Others")</f>
        <v>Others</v>
      </c>
    </row>
    <row r="984" spans="1:17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7">
        <v>42685</v>
      </c>
      <c r="J984" s="1">
        <v>246589</v>
      </c>
      <c r="K984" s="2">
        <v>0.33</v>
      </c>
      <c r="L984" t="s">
        <v>19</v>
      </c>
      <c r="M984" t="s">
        <v>39</v>
      </c>
      <c r="N984" s="7">
        <v>42820</v>
      </c>
      <c r="O984" s="1">
        <f>TBL_Employees[[#This Row],[Annual Salary]]+TBL_Employees[[#This Row],[Bonus %]]*TBL_Employees[[#This Row],[Annual Salary]]</f>
        <v>327963.37</v>
      </c>
      <c r="P984" t="str">
        <f>IF(AND(TBL_Employees[[#This Row],[Department]]="IT",TBL_Employees[[#This Row],[Gender]]="Female"),"Yes","No")</f>
        <v>Yes</v>
      </c>
      <c r="Q984" t="str">
        <f>IF(AND(TBL_Employees[[#This Row],[Gender]]="Female",TBL_Employees[[#This Row],[Ethnicity]]="Black"), "Female_Black", "Others")</f>
        <v>Others</v>
      </c>
    </row>
    <row r="985" spans="1:17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7">
        <v>43240</v>
      </c>
      <c r="J985" s="1">
        <v>119397</v>
      </c>
      <c r="K985" s="2">
        <v>0.09</v>
      </c>
      <c r="L985" t="s">
        <v>33</v>
      </c>
      <c r="M985" t="s">
        <v>60</v>
      </c>
      <c r="N985" s="7">
        <v>43538</v>
      </c>
      <c r="O985" s="1">
        <f>TBL_Employees[[#This Row],[Annual Salary]]+TBL_Employees[[#This Row],[Bonus %]]*TBL_Employees[[#This Row],[Annual Salary]]</f>
        <v>130142.73</v>
      </c>
      <c r="P985" t="str">
        <f>IF(AND(TBL_Employees[[#This Row],[Department]]="IT",TBL_Employees[[#This Row],[Gender]]="Female"),"Yes","No")</f>
        <v>No</v>
      </c>
      <c r="Q985" t="str">
        <f>IF(AND(TBL_Employees[[#This Row],[Gender]]="Female",TBL_Employees[[#This Row],[Ethnicity]]="Black"), "Female_Black", "Others")</f>
        <v>Others</v>
      </c>
    </row>
    <row r="986" spans="1:17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7">
        <v>44549</v>
      </c>
      <c r="J986" s="1">
        <v>150666</v>
      </c>
      <c r="K986" s="2">
        <v>0.23</v>
      </c>
      <c r="L986" t="s">
        <v>33</v>
      </c>
      <c r="M986" t="s">
        <v>34</v>
      </c>
      <c r="N986" s="7" t="s">
        <v>21</v>
      </c>
      <c r="O986" s="1">
        <f>TBL_Employees[[#This Row],[Annual Salary]]+TBL_Employees[[#This Row],[Bonus %]]*TBL_Employees[[#This Row],[Annual Salary]]</f>
        <v>185319.18</v>
      </c>
      <c r="P986" t="str">
        <f>IF(AND(TBL_Employees[[#This Row],[Department]]="IT",TBL_Employees[[#This Row],[Gender]]="Female"),"Yes","No")</f>
        <v>No</v>
      </c>
      <c r="Q986" t="str">
        <f>IF(AND(TBL_Employees[[#This Row],[Gender]]="Female",TBL_Employees[[#This Row],[Ethnicity]]="Black"), "Female_Black", "Others")</f>
        <v>Others</v>
      </c>
    </row>
    <row r="987" spans="1:17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7">
        <v>37265</v>
      </c>
      <c r="J987" s="1">
        <v>148035</v>
      </c>
      <c r="K987" s="2">
        <v>0.14000000000000001</v>
      </c>
      <c r="L987" t="s">
        <v>19</v>
      </c>
      <c r="M987" t="s">
        <v>39</v>
      </c>
      <c r="N987" s="7" t="s">
        <v>21</v>
      </c>
      <c r="O987" s="1">
        <f>TBL_Employees[[#This Row],[Annual Salary]]+TBL_Employees[[#This Row],[Bonus %]]*TBL_Employees[[#This Row],[Annual Salary]]</f>
        <v>168759.9</v>
      </c>
      <c r="P987" t="str">
        <f>IF(AND(TBL_Employees[[#This Row],[Department]]="IT",TBL_Employees[[#This Row],[Gender]]="Female"),"Yes","No")</f>
        <v>Yes</v>
      </c>
      <c r="Q987" t="str">
        <f>IF(AND(TBL_Employees[[#This Row],[Gender]]="Female",TBL_Employees[[#This Row],[Ethnicity]]="Black"), "Female_Black", "Others")</f>
        <v>Others</v>
      </c>
    </row>
    <row r="988" spans="1:17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7">
        <v>42891</v>
      </c>
      <c r="J988" s="1">
        <v>158898</v>
      </c>
      <c r="K988" s="2">
        <v>0.18</v>
      </c>
      <c r="L988" t="s">
        <v>19</v>
      </c>
      <c r="M988" t="s">
        <v>45</v>
      </c>
      <c r="N988" s="7" t="s">
        <v>21</v>
      </c>
      <c r="O988" s="1">
        <f>TBL_Employees[[#This Row],[Annual Salary]]+TBL_Employees[[#This Row],[Bonus %]]*TBL_Employees[[#This Row],[Annual Salary]]</f>
        <v>187499.64</v>
      </c>
      <c r="P988" t="str">
        <f>IF(AND(TBL_Employees[[#This Row],[Department]]="IT",TBL_Employees[[#This Row],[Gender]]="Female"),"Yes","No")</f>
        <v>No</v>
      </c>
      <c r="Q988" t="str">
        <f>IF(AND(TBL_Employees[[#This Row],[Gender]]="Female",TBL_Employees[[#This Row],[Ethnicity]]="Black"), "Female_Black", "Others")</f>
        <v>Others</v>
      </c>
    </row>
    <row r="989" spans="1:17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7">
        <v>40967</v>
      </c>
      <c r="J989" s="1">
        <v>89659</v>
      </c>
      <c r="K989" s="2">
        <v>0</v>
      </c>
      <c r="L989" t="s">
        <v>33</v>
      </c>
      <c r="M989" t="s">
        <v>60</v>
      </c>
      <c r="N989" s="7" t="s">
        <v>21</v>
      </c>
      <c r="O989" s="1">
        <f>TBL_Employees[[#This Row],[Annual Salary]]+TBL_Employees[[#This Row],[Bonus %]]*TBL_Employees[[#This Row],[Annual Salary]]</f>
        <v>89659</v>
      </c>
      <c r="P989" t="str">
        <f>IF(AND(TBL_Employees[[#This Row],[Department]]="IT",TBL_Employees[[#This Row],[Gender]]="Female"),"Yes","No")</f>
        <v>No</v>
      </c>
      <c r="Q989" t="str">
        <f>IF(AND(TBL_Employees[[#This Row],[Gender]]="Female",TBL_Employees[[#This Row],[Ethnicity]]="Black"), "Female_Black", "Others")</f>
        <v>Others</v>
      </c>
    </row>
    <row r="990" spans="1:17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7">
        <v>39201</v>
      </c>
      <c r="J990" s="1">
        <v>171487</v>
      </c>
      <c r="K990" s="2">
        <v>0.23</v>
      </c>
      <c r="L990" t="s">
        <v>19</v>
      </c>
      <c r="M990" t="s">
        <v>39</v>
      </c>
      <c r="N990" s="7" t="s">
        <v>21</v>
      </c>
      <c r="O990" s="1">
        <f>TBL_Employees[[#This Row],[Annual Salary]]+TBL_Employees[[#This Row],[Bonus %]]*TBL_Employees[[#This Row],[Annual Salary]]</f>
        <v>210929.01</v>
      </c>
      <c r="P990" t="str">
        <f>IF(AND(TBL_Employees[[#This Row],[Department]]="IT",TBL_Employees[[#This Row],[Gender]]="Female"),"Yes","No")</f>
        <v>No</v>
      </c>
      <c r="Q990" t="str">
        <f>IF(AND(TBL_Employees[[#This Row],[Gender]]="Female",TBL_Employees[[#This Row],[Ethnicity]]="Black"), "Female_Black", "Others")</f>
        <v>Others</v>
      </c>
    </row>
    <row r="991" spans="1:17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7">
        <v>42603</v>
      </c>
      <c r="J991" s="1">
        <v>258498</v>
      </c>
      <c r="K991" s="2">
        <v>0.35</v>
      </c>
      <c r="L991" t="s">
        <v>19</v>
      </c>
      <c r="M991" t="s">
        <v>29</v>
      </c>
      <c r="N991" s="7" t="s">
        <v>21</v>
      </c>
      <c r="O991" s="1">
        <f>TBL_Employees[[#This Row],[Annual Salary]]+TBL_Employees[[#This Row],[Bonus %]]*TBL_Employees[[#This Row],[Annual Salary]]</f>
        <v>348972.3</v>
      </c>
      <c r="P991" t="str">
        <f>IF(AND(TBL_Employees[[#This Row],[Department]]="IT",TBL_Employees[[#This Row],[Gender]]="Female"),"Yes","No")</f>
        <v>No</v>
      </c>
      <c r="Q991" t="str">
        <f>IF(AND(TBL_Employees[[#This Row],[Gender]]="Female",TBL_Employees[[#This Row],[Ethnicity]]="Black"), "Female_Black", "Others")</f>
        <v>Others</v>
      </c>
    </row>
    <row r="992" spans="1:17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7">
        <v>40511</v>
      </c>
      <c r="J992" s="1">
        <v>146961</v>
      </c>
      <c r="K992" s="2">
        <v>0.11</v>
      </c>
      <c r="L992" t="s">
        <v>19</v>
      </c>
      <c r="M992" t="s">
        <v>29</v>
      </c>
      <c r="N992" s="7" t="s">
        <v>21</v>
      </c>
      <c r="O992" s="1">
        <f>TBL_Employees[[#This Row],[Annual Salary]]+TBL_Employees[[#This Row],[Bonus %]]*TBL_Employees[[#This Row],[Annual Salary]]</f>
        <v>163126.71</v>
      </c>
      <c r="P992" t="str">
        <f>IF(AND(TBL_Employees[[#This Row],[Department]]="IT",TBL_Employees[[#This Row],[Gender]]="Female"),"Yes","No")</f>
        <v>No</v>
      </c>
      <c r="Q992" t="str">
        <f>IF(AND(TBL_Employees[[#This Row],[Gender]]="Female",TBL_Employees[[#This Row],[Ethnicity]]="Black"), "Female_Black", "Others")</f>
        <v>Others</v>
      </c>
    </row>
    <row r="993" spans="1:17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7">
        <v>35907</v>
      </c>
      <c r="J993" s="1">
        <v>85369</v>
      </c>
      <c r="K993" s="2">
        <v>0</v>
      </c>
      <c r="L993" t="s">
        <v>52</v>
      </c>
      <c r="M993" t="s">
        <v>81</v>
      </c>
      <c r="N993" s="7">
        <v>38318</v>
      </c>
      <c r="O993" s="1">
        <f>TBL_Employees[[#This Row],[Annual Salary]]+TBL_Employees[[#This Row],[Bonus %]]*TBL_Employees[[#This Row],[Annual Salary]]</f>
        <v>85369</v>
      </c>
      <c r="P993" t="str">
        <f>IF(AND(TBL_Employees[[#This Row],[Department]]="IT",TBL_Employees[[#This Row],[Gender]]="Female"),"Yes","No")</f>
        <v>No</v>
      </c>
      <c r="Q993" t="str">
        <f>IF(AND(TBL_Employees[[#This Row],[Gender]]="Female",TBL_Employees[[#This Row],[Ethnicity]]="Black"), "Female_Black", "Others")</f>
        <v>Others</v>
      </c>
    </row>
    <row r="994" spans="1:17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7">
        <v>42169</v>
      </c>
      <c r="J994" s="1">
        <v>67489</v>
      </c>
      <c r="K994" s="2">
        <v>0</v>
      </c>
      <c r="L994" t="s">
        <v>19</v>
      </c>
      <c r="M994" t="s">
        <v>20</v>
      </c>
      <c r="N994" s="7" t="s">
        <v>21</v>
      </c>
      <c r="O994" s="1">
        <f>TBL_Employees[[#This Row],[Annual Salary]]+TBL_Employees[[#This Row],[Bonus %]]*TBL_Employees[[#This Row],[Annual Salary]]</f>
        <v>67489</v>
      </c>
      <c r="P994" t="str">
        <f>IF(AND(TBL_Employees[[#This Row],[Department]]="IT",TBL_Employees[[#This Row],[Gender]]="Female"),"Yes","No")</f>
        <v>No</v>
      </c>
      <c r="Q994" t="str">
        <f>IF(AND(TBL_Employees[[#This Row],[Gender]]="Female",TBL_Employees[[#This Row],[Ethnicity]]="Black"), "Female_Black", "Others")</f>
        <v>Others</v>
      </c>
    </row>
    <row r="995" spans="1:17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7">
        <v>43379</v>
      </c>
      <c r="J995" s="1">
        <v>166259</v>
      </c>
      <c r="K995" s="2">
        <v>0.17</v>
      </c>
      <c r="L995" t="s">
        <v>19</v>
      </c>
      <c r="M995" t="s">
        <v>20</v>
      </c>
      <c r="N995" s="7" t="s">
        <v>21</v>
      </c>
      <c r="O995" s="1">
        <f>TBL_Employees[[#This Row],[Annual Salary]]+TBL_Employees[[#This Row],[Bonus %]]*TBL_Employees[[#This Row],[Annual Salary]]</f>
        <v>194523.03</v>
      </c>
      <c r="P995" t="str">
        <f>IF(AND(TBL_Employees[[#This Row],[Department]]="IT",TBL_Employees[[#This Row],[Gender]]="Female"),"Yes","No")</f>
        <v>Yes</v>
      </c>
      <c r="Q995" t="str">
        <f>IF(AND(TBL_Employees[[#This Row],[Gender]]="Female",TBL_Employees[[#This Row],[Ethnicity]]="Black"), "Female_Black", "Others")</f>
        <v>Others</v>
      </c>
    </row>
    <row r="996" spans="1:17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7">
        <v>39820</v>
      </c>
      <c r="J996" s="1">
        <v>47032</v>
      </c>
      <c r="K996" s="2">
        <v>0</v>
      </c>
      <c r="L996" t="s">
        <v>19</v>
      </c>
      <c r="M996" t="s">
        <v>29</v>
      </c>
      <c r="N996" s="7" t="s">
        <v>21</v>
      </c>
      <c r="O996" s="1">
        <f>TBL_Employees[[#This Row],[Annual Salary]]+TBL_Employees[[#This Row],[Bonus %]]*TBL_Employees[[#This Row],[Annual Salary]]</f>
        <v>47032</v>
      </c>
      <c r="P996" t="str">
        <f>IF(AND(TBL_Employees[[#This Row],[Department]]="IT",TBL_Employees[[#This Row],[Gender]]="Female"),"Yes","No")</f>
        <v>Yes</v>
      </c>
      <c r="Q996" t="str">
        <f>IF(AND(TBL_Employees[[#This Row],[Gender]]="Female",TBL_Employees[[#This Row],[Ethnicity]]="Black"), "Female_Black", "Others")</f>
        <v>Others</v>
      </c>
    </row>
    <row r="997" spans="1:17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7">
        <v>42631</v>
      </c>
      <c r="J997" s="1">
        <v>98427</v>
      </c>
      <c r="K997" s="2">
        <v>0</v>
      </c>
      <c r="L997" t="s">
        <v>19</v>
      </c>
      <c r="M997" t="s">
        <v>29</v>
      </c>
      <c r="N997" s="7" t="s">
        <v>21</v>
      </c>
      <c r="O997" s="1">
        <f>TBL_Employees[[#This Row],[Annual Salary]]+TBL_Employees[[#This Row],[Bonus %]]*TBL_Employees[[#This Row],[Annual Salary]]</f>
        <v>98427</v>
      </c>
      <c r="P997" t="str">
        <f>IF(AND(TBL_Employees[[#This Row],[Department]]="IT",TBL_Employees[[#This Row],[Gender]]="Female"),"Yes","No")</f>
        <v>No</v>
      </c>
      <c r="Q997" t="str">
        <f>IF(AND(TBL_Employees[[#This Row],[Gender]]="Female",TBL_Employees[[#This Row],[Ethnicity]]="Black"), "Female_Black", "Others")</f>
        <v>Others</v>
      </c>
    </row>
    <row r="998" spans="1:17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7">
        <v>40329</v>
      </c>
      <c r="J998" s="1">
        <v>47387</v>
      </c>
      <c r="K998" s="2">
        <v>0</v>
      </c>
      <c r="L998" t="s">
        <v>33</v>
      </c>
      <c r="M998" t="s">
        <v>34</v>
      </c>
      <c r="N998" s="7">
        <v>43108</v>
      </c>
      <c r="O998" s="1">
        <f>TBL_Employees[[#This Row],[Annual Salary]]+TBL_Employees[[#This Row],[Bonus %]]*TBL_Employees[[#This Row],[Annual Salary]]</f>
        <v>47387</v>
      </c>
      <c r="P998" t="str">
        <f>IF(AND(TBL_Employees[[#This Row],[Department]]="IT",TBL_Employees[[#This Row],[Gender]]="Female"),"Yes","No")</f>
        <v>No</v>
      </c>
      <c r="Q998" t="str">
        <f>IF(AND(TBL_Employees[[#This Row],[Gender]]="Female",TBL_Employees[[#This Row],[Ethnicity]]="Black"), "Female_Black", "Others")</f>
        <v>Others</v>
      </c>
    </row>
    <row r="999" spans="1:17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7">
        <v>43626</v>
      </c>
      <c r="J999" s="1">
        <v>176710</v>
      </c>
      <c r="K999" s="2">
        <v>0.15</v>
      </c>
      <c r="L999" t="s">
        <v>19</v>
      </c>
      <c r="M999" t="s">
        <v>45</v>
      </c>
      <c r="N999" s="7" t="s">
        <v>21</v>
      </c>
      <c r="O999" s="1">
        <f>TBL_Employees[[#This Row],[Annual Salary]]+TBL_Employees[[#This Row],[Bonus %]]*TBL_Employees[[#This Row],[Annual Salary]]</f>
        <v>203216.5</v>
      </c>
      <c r="P999" t="str">
        <f>IF(AND(TBL_Employees[[#This Row],[Department]]="IT",TBL_Employees[[#This Row],[Gender]]="Female"),"Yes","No")</f>
        <v>No</v>
      </c>
      <c r="Q999" t="str">
        <f>IF(AND(TBL_Employees[[#This Row],[Gender]]="Female",TBL_Employees[[#This Row],[Ethnicity]]="Black"), "Female_Black", "Others")</f>
        <v>Others</v>
      </c>
    </row>
    <row r="1000" spans="1:17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7">
        <v>40936</v>
      </c>
      <c r="J1000" s="1">
        <v>95960</v>
      </c>
      <c r="K1000" s="2">
        <v>0</v>
      </c>
      <c r="L1000" t="s">
        <v>33</v>
      </c>
      <c r="M1000" t="s">
        <v>34</v>
      </c>
      <c r="N1000" s="7" t="s">
        <v>21</v>
      </c>
      <c r="O1000" s="1">
        <f>TBL_Employees[[#This Row],[Annual Salary]]+TBL_Employees[[#This Row],[Bonus %]]*TBL_Employees[[#This Row],[Annual Salary]]</f>
        <v>95960</v>
      </c>
      <c r="P1000" t="str">
        <f>IF(AND(TBL_Employees[[#This Row],[Department]]="IT",TBL_Employees[[#This Row],[Gender]]="Female"),"Yes","No")</f>
        <v>No</v>
      </c>
      <c r="Q1000" t="str">
        <f>IF(AND(TBL_Employees[[#This Row],[Gender]]="Female",TBL_Employees[[#This Row],[Ethnicity]]="Black"), "Female_Black", "Others")</f>
        <v>Others</v>
      </c>
    </row>
    <row r="1001" spans="1:17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7">
        <v>44038</v>
      </c>
      <c r="J1001" s="1">
        <v>216195</v>
      </c>
      <c r="K1001" s="2">
        <v>0.31</v>
      </c>
      <c r="L1001" t="s">
        <v>19</v>
      </c>
      <c r="M1001" t="s">
        <v>45</v>
      </c>
      <c r="N1001" s="7" t="s">
        <v>21</v>
      </c>
      <c r="O1001" s="1">
        <f>TBL_Employees[[#This Row],[Annual Salary]]+TBL_Employees[[#This Row],[Bonus %]]*TBL_Employees[[#This Row],[Annual Salary]]</f>
        <v>283215.45</v>
      </c>
      <c r="P1001" t="str">
        <f>IF(AND(TBL_Employees[[#This Row],[Department]]="IT",TBL_Employees[[#This Row],[Gender]]="Female"),"Yes","No")</f>
        <v>No</v>
      </c>
      <c r="Q1001" t="str">
        <f>IF(AND(TBL_Employees[[#This Row],[Gender]]="Female",TBL_Employees[[#This Row],[Ethnicity]]="Black"), "Female_Black", "Others")</f>
        <v>Others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zoomScale="117" zoomScaleNormal="170" workbookViewId="0">
      <selection activeCell="A18" sqref="A18"/>
    </sheetView>
  </sheetViews>
  <sheetFormatPr defaultRowHeight="14.4"/>
  <cols>
    <col min="1" max="1" width="94" bestFit="1" customWidth="1"/>
    <col min="2" max="2" width="94" customWidth="1"/>
    <col min="3" max="3" width="43.44140625" bestFit="1" customWidth="1"/>
    <col min="5" max="5" width="22.44140625" bestFit="1" customWidth="1"/>
  </cols>
  <sheetData>
    <row r="1" spans="1:4">
      <c r="A1" s="9" t="s">
        <v>2026</v>
      </c>
      <c r="B1" s="9"/>
      <c r="C1" s="9" t="s">
        <v>2027</v>
      </c>
    </row>
    <row r="2" spans="1:4">
      <c r="A2" t="s">
        <v>1983</v>
      </c>
      <c r="C2">
        <f>COUNTIF(Data!C:C,"Manager")</f>
        <v>98</v>
      </c>
    </row>
    <row r="3" spans="1:4">
      <c r="A3" t="s">
        <v>1984</v>
      </c>
      <c r="C3">
        <f>COUNTIF(Data!C:C,"Sr. Manger")</f>
        <v>110</v>
      </c>
    </row>
    <row r="4" spans="1:4">
      <c r="A4" t="s">
        <v>1985</v>
      </c>
      <c r="C4">
        <f>SUM(Data!J:J)</f>
        <v>113217365</v>
      </c>
    </row>
    <row r="5" spans="1:4">
      <c r="A5" t="s">
        <v>1986</v>
      </c>
      <c r="C5" t="s">
        <v>2028</v>
      </c>
    </row>
    <row r="6" spans="1:4">
      <c r="A6" t="s">
        <v>1987</v>
      </c>
      <c r="C6">
        <f>MAX(Data!J:J)</f>
        <v>258498</v>
      </c>
      <c r="D6">
        <f>LARGE(Data!J:J,1)</f>
        <v>258498</v>
      </c>
    </row>
    <row r="7" spans="1:4">
      <c r="A7" t="s">
        <v>1988</v>
      </c>
      <c r="C7">
        <f>MIN(Data!J:J)</f>
        <v>40063</v>
      </c>
      <c r="D7">
        <f>SMALL(Data!J:J,1)</f>
        <v>40063</v>
      </c>
    </row>
    <row r="8" spans="1:4">
      <c r="A8" t="s">
        <v>1989</v>
      </c>
      <c r="C8">
        <f>LARGE(Data!J:J,2)</f>
        <v>258426</v>
      </c>
    </row>
    <row r="9" spans="1:4">
      <c r="A9" t="s">
        <v>1990</v>
      </c>
      <c r="C9">
        <f>LARGE(Data!J:J,3)</f>
        <v>258081</v>
      </c>
    </row>
    <row r="10" spans="1:4">
      <c r="A10" t="s">
        <v>1991</v>
      </c>
      <c r="C10">
        <f>LARGE(Data!J:J,10)</f>
        <v>254289</v>
      </c>
    </row>
    <row r="11" spans="1:4">
      <c r="A11" t="s">
        <v>1992</v>
      </c>
      <c r="C11">
        <f>SMALL(Data!J:J,2)</f>
        <v>40124</v>
      </c>
    </row>
    <row r="12" spans="1:4">
      <c r="A12" t="s">
        <v>1993</v>
      </c>
      <c r="C12">
        <f>SMALL(Data!J:J,3)</f>
        <v>40316</v>
      </c>
    </row>
    <row r="13" spans="1:4">
      <c r="A13" t="s">
        <v>1994</v>
      </c>
      <c r="C13">
        <f>SMALL(Data!J:J,13)</f>
        <v>41859</v>
      </c>
    </row>
    <row r="14" spans="1:4">
      <c r="A14" t="s">
        <v>1995</v>
      </c>
      <c r="C14">
        <f>COUNTIF(TBL_Employees[Job Title],"Director")</f>
        <v>121</v>
      </c>
    </row>
    <row r="15" spans="1:4">
      <c r="A15" t="s">
        <v>1996</v>
      </c>
      <c r="C15">
        <f>COUNTIF(TBL_Employees[Job Title],"Analyst")</f>
        <v>51</v>
      </c>
    </row>
    <row r="16" spans="1:4">
      <c r="A16" t="s">
        <v>1997</v>
      </c>
      <c r="C16">
        <f>COUNTIF(Data!C:C, "Sr. Analyst")</f>
        <v>70</v>
      </c>
    </row>
    <row r="17" spans="1:7">
      <c r="A17" t="s">
        <v>1998</v>
      </c>
      <c r="C17">
        <f>COUNT(Data!N:N)</f>
        <v>85</v>
      </c>
    </row>
    <row r="18" spans="1:7">
      <c r="A18" t="s">
        <v>1999</v>
      </c>
      <c r="C18">
        <f>COUNTIF(Data!D:D,"IT")</f>
        <v>241</v>
      </c>
    </row>
    <row r="19" spans="1:7">
      <c r="A19" t="s">
        <v>2000</v>
      </c>
      <c r="C19">
        <f>COUNTIFS(Data!G:G,"Asian",Data!L:L,"United States")</f>
        <v>186</v>
      </c>
    </row>
    <row r="20" spans="1:7">
      <c r="A20" t="s">
        <v>2001</v>
      </c>
      <c r="C20">
        <f>COUNTIFS(Data!F:F,"Female",Data!M:M,"Chicago")</f>
        <v>52</v>
      </c>
    </row>
    <row r="21" spans="1:7">
      <c r="A21" t="s">
        <v>2002</v>
      </c>
      <c r="C21">
        <f>COUNTIFS(Data!G:G,"Caucasian",Data!L:L,"United States")</f>
        <v>271</v>
      </c>
    </row>
    <row r="22" spans="1:7">
      <c r="A22" t="s">
        <v>2003</v>
      </c>
      <c r="C22">
        <f>COUNTIF(Data!J:J,"&gt;99999")</f>
        <v>460</v>
      </c>
    </row>
    <row r="23" spans="1:7">
      <c r="A23" t="s">
        <v>2004</v>
      </c>
      <c r="C23">
        <f>COUNTIF(Data!G:G,"Asian")+ COUNTIF(Data!L:L,"China") -COUNTIFS(Data!G:G,"Asian",Data!L:L,"China")</f>
        <v>404</v>
      </c>
    </row>
    <row r="24" spans="1:7">
      <c r="A24" t="s">
        <v>2005</v>
      </c>
      <c r="C24" cm="1">
        <f t="array" ref="C24">SUM(COUNTIF(Data!E:E,{"Research &amp; Development";"Corporate"}))</f>
        <v>466</v>
      </c>
    </row>
    <row r="25" spans="1:7">
      <c r="A25" t="s">
        <v>2006</v>
      </c>
      <c r="C25">
        <f>COUNTIFS(Data!D:D,"Engineering", Data!C:C,"Engineering Manager")</f>
        <v>20</v>
      </c>
    </row>
    <row r="26" spans="1:7">
      <c r="A26" t="s">
        <v>2007</v>
      </c>
      <c r="C26">
        <f>COUNTIFS(Data!G:G,"Asian",Data!F:F,"Female")</f>
        <v>207</v>
      </c>
      <c r="G26">
        <f>COUNT(Data!N:N)</f>
        <v>85</v>
      </c>
    </row>
    <row r="27" spans="1:7">
      <c r="A27" t="s">
        <v>2008</v>
      </c>
      <c r="C27">
        <f>COUNTIFS(Data!E:E,"Research &amp; Development",Data!D:D,"IT")</f>
        <v>55</v>
      </c>
    </row>
    <row r="28" spans="1:7">
      <c r="A28" t="s">
        <v>2009</v>
      </c>
      <c r="C28">
        <f>COUNTBLANK(Data!N1:N1001)</f>
        <v>915</v>
      </c>
    </row>
    <row r="29" spans="1:7">
      <c r="A29" t="s">
        <v>2010</v>
      </c>
      <c r="C29">
        <f>MAX(Data!H:H)</f>
        <v>65</v>
      </c>
    </row>
    <row r="30" spans="1:7">
      <c r="A30" t="s">
        <v>2011</v>
      </c>
      <c r="C30">
        <f>MIN(Data!H:H)</f>
        <v>25</v>
      </c>
    </row>
    <row r="31" spans="1:7">
      <c r="A31" t="s">
        <v>2012</v>
      </c>
      <c r="C31">
        <f>COUNTIF(Data!H:H,"&lt;30")</f>
        <v>121</v>
      </c>
    </row>
    <row r="32" spans="1:7">
      <c r="A32" t="s">
        <v>2013</v>
      </c>
      <c r="C32">
        <f>COUNTIF(Data!H:H,"&gt;50")</f>
        <v>333</v>
      </c>
    </row>
    <row r="33" spans="1:5">
      <c r="A33" t="s">
        <v>2014</v>
      </c>
      <c r="C33">
        <f>COUNTIFS(Data!C:C,"Engineering Manager",Data!D:D,"Engineering",Data!H:H,"&lt;35")</f>
        <v>3</v>
      </c>
    </row>
    <row r="34" spans="1:5">
      <c r="A34" t="s">
        <v>2015</v>
      </c>
      <c r="C34">
        <f>COUNTIFS(Data!C:C,"Director",Data!D:D,"Human resources",Data!F:F,"Male",Data!H:H,"&gt;50")</f>
        <v>1</v>
      </c>
    </row>
    <row r="35" spans="1:5">
      <c r="A35" t="s">
        <v>2016</v>
      </c>
      <c r="C35">
        <f>COUNTIFS(Data!G:G,"Asian",Data!F:F,"Female",Data!D:D,"Engineering",Data!H:H,"&lt;35")</f>
        <v>6</v>
      </c>
    </row>
    <row r="36" spans="1:5">
      <c r="A36" t="s">
        <v>2017</v>
      </c>
      <c r="C36" s="7">
        <f>MIN(Data!I:I)</f>
        <v>33612</v>
      </c>
      <c r="E36" s="7">
        <f>MIN(Data!I:I)</f>
        <v>33612</v>
      </c>
    </row>
    <row r="37" spans="1:5">
      <c r="A37" t="s">
        <v>2018</v>
      </c>
      <c r="C37" s="7">
        <f>MAX(Data!I:I)</f>
        <v>44556</v>
      </c>
    </row>
    <row r="38" spans="1:5">
      <c r="A38" t="s">
        <v>2019</v>
      </c>
      <c r="C38" s="7">
        <f>SMALL(Data!I:I,2)</f>
        <v>33682</v>
      </c>
    </row>
    <row r="39" spans="1:5">
      <c r="A39" t="s">
        <v>2020</v>
      </c>
      <c r="C39" s="7">
        <f>SMALL(Data!I:I,3)</f>
        <v>33695</v>
      </c>
    </row>
    <row r="40" spans="1:5">
      <c r="A40" t="s">
        <v>2021</v>
      </c>
      <c r="C40">
        <f>COUNTIF(TBL_Employees[Job Title],"IT Coordinator")</f>
        <v>11</v>
      </c>
    </row>
    <row r="41" spans="1:5">
      <c r="A41" t="s">
        <v>2022</v>
      </c>
      <c r="C41" t="s">
        <v>2031</v>
      </c>
    </row>
    <row r="42" spans="1:5">
      <c r="A42" t="s">
        <v>2023</v>
      </c>
      <c r="C42">
        <f>COUNTIFS(Data!G:G,"Black",Data!F:F,"Female")</f>
        <v>37</v>
      </c>
    </row>
    <row r="43" spans="1:5">
      <c r="A43" t="s">
        <v>2024</v>
      </c>
      <c r="C43">
        <f>COUNTIFS(Data!C:C,"Director",Data!F:F,"Female")</f>
        <v>66</v>
      </c>
    </row>
    <row r="44" spans="1:5">
      <c r="A44" t="s">
        <v>2025</v>
      </c>
      <c r="C44">
        <f>COUNTIFS(Data!C:C,"Manager",Data!F:F,"Female",Data!D:D,"Sales")</f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topLeftCell="A4" workbookViewId="0">
      <selection activeCell="L15" sqref="L15"/>
    </sheetView>
  </sheetViews>
  <sheetFormatPr defaultRowHeight="14.4"/>
  <cols>
    <col min="1" max="1" width="18.33203125" bestFit="1" customWidth="1"/>
    <col min="3" max="3" width="14.109375" bestFit="1" customWidth="1"/>
    <col min="4" max="4" width="12" customWidth="1"/>
    <col min="6" max="6" width="12.21875" bestFit="1" customWidth="1"/>
    <col min="12" max="12" width="86.5546875" bestFit="1" customWidth="1"/>
  </cols>
  <sheetData>
    <row r="1" spans="1:12">
      <c r="A1" s="21" t="s">
        <v>2033</v>
      </c>
      <c r="B1" s="21"/>
      <c r="C1" s="21"/>
    </row>
    <row r="2" spans="1:12">
      <c r="A2" s="11" t="s">
        <v>2034</v>
      </c>
      <c r="B2" s="11" t="s">
        <v>2042</v>
      </c>
      <c r="C2" s="11" t="s">
        <v>2053</v>
      </c>
      <c r="D2" s="12" t="s">
        <v>2057</v>
      </c>
    </row>
    <row r="3" spans="1:12">
      <c r="A3" s="10" t="s">
        <v>2035</v>
      </c>
      <c r="B3" s="10">
        <v>80</v>
      </c>
      <c r="C3" s="10">
        <v>200</v>
      </c>
      <c r="D3">
        <f>PRODUCT(B3,C3)</f>
        <v>16000</v>
      </c>
    </row>
    <row r="4" spans="1:12">
      <c r="A4" s="10" t="s">
        <v>2036</v>
      </c>
      <c r="B4" s="10">
        <v>100</v>
      </c>
      <c r="C4" s="10">
        <v>40</v>
      </c>
      <c r="D4">
        <f t="shared" ref="D4:D9" si="0">PRODUCT(B4,C4)</f>
        <v>4000</v>
      </c>
      <c r="F4" t="s">
        <v>2044</v>
      </c>
      <c r="G4">
        <f>B3+B4+B5+B6+B7+B8+B9</f>
        <v>381</v>
      </c>
      <c r="H4">
        <f>SUM(B3,B4,B5,B6,B7,B8,B9)</f>
        <v>381</v>
      </c>
      <c r="I4">
        <f>SUM(B3:B9)</f>
        <v>381</v>
      </c>
    </row>
    <row r="5" spans="1:12">
      <c r="A5" s="10" t="s">
        <v>2037</v>
      </c>
      <c r="B5" s="10">
        <v>40</v>
      </c>
      <c r="C5" s="10">
        <v>120</v>
      </c>
      <c r="D5">
        <f t="shared" si="0"/>
        <v>4800</v>
      </c>
      <c r="F5" t="s">
        <v>2045</v>
      </c>
      <c r="G5">
        <f>B6-B7</f>
        <v>2</v>
      </c>
      <c r="L5" t="s">
        <v>2051</v>
      </c>
    </row>
    <row r="6" spans="1:12">
      <c r="A6" s="10" t="s">
        <v>2038</v>
      </c>
      <c r="B6" s="10">
        <v>30</v>
      </c>
      <c r="C6" s="10">
        <v>400</v>
      </c>
      <c r="D6">
        <f t="shared" si="0"/>
        <v>12000</v>
      </c>
      <c r="F6" t="s">
        <v>2046</v>
      </c>
      <c r="G6">
        <f>B3*C3</f>
        <v>16000</v>
      </c>
      <c r="H6">
        <f>PRODUCT(B3,C3)</f>
        <v>16000</v>
      </c>
      <c r="I6">
        <f>PRODUCT(B3,C3)</f>
        <v>16000</v>
      </c>
      <c r="L6" t="s">
        <v>2052</v>
      </c>
    </row>
    <row r="7" spans="1:12">
      <c r="A7" s="10" t="s">
        <v>2039</v>
      </c>
      <c r="B7" s="10">
        <v>28</v>
      </c>
      <c r="C7" s="10">
        <v>380</v>
      </c>
      <c r="D7">
        <f t="shared" si="0"/>
        <v>10640</v>
      </c>
      <c r="F7" t="s">
        <v>2047</v>
      </c>
      <c r="G7">
        <f>I6/C3</f>
        <v>80</v>
      </c>
      <c r="L7" t="s">
        <v>2054</v>
      </c>
    </row>
    <row r="8" spans="1:12">
      <c r="A8" s="10" t="s">
        <v>2040</v>
      </c>
      <c r="B8" s="10">
        <v>58</v>
      </c>
      <c r="C8" s="10">
        <v>75</v>
      </c>
      <c r="D8">
        <f t="shared" si="0"/>
        <v>4350</v>
      </c>
      <c r="F8" t="s">
        <v>2048</v>
      </c>
    </row>
    <row r="9" spans="1:12">
      <c r="A9" s="10" t="s">
        <v>2041</v>
      </c>
      <c r="B9" s="10">
        <v>45</v>
      </c>
      <c r="C9" s="10">
        <v>280</v>
      </c>
      <c r="D9">
        <f t="shared" si="0"/>
        <v>12600</v>
      </c>
      <c r="F9" t="s">
        <v>2049</v>
      </c>
      <c r="G9">
        <f>POWER(2,3)</f>
        <v>8</v>
      </c>
      <c r="L9" t="s">
        <v>2055</v>
      </c>
    </row>
    <row r="10" spans="1:12">
      <c r="F10" t="s">
        <v>2050</v>
      </c>
      <c r="G10">
        <f>EXP(2)</f>
        <v>7.3890560989306504</v>
      </c>
    </row>
    <row r="11" spans="1:12">
      <c r="C11" t="s">
        <v>2058</v>
      </c>
      <c r="D11">
        <f>SUM(D3:D9)</f>
        <v>64390</v>
      </c>
      <c r="G11">
        <f>2.718*2.718</f>
        <v>7.387524</v>
      </c>
    </row>
    <row r="12" spans="1:12">
      <c r="D12">
        <f>SUMPRODUCT(B3:B9,C3:C9)</f>
        <v>64390</v>
      </c>
      <c r="L12" t="s">
        <v>2056</v>
      </c>
    </row>
    <row r="13" spans="1:12">
      <c r="A13" t="s">
        <v>2043</v>
      </c>
      <c r="I13">
        <f>SUM(1,2,3,4)</f>
        <v>10</v>
      </c>
    </row>
    <row r="14" spans="1:12">
      <c r="D14">
        <f>SUMPRODUCT(B3:B9,C3:C9)</f>
        <v>64390</v>
      </c>
    </row>
    <row r="16" spans="1:12">
      <c r="A16">
        <f>PRODUCT(B3,C3)</f>
        <v>16000</v>
      </c>
      <c r="C16">
        <f>SUMPRODUCT(B3,C3)</f>
        <v>16000</v>
      </c>
    </row>
    <row r="17" spans="2:10">
      <c r="J17">
        <f>POWER(8,2)</f>
        <v>64</v>
      </c>
    </row>
    <row r="20" spans="2:10">
      <c r="B20" t="s">
        <v>2063</v>
      </c>
      <c r="C20" t="s">
        <v>2059</v>
      </c>
      <c r="D20">
        <f>3^(-2)</f>
        <v>0.1111111111111111</v>
      </c>
      <c r="F20" t="s">
        <v>2048</v>
      </c>
      <c r="G20">
        <f>36/6*3+2^2-(3+5)</f>
        <v>14</v>
      </c>
    </row>
    <row r="21" spans="2:10">
      <c r="B21" t="s">
        <v>2060</v>
      </c>
      <c r="D21">
        <f>1/3^2</f>
        <v>0.1111111111111111</v>
      </c>
      <c r="G21">
        <f>SUM(PRODUCT(36/6,3),POWER(2,2)-SUM(3,5))</f>
        <v>14</v>
      </c>
    </row>
    <row r="22" spans="2:10">
      <c r="B22" t="s">
        <v>2061</v>
      </c>
      <c r="D22">
        <f>1/POWER(3,2)</f>
        <v>0.1111111111111111</v>
      </c>
      <c r="E22" t="s">
        <v>2194</v>
      </c>
    </row>
    <row r="23" spans="2:10">
      <c r="B23" t="s">
        <v>2062</v>
      </c>
      <c r="D23">
        <f>POWER(3,-2)</f>
        <v>0.1111111111111111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zoomScale="141" zoomScaleNormal="141" workbookViewId="0">
      <selection activeCell="A22" sqref="A22"/>
    </sheetView>
  </sheetViews>
  <sheetFormatPr defaultRowHeight="14.4"/>
  <cols>
    <col min="2" max="2" width="30.109375" bestFit="1" customWidth="1"/>
    <col min="3" max="3" width="12.77734375" bestFit="1" customWidth="1"/>
    <col min="4" max="4" width="14.44140625" bestFit="1" customWidth="1"/>
    <col min="5" max="5" width="12.5546875" bestFit="1" customWidth="1"/>
    <col min="6" max="6" width="10.5546875" bestFit="1" customWidth="1"/>
    <col min="7" max="7" width="18.44140625" customWidth="1"/>
  </cols>
  <sheetData>
    <row r="1" spans="1:7">
      <c r="A1" t="s">
        <v>2064</v>
      </c>
      <c r="B1" t="s">
        <v>2066</v>
      </c>
      <c r="C1" t="s">
        <v>2067</v>
      </c>
      <c r="D1" t="s">
        <v>2068</v>
      </c>
      <c r="E1" t="s">
        <v>2069</v>
      </c>
      <c r="F1" t="s">
        <v>2070</v>
      </c>
      <c r="G1" t="s">
        <v>2074</v>
      </c>
    </row>
    <row r="2" spans="1:7">
      <c r="A2" t="s">
        <v>2071</v>
      </c>
      <c r="B2">
        <v>35</v>
      </c>
      <c r="C2">
        <v>40</v>
      </c>
      <c r="D2">
        <v>55</v>
      </c>
      <c r="E2">
        <v>85</v>
      </c>
      <c r="F2">
        <v>400</v>
      </c>
      <c r="G2" s="13">
        <f>SUM(B2:E2)/F2</f>
        <v>0.53749999999999998</v>
      </c>
    </row>
    <row r="3" spans="1:7">
      <c r="A3" t="s">
        <v>2072</v>
      </c>
      <c r="B3">
        <v>56</v>
      </c>
      <c r="C3">
        <v>75</v>
      </c>
      <c r="D3">
        <v>34</v>
      </c>
      <c r="E3">
        <v>90</v>
      </c>
      <c r="F3">
        <v>400</v>
      </c>
      <c r="G3" s="13">
        <f>SUM(B3:E3)/F3</f>
        <v>0.63749999999999996</v>
      </c>
    </row>
    <row r="4" spans="1:7">
      <c r="A4" t="s">
        <v>2073</v>
      </c>
      <c r="B4">
        <v>89</v>
      </c>
      <c r="C4">
        <v>76</v>
      </c>
      <c r="D4">
        <v>45</v>
      </c>
      <c r="E4">
        <v>54</v>
      </c>
      <c r="F4">
        <v>400</v>
      </c>
      <c r="G4" s="13">
        <f>SUM(B4:E4)/F4</f>
        <v>0.66</v>
      </c>
    </row>
    <row r="5" spans="1:7">
      <c r="A5" t="s">
        <v>2075</v>
      </c>
      <c r="B5">
        <v>34</v>
      </c>
      <c r="C5">
        <v>89</v>
      </c>
      <c r="D5">
        <v>90</v>
      </c>
      <c r="E5">
        <v>76</v>
      </c>
      <c r="F5">
        <v>400</v>
      </c>
      <c r="G5" s="13">
        <f>SUM(B5:E5)/F5</f>
        <v>0.72250000000000003</v>
      </c>
    </row>
    <row r="8" spans="1:7">
      <c r="B8" t="s">
        <v>2080</v>
      </c>
      <c r="C8" t="s">
        <v>2081</v>
      </c>
    </row>
    <row r="10" spans="1:7">
      <c r="B10" t="s">
        <v>2076</v>
      </c>
    </row>
    <row r="11" spans="1:7">
      <c r="B11" t="s">
        <v>2077</v>
      </c>
    </row>
    <row r="12" spans="1:7">
      <c r="B12" t="s">
        <v>2074</v>
      </c>
    </row>
    <row r="13" spans="1:7">
      <c r="B13" t="s">
        <v>2078</v>
      </c>
    </row>
    <row r="14" spans="1:7">
      <c r="B14" t="s">
        <v>2079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selection activeCell="K17" sqref="K17"/>
    </sheetView>
  </sheetViews>
  <sheetFormatPr defaultRowHeight="14.4"/>
  <cols>
    <col min="1" max="1" width="12.21875" style="14" bestFit="1" customWidth="1"/>
    <col min="2" max="5" width="8.88671875" style="14"/>
    <col min="6" max="6" width="11.88671875" style="14" bestFit="1" customWidth="1"/>
    <col min="7" max="7" width="14.33203125" style="14" customWidth="1"/>
    <col min="8" max="8" width="15.6640625" style="14" customWidth="1"/>
    <col min="9" max="16384" width="8.88671875" style="14"/>
  </cols>
  <sheetData>
    <row r="1" spans="1:20">
      <c r="A1" s="14" t="s">
        <v>2082</v>
      </c>
      <c r="B1" s="14" t="s">
        <v>2065</v>
      </c>
    </row>
    <row r="2" spans="1:20">
      <c r="A2" s="14" t="s">
        <v>2083</v>
      </c>
      <c r="B2" s="14">
        <v>76</v>
      </c>
    </row>
    <row r="3" spans="1:20">
      <c r="A3" s="14" t="s">
        <v>2084</v>
      </c>
      <c r="B3" s="14">
        <v>45</v>
      </c>
    </row>
    <row r="4" spans="1:20">
      <c r="A4" s="14" t="s">
        <v>2085</v>
      </c>
      <c r="B4" s="14">
        <v>87</v>
      </c>
      <c r="T4" s="14" t="s">
        <v>2101</v>
      </c>
    </row>
    <row r="5" spans="1:20">
      <c r="A5" s="14" t="s">
        <v>2086</v>
      </c>
      <c r="B5" s="14">
        <v>95</v>
      </c>
      <c r="N5" s="14">
        <f>SMALL(B2:B13,2)</f>
        <v>36</v>
      </c>
      <c r="O5" s="14">
        <f>SMALL(B2:B13,12)</f>
        <v>95</v>
      </c>
    </row>
    <row r="6" spans="1:20">
      <c r="A6" s="14" t="s">
        <v>2087</v>
      </c>
      <c r="B6" s="14">
        <v>36</v>
      </c>
      <c r="F6" s="14" t="s">
        <v>2095</v>
      </c>
      <c r="G6" s="14" t="s">
        <v>2096</v>
      </c>
      <c r="H6" s="14" t="s">
        <v>2097</v>
      </c>
      <c r="I6" s="14" t="s">
        <v>2102</v>
      </c>
      <c r="N6" s="14">
        <f>LARGE(B2:B13,2)</f>
        <v>87</v>
      </c>
      <c r="O6" s="14">
        <f>LARGE(B2:B13,12)</f>
        <v>34</v>
      </c>
    </row>
    <row r="7" spans="1:20">
      <c r="A7" s="14" t="s">
        <v>2088</v>
      </c>
      <c r="B7" s="14">
        <v>78</v>
      </c>
      <c r="F7" s="16">
        <v>0</v>
      </c>
      <c r="G7" s="16" t="e">
        <f>_xlfn.PERCENTILE.EXC($B$2:$B$13,F7/100)</f>
        <v>#NUM!</v>
      </c>
      <c r="H7" s="16">
        <f>_xlfn.PERCENTILE.INC($B$2:$B$13,F7/100)</f>
        <v>34</v>
      </c>
      <c r="I7" s="14" t="e">
        <f>H7-G7</f>
        <v>#NUM!</v>
      </c>
    </row>
    <row r="8" spans="1:20">
      <c r="A8" s="14" t="s">
        <v>2089</v>
      </c>
      <c r="B8" s="14">
        <v>65</v>
      </c>
      <c r="F8" s="14">
        <v>5</v>
      </c>
      <c r="G8" s="14" t="e">
        <f>_xlfn.PERCENTILE.EXC($B$2:$B$13,F8/100)</f>
        <v>#NUM!</v>
      </c>
      <c r="H8" s="14">
        <f t="shared" ref="H8:H27" si="0">_xlfn.PERCENTILE.INC($B$2:$B$13,F8/100)</f>
        <v>35.1</v>
      </c>
      <c r="I8" s="14" t="e">
        <f t="shared" ref="I8:I27" si="1">H8-G8</f>
        <v>#NUM!</v>
      </c>
      <c r="K8" s="14" t="s">
        <v>2098</v>
      </c>
      <c r="L8" s="14">
        <f>MIN(B2:B13)</f>
        <v>34</v>
      </c>
      <c r="M8" s="14">
        <f>SMALL(B2:B13,1)</f>
        <v>34</v>
      </c>
    </row>
    <row r="9" spans="1:20">
      <c r="A9" s="14" t="s">
        <v>2090</v>
      </c>
      <c r="B9" s="14">
        <v>72</v>
      </c>
      <c r="F9" s="14">
        <v>10</v>
      </c>
      <c r="G9" s="14">
        <f t="shared" ref="G9:G27" si="2">_xlfn.PERCENTILE.EXC($B$2:$B$13,F9/100)</f>
        <v>34.6</v>
      </c>
      <c r="H9" s="14">
        <f t="shared" si="0"/>
        <v>36.299999999999997</v>
      </c>
      <c r="I9" s="14">
        <f t="shared" si="1"/>
        <v>1.6999999999999957</v>
      </c>
      <c r="K9" s="14" t="s">
        <v>2099</v>
      </c>
      <c r="L9" s="14">
        <f>MAX(B2:B13)</f>
        <v>95</v>
      </c>
      <c r="M9" s="14">
        <f>LARGE(B2:B13,1)</f>
        <v>95</v>
      </c>
    </row>
    <row r="10" spans="1:20">
      <c r="A10" s="14" t="s">
        <v>2091</v>
      </c>
      <c r="B10" s="14">
        <v>34</v>
      </c>
      <c r="F10" s="14">
        <v>15</v>
      </c>
      <c r="G10" s="14">
        <f t="shared" si="2"/>
        <v>35.9</v>
      </c>
      <c r="H10" s="14">
        <f t="shared" si="0"/>
        <v>37.950000000000003</v>
      </c>
      <c r="I10" s="14">
        <f t="shared" si="1"/>
        <v>2.0500000000000043</v>
      </c>
    </row>
    <row r="11" spans="1:20">
      <c r="A11" s="14" t="s">
        <v>2092</v>
      </c>
      <c r="B11" s="14">
        <v>84</v>
      </c>
      <c r="F11" s="14">
        <v>20</v>
      </c>
      <c r="G11" s="14">
        <f t="shared" si="2"/>
        <v>37.799999999999997</v>
      </c>
      <c r="H11" s="14">
        <f t="shared" si="0"/>
        <v>40.200000000000003</v>
      </c>
      <c r="I11" s="14">
        <f t="shared" si="1"/>
        <v>2.4000000000000057</v>
      </c>
    </row>
    <row r="12" spans="1:20">
      <c r="A12" s="14" t="s">
        <v>2093</v>
      </c>
      <c r="B12" s="14">
        <v>39</v>
      </c>
      <c r="F12" s="14">
        <v>25</v>
      </c>
      <c r="G12" s="14">
        <f t="shared" si="2"/>
        <v>40.5</v>
      </c>
      <c r="H12" s="14">
        <f t="shared" si="0"/>
        <v>43.5</v>
      </c>
      <c r="I12" s="14">
        <f t="shared" si="1"/>
        <v>3</v>
      </c>
      <c r="N12" s="14" t="s">
        <v>2100</v>
      </c>
    </row>
    <row r="13" spans="1:20">
      <c r="A13" s="14" t="s">
        <v>2094</v>
      </c>
      <c r="B13" s="14">
        <v>60</v>
      </c>
      <c r="F13" s="14">
        <v>30</v>
      </c>
      <c r="G13" s="14">
        <f t="shared" si="2"/>
        <v>44.4</v>
      </c>
      <c r="H13" s="14">
        <f t="shared" si="0"/>
        <v>49.5</v>
      </c>
      <c r="I13" s="14">
        <f t="shared" si="1"/>
        <v>5.1000000000000014</v>
      </c>
      <c r="N13" s="14">
        <v>70</v>
      </c>
      <c r="O13" s="14">
        <f t="shared" ref="O13:O18" si="3">_xlfn.PERCENTILE.INC($B$2:$B$13,N13/100)</f>
        <v>77.400000000000006</v>
      </c>
      <c r="Q13" s="14">
        <v>72.099999999999994</v>
      </c>
      <c r="R13" s="14">
        <f>_xlfn.PERCENTILE.INC($B$2:$B$13,Q13/100)</f>
        <v>77.861999999999995</v>
      </c>
    </row>
    <row r="14" spans="1:20">
      <c r="F14" s="14">
        <v>35</v>
      </c>
      <c r="G14" s="14">
        <f t="shared" si="2"/>
        <v>53.25</v>
      </c>
      <c r="H14" s="14">
        <f t="shared" si="0"/>
        <v>57.749999999999993</v>
      </c>
      <c r="I14" s="14">
        <f t="shared" si="1"/>
        <v>4.4999999999999929</v>
      </c>
      <c r="N14" s="14">
        <v>71</v>
      </c>
      <c r="O14" s="14">
        <f t="shared" si="3"/>
        <v>77.62</v>
      </c>
      <c r="Q14" s="14">
        <v>72.2</v>
      </c>
      <c r="R14" s="14">
        <f t="shared" ref="R14:R22" si="4">_xlfn.PERCENTILE.INC($B$2:$B$13,Q14/100)</f>
        <v>77.884</v>
      </c>
    </row>
    <row r="15" spans="1:20">
      <c r="F15" s="14">
        <v>40</v>
      </c>
      <c r="G15" s="14">
        <f t="shared" si="2"/>
        <v>61</v>
      </c>
      <c r="H15" s="14">
        <f t="shared" si="0"/>
        <v>62</v>
      </c>
      <c r="I15" s="14">
        <f t="shared" si="1"/>
        <v>1</v>
      </c>
      <c r="N15" s="14">
        <v>72</v>
      </c>
      <c r="O15" s="14">
        <f t="shared" si="3"/>
        <v>77.84</v>
      </c>
      <c r="Q15" s="14">
        <v>72.3</v>
      </c>
      <c r="R15" s="14">
        <f t="shared" si="4"/>
        <v>77.906000000000006</v>
      </c>
    </row>
    <row r="16" spans="1:20">
      <c r="F16" s="14">
        <v>45</v>
      </c>
      <c r="G16" s="14">
        <f t="shared" si="2"/>
        <v>64.25</v>
      </c>
      <c r="H16" s="14">
        <f t="shared" si="0"/>
        <v>64.75</v>
      </c>
      <c r="I16" s="14">
        <f t="shared" si="1"/>
        <v>0.5</v>
      </c>
      <c r="N16" s="14">
        <v>73</v>
      </c>
      <c r="O16" s="14">
        <f t="shared" si="3"/>
        <v>78.179999999999993</v>
      </c>
      <c r="Q16" s="14">
        <v>72.400000000000006</v>
      </c>
      <c r="R16" s="14">
        <f t="shared" si="4"/>
        <v>77.927999999999997</v>
      </c>
    </row>
    <row r="17" spans="6:18">
      <c r="F17" s="15">
        <v>50</v>
      </c>
      <c r="G17" s="15">
        <f t="shared" si="2"/>
        <v>68.5</v>
      </c>
      <c r="H17" s="15">
        <f t="shared" si="0"/>
        <v>68.5</v>
      </c>
      <c r="I17" s="14">
        <f t="shared" si="1"/>
        <v>0</v>
      </c>
      <c r="N17" s="14">
        <v>74</v>
      </c>
      <c r="O17" s="14">
        <f t="shared" si="3"/>
        <v>78.84</v>
      </c>
      <c r="Q17" s="14">
        <v>72.5</v>
      </c>
      <c r="R17" s="14">
        <f t="shared" si="4"/>
        <v>77.95</v>
      </c>
    </row>
    <row r="18" spans="6:18">
      <c r="F18" s="14">
        <v>55</v>
      </c>
      <c r="G18" s="14">
        <f t="shared" si="2"/>
        <v>72.599999999999994</v>
      </c>
      <c r="H18" s="14">
        <f t="shared" si="0"/>
        <v>72.2</v>
      </c>
      <c r="I18" s="14">
        <f t="shared" si="1"/>
        <v>-0.39999999999999147</v>
      </c>
      <c r="N18" s="14">
        <v>75</v>
      </c>
      <c r="O18" s="14">
        <f t="shared" si="3"/>
        <v>79.5</v>
      </c>
      <c r="Q18" s="14">
        <v>72.599999999999994</v>
      </c>
      <c r="R18" s="14">
        <f t="shared" si="4"/>
        <v>77.972000000000008</v>
      </c>
    </row>
    <row r="19" spans="6:18">
      <c r="F19" s="14">
        <v>60</v>
      </c>
      <c r="G19" s="14">
        <f t="shared" si="2"/>
        <v>75.2</v>
      </c>
      <c r="H19" s="14">
        <f t="shared" si="0"/>
        <v>74.400000000000006</v>
      </c>
      <c r="I19" s="14">
        <f t="shared" si="1"/>
        <v>-0.79999999999999716</v>
      </c>
      <c r="Q19" s="14">
        <v>72.7</v>
      </c>
      <c r="R19" s="14">
        <f t="shared" si="4"/>
        <v>77.994</v>
      </c>
    </row>
    <row r="20" spans="6:18">
      <c r="F20" s="14">
        <v>65</v>
      </c>
      <c r="G20" s="14">
        <f t="shared" si="2"/>
        <v>76.900000000000006</v>
      </c>
      <c r="H20" s="14">
        <f t="shared" si="0"/>
        <v>76.3</v>
      </c>
      <c r="I20" s="14">
        <f t="shared" si="1"/>
        <v>-0.60000000000000853</v>
      </c>
      <c r="Q20" s="14">
        <v>72.800000000000097</v>
      </c>
      <c r="R20" s="14">
        <f t="shared" si="4"/>
        <v>78.048000000000073</v>
      </c>
    </row>
    <row r="21" spans="6:18">
      <c r="F21" s="14">
        <v>70</v>
      </c>
      <c r="G21" s="14">
        <f t="shared" si="2"/>
        <v>78.599999999999994</v>
      </c>
      <c r="H21" s="14">
        <f t="shared" si="0"/>
        <v>77.400000000000006</v>
      </c>
      <c r="I21" s="14">
        <f t="shared" si="1"/>
        <v>-1.1999999999999886</v>
      </c>
      <c r="Q21" s="14">
        <v>72.900000000000105</v>
      </c>
      <c r="R21" s="14">
        <f t="shared" si="4"/>
        <v>78.114000000000075</v>
      </c>
    </row>
    <row r="22" spans="6:18">
      <c r="F22" s="14">
        <v>75</v>
      </c>
      <c r="G22" s="14">
        <f t="shared" si="2"/>
        <v>82.5</v>
      </c>
      <c r="H22" s="14">
        <f t="shared" si="0"/>
        <v>79.5</v>
      </c>
      <c r="I22" s="14">
        <f t="shared" si="1"/>
        <v>-3</v>
      </c>
      <c r="Q22" s="14">
        <v>73.000000000000099</v>
      </c>
      <c r="R22" s="14">
        <f t="shared" si="4"/>
        <v>78.180000000000064</v>
      </c>
    </row>
    <row r="23" spans="6:18">
      <c r="F23" s="14">
        <v>80</v>
      </c>
      <c r="G23" s="14">
        <f t="shared" si="2"/>
        <v>85.2</v>
      </c>
      <c r="H23" s="14">
        <f t="shared" si="0"/>
        <v>82.800000000000011</v>
      </c>
      <c r="I23" s="14">
        <f t="shared" si="1"/>
        <v>-2.3999999999999915</v>
      </c>
    </row>
    <row r="24" spans="6:18">
      <c r="F24" s="14">
        <v>85</v>
      </c>
      <c r="G24" s="14">
        <f t="shared" si="2"/>
        <v>87.399999999999991</v>
      </c>
      <c r="H24" s="14">
        <f t="shared" si="0"/>
        <v>85.05</v>
      </c>
      <c r="I24" s="14">
        <f t="shared" si="1"/>
        <v>-2.3499999999999943</v>
      </c>
    </row>
    <row r="25" spans="6:18">
      <c r="F25" s="14">
        <v>90</v>
      </c>
      <c r="G25" s="14">
        <f t="shared" si="2"/>
        <v>92.600000000000009</v>
      </c>
      <c r="H25" s="14">
        <f t="shared" si="0"/>
        <v>86.7</v>
      </c>
      <c r="I25" s="14">
        <f t="shared" si="1"/>
        <v>-5.9000000000000057</v>
      </c>
    </row>
    <row r="26" spans="6:18">
      <c r="F26" s="14">
        <v>95</v>
      </c>
      <c r="G26" s="14" t="e">
        <f t="shared" si="2"/>
        <v>#NUM!</v>
      </c>
      <c r="H26" s="14">
        <f t="shared" si="0"/>
        <v>90.6</v>
      </c>
      <c r="I26" s="14" t="e">
        <f t="shared" si="1"/>
        <v>#NUM!</v>
      </c>
    </row>
    <row r="27" spans="6:18">
      <c r="F27" s="16">
        <v>100</v>
      </c>
      <c r="G27" s="16" t="e">
        <f t="shared" si="2"/>
        <v>#NUM!</v>
      </c>
      <c r="H27" s="16">
        <f t="shared" si="0"/>
        <v>95</v>
      </c>
      <c r="I27" s="14" t="e">
        <f t="shared" si="1"/>
        <v>#NUM!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zoomScale="138" zoomScaleNormal="138" workbookViewId="0">
      <selection activeCell="K8" sqref="K8"/>
    </sheetView>
  </sheetViews>
  <sheetFormatPr defaultRowHeight="14.4"/>
  <cols>
    <col min="1" max="1" width="12.21875" style="14" bestFit="1" customWidth="1"/>
    <col min="2" max="4" width="8.88671875" style="14"/>
    <col min="5" max="5" width="12.44140625" style="14" bestFit="1" customWidth="1"/>
    <col min="6" max="6" width="8.88671875" style="14"/>
    <col min="7" max="7" width="9.88671875" style="14" bestFit="1" customWidth="1"/>
    <col min="8" max="8" width="12" style="14" bestFit="1" customWidth="1"/>
    <col min="9" max="9" width="10.21875" style="14" bestFit="1" customWidth="1"/>
    <col min="10" max="12" width="8.88671875" style="14"/>
    <col min="13" max="13" width="11.88671875" style="14" bestFit="1" customWidth="1"/>
    <col min="14" max="14" width="14.33203125" style="14" customWidth="1"/>
    <col min="15" max="15" width="15.6640625" style="14" customWidth="1"/>
    <col min="16" max="16384" width="8.88671875" style="14"/>
  </cols>
  <sheetData>
    <row r="1" spans="1:27">
      <c r="A1" s="14" t="s">
        <v>2082</v>
      </c>
      <c r="B1" s="14" t="s">
        <v>2065</v>
      </c>
      <c r="E1" s="14" t="s">
        <v>2113</v>
      </c>
      <c r="F1" s="14" t="s">
        <v>2108</v>
      </c>
      <c r="G1" s="14" t="s">
        <v>2109</v>
      </c>
      <c r="H1" s="14" t="s">
        <v>2110</v>
      </c>
      <c r="I1" s="14" t="s">
        <v>2111</v>
      </c>
    </row>
    <row r="2" spans="1:27">
      <c r="A2" s="14" t="s">
        <v>2083</v>
      </c>
      <c r="B2" s="14">
        <v>76</v>
      </c>
      <c r="D2" s="14" t="s">
        <v>2107</v>
      </c>
      <c r="E2" s="14">
        <f>MIN(B2:B13)</f>
        <v>34</v>
      </c>
      <c r="F2" s="14">
        <f>SMALL(B2:B13,1)</f>
        <v>34</v>
      </c>
      <c r="G2" s="14">
        <f>LARGE(B2:B13,12)</f>
        <v>34</v>
      </c>
      <c r="H2" s="14">
        <f>_xlfn.PERCENTILE.INC(B2:B13,0)</f>
        <v>34</v>
      </c>
      <c r="I2" s="14">
        <f>_xlfn.QUARTILE.INC(B2:B13,0)</f>
        <v>34</v>
      </c>
    </row>
    <row r="3" spans="1:27">
      <c r="A3" s="14" t="s">
        <v>2084</v>
      </c>
      <c r="B3" s="14">
        <v>45</v>
      </c>
      <c r="D3" s="14" t="s">
        <v>2112</v>
      </c>
    </row>
    <row r="4" spans="1:27">
      <c r="A4" s="14" t="s">
        <v>2085</v>
      </c>
      <c r="B4" s="14">
        <v>87</v>
      </c>
      <c r="AA4" s="14" t="s">
        <v>2101</v>
      </c>
    </row>
    <row r="5" spans="1:27">
      <c r="A5" s="14" t="s">
        <v>2086</v>
      </c>
      <c r="B5" s="14">
        <v>95</v>
      </c>
      <c r="U5" s="14">
        <f>SMALL(B2:B13,2)</f>
        <v>36</v>
      </c>
      <c r="V5" s="14">
        <f>SMALL(B2:B13,12)</f>
        <v>95</v>
      </c>
    </row>
    <row r="6" spans="1:27">
      <c r="A6" s="14" t="s">
        <v>2087</v>
      </c>
      <c r="B6" s="14">
        <v>36</v>
      </c>
      <c r="M6" s="14" t="s">
        <v>2095</v>
      </c>
      <c r="N6" s="14" t="s">
        <v>2096</v>
      </c>
      <c r="O6" s="14" t="s">
        <v>2097</v>
      </c>
      <c r="P6" s="14" t="s">
        <v>2102</v>
      </c>
      <c r="U6" s="14">
        <f>LARGE(B2:B13,2)</f>
        <v>87</v>
      </c>
      <c r="V6" s="14">
        <f>LARGE(B2:B13,12)</f>
        <v>34</v>
      </c>
    </row>
    <row r="7" spans="1:27">
      <c r="A7" s="14" t="s">
        <v>2088</v>
      </c>
      <c r="B7" s="14">
        <v>78</v>
      </c>
      <c r="M7" s="16">
        <v>0</v>
      </c>
      <c r="N7" s="16" t="e">
        <f>_xlfn.PERCENTILE.EXC($B$2:$B$13,M7/100)</f>
        <v>#NUM!</v>
      </c>
      <c r="O7" s="16">
        <f>_xlfn.PERCENTILE.INC($B$2:$B$13,M7/100)</f>
        <v>34</v>
      </c>
      <c r="P7" s="14" t="e">
        <f>O7-N7</f>
        <v>#NUM!</v>
      </c>
    </row>
    <row r="8" spans="1:27">
      <c r="A8" s="14" t="s">
        <v>2089</v>
      </c>
      <c r="B8" s="14">
        <v>65</v>
      </c>
      <c r="E8" s="14" t="s">
        <v>2114</v>
      </c>
      <c r="F8" s="14" t="s">
        <v>2103</v>
      </c>
      <c r="G8" s="14" t="s">
        <v>2104</v>
      </c>
      <c r="H8" s="14" t="s">
        <v>2105</v>
      </c>
      <c r="M8" s="14">
        <v>5</v>
      </c>
      <c r="N8" s="14" t="e">
        <f>_xlfn.PERCENTILE.EXC($B$2:$B$13,M8/100)</f>
        <v>#NUM!</v>
      </c>
      <c r="O8" s="14">
        <f t="shared" ref="O8:O27" si="0">_xlfn.PERCENTILE.INC($B$2:$B$13,M8/100)</f>
        <v>35.1</v>
      </c>
      <c r="P8" s="14" t="e">
        <f t="shared" ref="P8:P27" si="1">O8-N8</f>
        <v>#NUM!</v>
      </c>
      <c r="R8" s="14" t="s">
        <v>2098</v>
      </c>
      <c r="S8" s="14">
        <f>MIN(B2:B13)</f>
        <v>34</v>
      </c>
      <c r="T8" s="14">
        <f>SMALL(B2:B13,1)</f>
        <v>34</v>
      </c>
    </row>
    <row r="9" spans="1:27">
      <c r="A9" s="14" t="s">
        <v>2090</v>
      </c>
      <c r="B9" s="14">
        <v>72</v>
      </c>
      <c r="E9" s="14">
        <v>0</v>
      </c>
      <c r="F9" s="14">
        <v>0</v>
      </c>
      <c r="G9" s="14" t="e">
        <f>_xlfn.QUARTILE.EXC(B2:B13,0)</f>
        <v>#NUM!</v>
      </c>
      <c r="H9" s="14">
        <f>_xlfn.QUARTILE.INC($B$2:$B$13,F9)</f>
        <v>34</v>
      </c>
      <c r="M9" s="14">
        <v>10</v>
      </c>
      <c r="N9" s="14">
        <f t="shared" ref="N9:N27" si="2">_xlfn.PERCENTILE.EXC($B$2:$B$13,M9/100)</f>
        <v>34.6</v>
      </c>
      <c r="O9" s="14">
        <f t="shared" si="0"/>
        <v>36.299999999999997</v>
      </c>
      <c r="P9" s="14">
        <f t="shared" si="1"/>
        <v>1.6999999999999957</v>
      </c>
      <c r="R9" s="14" t="s">
        <v>2099</v>
      </c>
      <c r="S9" s="14">
        <f>MAX(B2:B13)</f>
        <v>95</v>
      </c>
      <c r="T9" s="14">
        <f>LARGE(B2:B13,1)</f>
        <v>95</v>
      </c>
    </row>
    <row r="10" spans="1:27">
      <c r="A10" s="14" t="s">
        <v>2091</v>
      </c>
      <c r="B10" s="14">
        <v>34</v>
      </c>
      <c r="E10" s="14">
        <v>25</v>
      </c>
      <c r="F10" s="14">
        <v>1</v>
      </c>
      <c r="G10" s="14">
        <f>_xlfn.QUARTILE.EXC(B2:B13,1)</f>
        <v>40.5</v>
      </c>
      <c r="H10" s="14">
        <f>_xlfn.QUARTILE.INC($B$2:$B$13,F10)</f>
        <v>43.5</v>
      </c>
      <c r="M10" s="14">
        <v>15</v>
      </c>
      <c r="N10" s="14">
        <f t="shared" si="2"/>
        <v>35.9</v>
      </c>
      <c r="O10" s="14">
        <f t="shared" si="0"/>
        <v>37.950000000000003</v>
      </c>
      <c r="P10" s="14">
        <f t="shared" si="1"/>
        <v>2.0500000000000043</v>
      </c>
    </row>
    <row r="11" spans="1:27">
      <c r="A11" s="14" t="s">
        <v>2092</v>
      </c>
      <c r="B11" s="14">
        <v>84</v>
      </c>
      <c r="E11" s="14">
        <v>50</v>
      </c>
      <c r="F11" s="14">
        <v>2</v>
      </c>
      <c r="G11" s="14">
        <f>_xlfn.QUARTILE.EXC(B2:B13,2)</f>
        <v>68.5</v>
      </c>
      <c r="H11" s="14">
        <f>_xlfn.QUARTILE.INC($B$2:$B$13,F11)</f>
        <v>68.5</v>
      </c>
      <c r="M11" s="14">
        <v>20</v>
      </c>
      <c r="N11" s="14">
        <f t="shared" si="2"/>
        <v>37.799999999999997</v>
      </c>
      <c r="O11" s="14">
        <f t="shared" si="0"/>
        <v>40.200000000000003</v>
      </c>
      <c r="P11" s="14">
        <f t="shared" si="1"/>
        <v>2.4000000000000057</v>
      </c>
    </row>
    <row r="12" spans="1:27">
      <c r="A12" s="14" t="s">
        <v>2093</v>
      </c>
      <c r="B12" s="14">
        <v>39</v>
      </c>
      <c r="E12" s="14">
        <v>75</v>
      </c>
      <c r="F12" s="14">
        <v>3</v>
      </c>
      <c r="G12" s="14">
        <f>_xlfn.QUARTILE.EXC(B2:B13,3)</f>
        <v>82.5</v>
      </c>
      <c r="H12" s="14">
        <f>_xlfn.QUARTILE.INC($B$2:$B$13,F12)</f>
        <v>79.5</v>
      </c>
      <c r="M12" s="14">
        <v>25</v>
      </c>
      <c r="N12" s="14">
        <f t="shared" si="2"/>
        <v>40.5</v>
      </c>
      <c r="O12" s="14">
        <f t="shared" si="0"/>
        <v>43.5</v>
      </c>
      <c r="P12" s="14">
        <f t="shared" si="1"/>
        <v>3</v>
      </c>
      <c r="U12" s="14" t="s">
        <v>2100</v>
      </c>
    </row>
    <row r="13" spans="1:27">
      <c r="A13" s="14" t="s">
        <v>2094</v>
      </c>
      <c r="B13" s="14">
        <v>60</v>
      </c>
      <c r="E13" s="14">
        <v>100</v>
      </c>
      <c r="F13" s="14">
        <v>4</v>
      </c>
      <c r="H13" s="14">
        <f>_xlfn.QUARTILE.INC($B$2:$B$13,F13)</f>
        <v>95</v>
      </c>
      <c r="M13" s="14">
        <v>30</v>
      </c>
      <c r="N13" s="14">
        <f t="shared" si="2"/>
        <v>44.4</v>
      </c>
      <c r="O13" s="14">
        <f t="shared" si="0"/>
        <v>49.5</v>
      </c>
      <c r="P13" s="14">
        <f t="shared" si="1"/>
        <v>5.1000000000000014</v>
      </c>
      <c r="U13" s="14">
        <v>70</v>
      </c>
      <c r="V13" s="14">
        <f t="shared" ref="V13:V18" si="3">_xlfn.PERCENTILE.INC($B$2:$B$13,U13/100)</f>
        <v>77.400000000000006</v>
      </c>
      <c r="X13" s="14">
        <v>72.099999999999994</v>
      </c>
      <c r="Y13" s="14">
        <f>_xlfn.PERCENTILE.INC($B$2:$B$13,X13/100)</f>
        <v>77.861999999999995</v>
      </c>
    </row>
    <row r="14" spans="1:27">
      <c r="M14" s="14">
        <v>35</v>
      </c>
      <c r="N14" s="14">
        <f t="shared" si="2"/>
        <v>53.25</v>
      </c>
      <c r="O14" s="14">
        <f t="shared" si="0"/>
        <v>57.749999999999993</v>
      </c>
      <c r="P14" s="14">
        <f t="shared" si="1"/>
        <v>4.4999999999999929</v>
      </c>
      <c r="U14" s="14">
        <v>71</v>
      </c>
      <c r="V14" s="14">
        <f t="shared" si="3"/>
        <v>77.62</v>
      </c>
      <c r="X14" s="14">
        <v>72.2</v>
      </c>
      <c r="Y14" s="14">
        <f t="shared" ref="Y14:Y22" si="4">_xlfn.PERCENTILE.INC($B$2:$B$13,X14/100)</f>
        <v>77.884</v>
      </c>
    </row>
    <row r="15" spans="1:27">
      <c r="M15" s="14">
        <v>40</v>
      </c>
      <c r="N15" s="14">
        <f t="shared" si="2"/>
        <v>61</v>
      </c>
      <c r="O15" s="14">
        <f t="shared" si="0"/>
        <v>62</v>
      </c>
      <c r="P15" s="14">
        <f t="shared" si="1"/>
        <v>1</v>
      </c>
      <c r="U15" s="14">
        <v>72</v>
      </c>
      <c r="V15" s="14">
        <f t="shared" si="3"/>
        <v>77.84</v>
      </c>
      <c r="X15" s="14">
        <v>72.3</v>
      </c>
      <c r="Y15" s="14">
        <f t="shared" si="4"/>
        <v>77.906000000000006</v>
      </c>
    </row>
    <row r="16" spans="1:27">
      <c r="M16" s="14">
        <v>45</v>
      </c>
      <c r="N16" s="14">
        <f t="shared" si="2"/>
        <v>64.25</v>
      </c>
      <c r="O16" s="14">
        <f t="shared" si="0"/>
        <v>64.75</v>
      </c>
      <c r="P16" s="14">
        <f t="shared" si="1"/>
        <v>0.5</v>
      </c>
      <c r="U16" s="14">
        <v>73</v>
      </c>
      <c r="V16" s="14">
        <f t="shared" si="3"/>
        <v>78.179999999999993</v>
      </c>
      <c r="X16" s="14">
        <v>72.400000000000006</v>
      </c>
      <c r="Y16" s="14">
        <f t="shared" si="4"/>
        <v>77.927999999999997</v>
      </c>
    </row>
    <row r="17" spans="6:25">
      <c r="F17" s="14" t="s">
        <v>2106</v>
      </c>
      <c r="G17" s="14">
        <f>_xlfn.QUARTILE.INC(B2:B13,3)-_xlfn.QUARTILE.INC(B2:B13,1)</f>
        <v>36</v>
      </c>
      <c r="H17" s="14">
        <f>H12-H10</f>
        <v>36</v>
      </c>
      <c r="M17" s="15">
        <v>50</v>
      </c>
      <c r="N17" s="15">
        <f t="shared" si="2"/>
        <v>68.5</v>
      </c>
      <c r="O17" s="15">
        <f t="shared" si="0"/>
        <v>68.5</v>
      </c>
      <c r="P17" s="14">
        <f t="shared" si="1"/>
        <v>0</v>
      </c>
      <c r="U17" s="14">
        <v>74</v>
      </c>
      <c r="V17" s="14">
        <f t="shared" si="3"/>
        <v>78.84</v>
      </c>
      <c r="X17" s="14">
        <v>72.5</v>
      </c>
      <c r="Y17" s="14">
        <f t="shared" si="4"/>
        <v>77.95</v>
      </c>
    </row>
    <row r="18" spans="6:25">
      <c r="G18" s="14">
        <f>G12-G10</f>
        <v>42</v>
      </c>
      <c r="M18" s="14">
        <v>55</v>
      </c>
      <c r="N18" s="14">
        <f t="shared" si="2"/>
        <v>72.599999999999994</v>
      </c>
      <c r="O18" s="14">
        <f t="shared" si="0"/>
        <v>72.2</v>
      </c>
      <c r="P18" s="14">
        <f t="shared" si="1"/>
        <v>-0.39999999999999147</v>
      </c>
      <c r="U18" s="14">
        <v>75</v>
      </c>
      <c r="V18" s="14">
        <f t="shared" si="3"/>
        <v>79.5</v>
      </c>
      <c r="X18" s="14">
        <v>72.599999999999994</v>
      </c>
      <c r="Y18" s="14">
        <f t="shared" si="4"/>
        <v>77.972000000000008</v>
      </c>
    </row>
    <row r="19" spans="6:25">
      <c r="M19" s="14">
        <v>60</v>
      </c>
      <c r="N19" s="14">
        <f t="shared" si="2"/>
        <v>75.2</v>
      </c>
      <c r="O19" s="14">
        <f t="shared" si="0"/>
        <v>74.400000000000006</v>
      </c>
      <c r="P19" s="14">
        <f t="shared" si="1"/>
        <v>-0.79999999999999716</v>
      </c>
      <c r="X19" s="14">
        <v>72.7</v>
      </c>
      <c r="Y19" s="14">
        <f t="shared" si="4"/>
        <v>77.994</v>
      </c>
    </row>
    <row r="20" spans="6:25">
      <c r="M20" s="14">
        <v>65</v>
      </c>
      <c r="N20" s="14">
        <f t="shared" si="2"/>
        <v>76.900000000000006</v>
      </c>
      <c r="O20" s="14">
        <f t="shared" si="0"/>
        <v>76.3</v>
      </c>
      <c r="P20" s="14">
        <f t="shared" si="1"/>
        <v>-0.60000000000000853</v>
      </c>
      <c r="X20" s="14">
        <v>72.800000000000097</v>
      </c>
      <c r="Y20" s="14">
        <f t="shared" si="4"/>
        <v>78.048000000000073</v>
      </c>
    </row>
    <row r="21" spans="6:25">
      <c r="M21" s="14">
        <v>70</v>
      </c>
      <c r="N21" s="14">
        <f t="shared" si="2"/>
        <v>78.599999999999994</v>
      </c>
      <c r="O21" s="14">
        <f t="shared" si="0"/>
        <v>77.400000000000006</v>
      </c>
      <c r="P21" s="14">
        <f t="shared" si="1"/>
        <v>-1.1999999999999886</v>
      </c>
      <c r="X21" s="14">
        <v>72.900000000000105</v>
      </c>
      <c r="Y21" s="14">
        <f t="shared" si="4"/>
        <v>78.114000000000075</v>
      </c>
    </row>
    <row r="22" spans="6:25">
      <c r="M22" s="14">
        <v>75</v>
      </c>
      <c r="N22" s="14">
        <f t="shared" si="2"/>
        <v>82.5</v>
      </c>
      <c r="O22" s="14">
        <f t="shared" si="0"/>
        <v>79.5</v>
      </c>
      <c r="P22" s="14">
        <f t="shared" si="1"/>
        <v>-3</v>
      </c>
      <c r="X22" s="14">
        <v>73.000000000000099</v>
      </c>
      <c r="Y22" s="14">
        <f t="shared" si="4"/>
        <v>78.180000000000064</v>
      </c>
    </row>
    <row r="23" spans="6:25">
      <c r="M23" s="14">
        <v>80</v>
      </c>
      <c r="N23" s="14">
        <f t="shared" si="2"/>
        <v>85.2</v>
      </c>
      <c r="O23" s="14">
        <f t="shared" si="0"/>
        <v>82.800000000000011</v>
      </c>
      <c r="P23" s="14">
        <f t="shared" si="1"/>
        <v>-2.3999999999999915</v>
      </c>
    </row>
    <row r="24" spans="6:25">
      <c r="M24" s="14">
        <v>85</v>
      </c>
      <c r="N24" s="14">
        <f t="shared" si="2"/>
        <v>87.399999999999991</v>
      </c>
      <c r="O24" s="14">
        <f t="shared" si="0"/>
        <v>85.05</v>
      </c>
      <c r="P24" s="14">
        <f t="shared" si="1"/>
        <v>-2.3499999999999943</v>
      </c>
    </row>
    <row r="25" spans="6:25">
      <c r="M25" s="14">
        <v>90</v>
      </c>
      <c r="N25" s="14">
        <f t="shared" si="2"/>
        <v>92.600000000000009</v>
      </c>
      <c r="O25" s="14">
        <f t="shared" si="0"/>
        <v>86.7</v>
      </c>
      <c r="P25" s="14">
        <f t="shared" si="1"/>
        <v>-5.9000000000000057</v>
      </c>
    </row>
    <row r="26" spans="6:25">
      <c r="M26" s="14">
        <v>95</v>
      </c>
      <c r="N26" s="14" t="e">
        <f t="shared" si="2"/>
        <v>#NUM!</v>
      </c>
      <c r="O26" s="14">
        <f t="shared" si="0"/>
        <v>90.6</v>
      </c>
      <c r="P26" s="14" t="e">
        <f t="shared" si="1"/>
        <v>#NUM!</v>
      </c>
    </row>
    <row r="27" spans="6:25">
      <c r="M27" s="16">
        <v>100</v>
      </c>
      <c r="N27" s="16" t="e">
        <f t="shared" si="2"/>
        <v>#NUM!</v>
      </c>
      <c r="O27" s="16">
        <f t="shared" si="0"/>
        <v>95</v>
      </c>
      <c r="P27" s="14" t="e">
        <f t="shared" si="1"/>
        <v>#NUM!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zoomScale="136" zoomScaleNormal="136" workbookViewId="0">
      <selection activeCell="I2" sqref="I2"/>
    </sheetView>
  </sheetViews>
  <sheetFormatPr defaultRowHeight="14.4"/>
  <cols>
    <col min="6" max="6" width="15.109375" customWidth="1"/>
    <col min="7" max="7" width="15.6640625" customWidth="1"/>
    <col min="8" max="8" width="13.33203125" customWidth="1"/>
    <col min="9" max="9" width="16.6640625" customWidth="1"/>
    <col min="10" max="10" width="9.88671875" bestFit="1" customWidth="1"/>
  </cols>
  <sheetData>
    <row r="1" spans="1:10" ht="57.6">
      <c r="A1" s="19" t="s">
        <v>2115</v>
      </c>
      <c r="B1" s="19" t="s">
        <v>2116</v>
      </c>
      <c r="C1" s="19" t="s">
        <v>2126</v>
      </c>
      <c r="D1" s="19" t="s">
        <v>2117</v>
      </c>
      <c r="E1" s="19" t="s">
        <v>2127</v>
      </c>
      <c r="F1" s="19" t="s">
        <v>2120</v>
      </c>
      <c r="G1" s="19" t="s">
        <v>2121</v>
      </c>
      <c r="H1" s="19" t="s">
        <v>2124</v>
      </c>
      <c r="I1" s="19" t="s">
        <v>2125</v>
      </c>
      <c r="J1" s="19" t="s">
        <v>2128</v>
      </c>
    </row>
    <row r="2" spans="1:10">
      <c r="A2" s="18" t="s">
        <v>2083</v>
      </c>
      <c r="B2" s="18">
        <v>56</v>
      </c>
      <c r="C2" s="18" t="str" cm="1">
        <f t="array" ref="C2">_xlfn.IFS(OR(B2&lt;30,B2=30),"F",AND(B2&gt;30,OR(B2&lt;40,B2=40)),"E",AND(B2&gt;40,OR(B2&lt;50,B2=50)),"D",AND(B2&gt;50,OR(B2&lt;60,B2=60)),"C",AND(B2&gt;60,OR(B2&lt;70,B2=70)),"B",AND(B2&gt;70,OR(B2&lt;80,B2=80)),"B+",AND(B2&gt;80,OR(B2&lt;90,B2=90)),"A",B2&gt;90,"A+")</f>
        <v>C</v>
      </c>
      <c r="D2" s="18">
        <v>45</v>
      </c>
      <c r="E2" s="18"/>
      <c r="F2" s="18" t="b">
        <f>OR(B2&gt;50,D2&gt;50,B2=50,D2=50)</f>
        <v>1</v>
      </c>
      <c r="G2" s="17" t="b">
        <f t="shared" ref="G2:G17" si="0">AND(B2&gt;50,D2&gt;50,B2=50,D2=50)</f>
        <v>0</v>
      </c>
      <c r="H2" s="17" t="str">
        <f>IF(OR(B2&gt;80,D2&gt;80,B2=80,D2=80),"Scholarship","No Scholarship")</f>
        <v>No Scholarship</v>
      </c>
      <c r="I2" s="17" t="str">
        <f t="shared" ref="I2:I7" si="1">IF(AND(B2&gt;85,D2&gt;85),"Scholarship","No Scholarship")</f>
        <v>No Scholarship</v>
      </c>
      <c r="J2" t="str" cm="1">
        <f t="array" ref="J2">_xlfn.IFS(B2&lt;50,"Average",AND(OR(B2&gt;50,B2=50),OR(B2&lt;80,B2=80)),"Distinction",B2&gt;80,"Excellent")</f>
        <v>Distinction</v>
      </c>
    </row>
    <row r="3" spans="1:10">
      <c r="A3" s="18" t="s">
        <v>2084</v>
      </c>
      <c r="B3" s="18">
        <v>45</v>
      </c>
      <c r="C3" s="18" t="str" cm="1">
        <f t="array" ref="C3">_xlfn.IFS(OR(B3&lt;30,B3=30),"F",AND(B3&gt;30,OR(B3&lt;40,B3=40)),"E",AND(B3&gt;40,OR(B3&lt;50,B3=50)),"D",AND(B3&gt;50,OR(B3&lt;60,B3=60)),"C",AND(B3&gt;60,OR(B3&lt;70,B3=70)),"B",AND(B3&gt;70,OR(B3&lt;80,B3=80)),"B+",AND(B3&gt;80,OR(B3&lt;90,B3=90)),"A",B3&gt;90,"A+")</f>
        <v>D</v>
      </c>
      <c r="D3" s="18">
        <v>64</v>
      </c>
      <c r="E3" s="18"/>
      <c r="F3" s="18" t="b">
        <f t="shared" ref="F3:F17" si="2">OR(B3&gt;50,D3&gt;50,B3=50,D3=50)</f>
        <v>1</v>
      </c>
      <c r="G3" s="17" t="b">
        <f t="shared" si="0"/>
        <v>0</v>
      </c>
      <c r="H3" s="17" t="str">
        <f t="shared" ref="H3:H17" si="3">IF(OR(B3&gt;80,D3&gt;80,B3=80,D3=80),"Scholarship","No Scholarship")</f>
        <v>No Scholarship</v>
      </c>
      <c r="I3" s="17" t="str">
        <f t="shared" si="1"/>
        <v>No Scholarship</v>
      </c>
      <c r="J3" t="str" cm="1">
        <f t="array" ref="J3">_xlfn.IFS(B3&lt;50,"Average",AND(OR(B3&gt;50,B3=50),OR(B3&lt;80,B3=80)),"Distinction",B3&gt;80,"Excellent")</f>
        <v>Average</v>
      </c>
    </row>
    <row r="4" spans="1:10">
      <c r="A4" s="18" t="s">
        <v>2085</v>
      </c>
      <c r="B4" s="18">
        <v>76</v>
      </c>
      <c r="C4" s="18" t="str" cm="1">
        <f t="array" ref="C4">_xlfn.IFS(OR(B4&lt;30,B4=30),"F",AND(B4&gt;30,OR(B4&lt;40,B4=40)),"E",AND(B4&gt;40,OR(B4&lt;50,B4=50)),"D",AND(B4&gt;50,OR(B4&lt;60,B4=60)),"C",AND(B4&gt;60,OR(B4&lt;70,B4=70)),"B",AND(B4&gt;70,OR(B4&lt;80,B4=80)),"B+",AND(B4&gt;80,OR(B4&lt;90,B4=90)),"A",B4&gt;90,"A+")</f>
        <v>B+</v>
      </c>
      <c r="D4" s="18">
        <v>40</v>
      </c>
      <c r="E4" s="18"/>
      <c r="F4" s="18" t="b">
        <f t="shared" si="2"/>
        <v>1</v>
      </c>
      <c r="G4" s="17" t="b">
        <f t="shared" si="0"/>
        <v>0</v>
      </c>
      <c r="H4" s="17" t="str">
        <f t="shared" si="3"/>
        <v>No Scholarship</v>
      </c>
      <c r="I4" s="17" t="str">
        <f t="shared" si="1"/>
        <v>No Scholarship</v>
      </c>
      <c r="J4" t="str" cm="1">
        <f t="array" ref="J4">_xlfn.IFS(B4&lt;50,"Average",AND(OR(B4&gt;50,B4=50),OR(B4&lt;80,B4=80)),"Distinction",B4&gt;80,"Excellent")</f>
        <v>Distinction</v>
      </c>
    </row>
    <row r="5" spans="1:10">
      <c r="A5" s="18" t="s">
        <v>2086</v>
      </c>
      <c r="B5" s="18">
        <v>78</v>
      </c>
      <c r="C5" s="18" t="str" cm="1">
        <f t="array" ref="C5">_xlfn.IFS(OR(B5&lt;30,B5=30),"F",AND(B5&gt;30,OR(B5&lt;40,B5=40)),"E",AND(B5&gt;40,OR(B5&lt;50,B5=50)),"D",AND(B5&gt;50,OR(B5&lt;60,B5=60)),"C",AND(B5&gt;60,OR(B5&lt;70,B5=70)),"B",AND(B5&gt;70,OR(B5&lt;80,B5=80)),"B+",AND(B5&gt;80,OR(B5&lt;90,B5=90)),"A",B5&gt;90,"A+")</f>
        <v>B+</v>
      </c>
      <c r="D5" s="18">
        <v>89</v>
      </c>
      <c r="E5" s="18"/>
      <c r="F5" s="18" t="b">
        <f t="shared" si="2"/>
        <v>1</v>
      </c>
      <c r="G5" s="17" t="b">
        <f t="shared" si="0"/>
        <v>0</v>
      </c>
      <c r="H5" s="17" t="str">
        <f t="shared" si="3"/>
        <v>Scholarship</v>
      </c>
      <c r="I5" s="17" t="str">
        <f t="shared" si="1"/>
        <v>No Scholarship</v>
      </c>
      <c r="J5" t="str" cm="1">
        <f t="array" ref="J5">_xlfn.IFS(B5&lt;50,"Average",AND(OR(B5&gt;50,B5=50),OR(B5&lt;80,B5=80)),"Distinction",B5&gt;80,"Excellent")</f>
        <v>Distinction</v>
      </c>
    </row>
    <row r="6" spans="1:10">
      <c r="A6" s="18" t="s">
        <v>2087</v>
      </c>
      <c r="B6" s="18">
        <v>48</v>
      </c>
      <c r="C6" s="18" t="str" cm="1">
        <f t="array" ref="C6">_xlfn.IFS(OR(B6&lt;30,B6=30),"F",AND(B6&gt;30,OR(B6&lt;40,B6=40)),"E",AND(B6&gt;40,OR(B6&lt;50,B6=50)),"D",AND(B6&gt;50,OR(B6&lt;60,B6=60)),"C",AND(B6&gt;60,OR(B6&lt;70,B6=70)),"B",AND(B6&gt;70,OR(B6&lt;80,B6=80)),"B+",AND(B6&gt;80,OR(B6&lt;90,B6=90)),"A",B6&gt;90,"A+")</f>
        <v>D</v>
      </c>
      <c r="D6" s="18">
        <v>60</v>
      </c>
      <c r="E6" s="18"/>
      <c r="F6" s="18" t="b">
        <f t="shared" si="2"/>
        <v>1</v>
      </c>
      <c r="G6" s="17" t="b">
        <f t="shared" si="0"/>
        <v>0</v>
      </c>
      <c r="H6" s="17" t="str">
        <f t="shared" si="3"/>
        <v>No Scholarship</v>
      </c>
      <c r="I6" s="17" t="str">
        <f t="shared" si="1"/>
        <v>No Scholarship</v>
      </c>
      <c r="J6" t="str" cm="1">
        <f t="array" ref="J6">_xlfn.IFS(B6&lt;50,"Average",AND(OR(B6&gt;50,B6=50),OR(B6&lt;80,B6=80)),"Distinction",B6&gt;80,"Excellent")</f>
        <v>Average</v>
      </c>
    </row>
    <row r="7" spans="1:10">
      <c r="A7" s="18" t="s">
        <v>2088</v>
      </c>
      <c r="B7" s="18">
        <v>97</v>
      </c>
      <c r="C7" s="18" t="str" cm="1">
        <f t="array" ref="C7">_xlfn.IFS(OR(B7&lt;30,B7=30),"F",AND(B7&gt;30,OR(B7&lt;40,B7=40)),"E",AND(B7&gt;40,OR(B7&lt;50,B7=50)),"D",AND(B7&gt;50,OR(B7&lt;60,B7=60)),"C",AND(B7&gt;60,OR(B7&lt;70,B7=70)),"B",AND(B7&gt;70,OR(B7&lt;80,B7=80)),"B+",AND(B7&gt;80,OR(B7&lt;90,B7=90)),"A",B7&gt;90,"A+")</f>
        <v>A+</v>
      </c>
      <c r="D7" s="18">
        <v>90</v>
      </c>
      <c r="E7" s="18"/>
      <c r="F7" s="18" t="b">
        <f t="shared" si="2"/>
        <v>1</v>
      </c>
      <c r="G7" s="17" t="b">
        <f t="shared" si="0"/>
        <v>0</v>
      </c>
      <c r="H7" s="17" t="str">
        <f t="shared" si="3"/>
        <v>Scholarship</v>
      </c>
      <c r="I7" s="17" t="str">
        <f t="shared" si="1"/>
        <v>Scholarship</v>
      </c>
      <c r="J7" t="str" cm="1">
        <f t="array" ref="J7">_xlfn.IFS(B7&lt;50,"Average",AND(OR(B7&gt;50,B7=50),OR(B7&lt;80,B7=80)),"Distinction",B7&gt;80,"Excellent")</f>
        <v>Excellent</v>
      </c>
    </row>
    <row r="8" spans="1:10">
      <c r="A8" s="18" t="s">
        <v>2089</v>
      </c>
      <c r="B8" s="18">
        <v>79</v>
      </c>
      <c r="C8" s="18" t="str" cm="1">
        <f t="array" ref="C8">_xlfn.IFS(OR(B8&lt;30,B8=30),"F",AND(B8&gt;30,OR(B8&lt;40,B8=40)),"E",AND(B8&gt;40,OR(B8&lt;50,B8=50)),"D",AND(B8&gt;50,OR(B8&lt;60,B8=60)),"C",AND(B8&gt;60,OR(B8&lt;70,B8=70)),"B",AND(B8&gt;70,OR(B8&lt;80,B8=80)),"B+",AND(B8&gt;80,OR(B8&lt;90,B8=90)),"A",B8&gt;90,"A+")</f>
        <v>B+</v>
      </c>
      <c r="D8" s="18">
        <v>87</v>
      </c>
      <c r="E8" s="18"/>
      <c r="F8" s="18" t="b">
        <f t="shared" si="2"/>
        <v>1</v>
      </c>
      <c r="G8" s="17" t="b">
        <f t="shared" si="0"/>
        <v>0</v>
      </c>
      <c r="H8" s="17" t="str">
        <f t="shared" si="3"/>
        <v>Scholarship</v>
      </c>
      <c r="I8" s="17" t="str">
        <f t="shared" ref="I8:I17" si="4">IF(AND(B8&gt;85,D8&gt;85),"Scholarship","No Scholarship")</f>
        <v>No Scholarship</v>
      </c>
      <c r="J8" t="str" cm="1">
        <f t="array" ref="J8">_xlfn.IFS(B8&lt;50,"Average",AND(OR(B8&gt;50,B8=50),OR(B8&lt;80,B8=80)),"Distinction",B8&gt;80,"Excellent")</f>
        <v>Distinction</v>
      </c>
    </row>
    <row r="9" spans="1:10">
      <c r="A9" s="18" t="s">
        <v>2090</v>
      </c>
      <c r="B9" s="18">
        <v>90</v>
      </c>
      <c r="C9" s="18" t="str" cm="1">
        <f t="array" ref="C9">_xlfn.IFS(OR(B9&lt;30,B9=30),"F",AND(B9&gt;30,OR(B9&lt;40,B9=40)),"E",AND(B9&gt;40,OR(B9&lt;50,B9=50)),"D",AND(B9&gt;50,OR(B9&lt;60,B9=60)),"C",AND(B9&gt;60,OR(B9&lt;70,B9=70)),"B",AND(B9&gt;70,OR(B9&lt;80,B9=80)),"B+",AND(B9&gt;80,OR(B9&lt;90,B9=90)),"A",B9&gt;90,"A+")</f>
        <v>A</v>
      </c>
      <c r="D9" s="18">
        <v>96</v>
      </c>
      <c r="E9" s="18"/>
      <c r="F9" s="18" t="b">
        <f t="shared" si="2"/>
        <v>1</v>
      </c>
      <c r="G9" s="17" t="b">
        <f t="shared" si="0"/>
        <v>0</v>
      </c>
      <c r="H9" s="17" t="str">
        <f t="shared" si="3"/>
        <v>Scholarship</v>
      </c>
      <c r="I9" s="17" t="str">
        <f t="shared" si="4"/>
        <v>Scholarship</v>
      </c>
      <c r="J9" t="str" cm="1">
        <f t="array" ref="J9">_xlfn.IFS(B9&lt;50,"Average",AND(OR(B9&gt;50,B9=50),OR(B9&lt;80,B9=80)),"Distinction",B9&gt;80,"Excellent")</f>
        <v>Excellent</v>
      </c>
    </row>
    <row r="10" spans="1:10">
      <c r="A10" s="18" t="s">
        <v>2091</v>
      </c>
      <c r="B10" s="18">
        <v>43</v>
      </c>
      <c r="C10" s="18" t="str" cm="1">
        <f t="array" ref="C10">_xlfn.IFS(OR(B10&lt;30,B10=30),"F",AND(B10&gt;30,OR(B10&lt;40,B10=40)),"E",AND(B10&gt;40,OR(B10&lt;50,B10=50)),"D",AND(B10&gt;50,OR(B10&lt;60,B10=60)),"C",AND(B10&gt;60,OR(B10&lt;70,B10=70)),"B",AND(B10&gt;70,OR(B10&lt;80,B10=80)),"B+",AND(B10&gt;80,OR(B10&lt;90,B10=90)),"A",B10&gt;90,"A+")</f>
        <v>D</v>
      </c>
      <c r="D10" s="18">
        <v>45</v>
      </c>
      <c r="E10" s="18"/>
      <c r="F10" s="18" t="b">
        <f t="shared" si="2"/>
        <v>0</v>
      </c>
      <c r="G10" s="17" t="b">
        <f t="shared" si="0"/>
        <v>0</v>
      </c>
      <c r="H10" s="17" t="str">
        <f t="shared" si="3"/>
        <v>No Scholarship</v>
      </c>
      <c r="I10" s="17" t="str">
        <f t="shared" si="4"/>
        <v>No Scholarship</v>
      </c>
      <c r="J10" t="str" cm="1">
        <f t="array" ref="J10">_xlfn.IFS(B10&lt;50,"Average",AND(OR(B10&gt;50,B10=50),OR(B10&lt;80,B10=80)),"Distinction",B10&gt;80,"Excellent")</f>
        <v>Average</v>
      </c>
    </row>
    <row r="11" spans="1:10">
      <c r="A11" s="18" t="s">
        <v>2092</v>
      </c>
      <c r="B11" s="18">
        <v>56</v>
      </c>
      <c r="C11" s="18" t="str" cm="1">
        <f t="array" ref="C11">_xlfn.IFS(OR(B11&lt;30,B11=30),"F",AND(B11&gt;30,OR(B11&lt;40,B11=40)),"E",AND(B11&gt;40,OR(B11&lt;50,B11=50)),"D",AND(B11&gt;50,OR(B11&lt;60,B11=60)),"C",AND(B11&gt;60,OR(B11&lt;70,B11=70)),"B",AND(B11&gt;70,OR(B11&lt;80,B11=80)),"B+",AND(B11&gt;80,OR(B11&lt;90,B11=90)),"A",B11&gt;90,"A+")</f>
        <v>C</v>
      </c>
      <c r="D11" s="18">
        <v>55</v>
      </c>
      <c r="E11" s="18"/>
      <c r="F11" s="18" t="b">
        <f t="shared" si="2"/>
        <v>1</v>
      </c>
      <c r="G11" s="17" t="b">
        <f t="shared" si="0"/>
        <v>0</v>
      </c>
      <c r="H11" s="17" t="str">
        <f t="shared" si="3"/>
        <v>No Scholarship</v>
      </c>
      <c r="I11" s="17" t="str">
        <f t="shared" si="4"/>
        <v>No Scholarship</v>
      </c>
      <c r="J11" t="str" cm="1">
        <f t="array" ref="J11">_xlfn.IFS(B11&lt;50,"Average",AND(OR(B11&gt;50,B11=50),OR(B11&lt;80,B11=80)),"Distinction",B11&gt;80,"Excellent")</f>
        <v>Distinction</v>
      </c>
    </row>
    <row r="12" spans="1:10">
      <c r="A12" s="18" t="s">
        <v>2093</v>
      </c>
      <c r="B12" s="18">
        <v>80</v>
      </c>
      <c r="C12" s="18" t="str" cm="1">
        <f t="array" ref="C12">_xlfn.IFS(OR(B12&lt;30,B12=30),"F",AND(B12&gt;30,OR(B12&lt;40,B12=40)),"E",AND(B12&gt;40,OR(B12&lt;50,B12=50)),"D",AND(B12&gt;50,OR(B12&lt;60,B12=60)),"C",AND(B12&gt;60,OR(B12&lt;70,B12=70)),"B",AND(B12&gt;70,OR(B12&lt;80,B12=80)),"B+",AND(B12&gt;80,OR(B12&lt;90,B12=90)),"A",B12&gt;90,"A+")</f>
        <v>B+</v>
      </c>
      <c r="D12" s="18">
        <v>54</v>
      </c>
      <c r="E12" s="18"/>
      <c r="F12" s="18" t="b">
        <f t="shared" si="2"/>
        <v>1</v>
      </c>
      <c r="G12" s="17" t="b">
        <f t="shared" si="0"/>
        <v>0</v>
      </c>
      <c r="H12" s="17" t="str">
        <f t="shared" si="3"/>
        <v>Scholarship</v>
      </c>
      <c r="I12" s="17" t="str">
        <f t="shared" si="4"/>
        <v>No Scholarship</v>
      </c>
      <c r="J12" t="str" cm="1">
        <f t="array" ref="J12">_xlfn.IFS(B12&lt;50,"Average",AND(OR(B12&gt;50,B12=50),OR(B12&lt;80,B12=80)),"Distinction",B12&gt;80,"Excellent")</f>
        <v>Distinction</v>
      </c>
    </row>
    <row r="13" spans="1:10">
      <c r="A13" s="18" t="s">
        <v>2094</v>
      </c>
      <c r="B13" s="18">
        <v>64</v>
      </c>
      <c r="C13" s="18" t="str" cm="1">
        <f t="array" ref="C13">_xlfn.IFS(OR(B13&lt;30,B13=30),"F",AND(B13&gt;30,OR(B13&lt;40,B13=40)),"E",AND(B13&gt;40,OR(B13&lt;50,B13=50)),"D",AND(B13&gt;50,OR(B13&lt;60,B13=60)),"C",AND(B13&gt;60,OR(B13&lt;70,B13=70)),"B",AND(B13&gt;70,OR(B13&lt;80,B13=80)),"B+",AND(B13&gt;80,OR(B13&lt;90,B13=90)),"A",B13&gt;90,"A+")</f>
        <v>B</v>
      </c>
      <c r="D13" s="18">
        <v>35</v>
      </c>
      <c r="E13" s="18"/>
      <c r="F13" s="18" t="b">
        <f t="shared" si="2"/>
        <v>1</v>
      </c>
      <c r="G13" s="17" t="b">
        <f t="shared" si="0"/>
        <v>0</v>
      </c>
      <c r="H13" s="17" t="str">
        <f t="shared" si="3"/>
        <v>No Scholarship</v>
      </c>
      <c r="I13" s="17" t="str">
        <f t="shared" si="4"/>
        <v>No Scholarship</v>
      </c>
      <c r="J13" t="str" cm="1">
        <f t="array" ref="J13">_xlfn.IFS(B13&lt;50,"Average",AND(OR(B13&gt;50,B13=50),OR(B13&lt;80,B13=80)),"Distinction",B13&gt;80,"Excellent")</f>
        <v>Distinction</v>
      </c>
    </row>
    <row r="14" spans="1:10">
      <c r="A14" s="18" t="s">
        <v>2118</v>
      </c>
      <c r="B14" s="18">
        <v>37</v>
      </c>
      <c r="C14" s="18" t="str" cm="1">
        <f t="array" ref="C14">_xlfn.IFS(OR(B14&lt;30,B14=30),"F",AND(B14&gt;30,OR(B14&lt;40,B14=40)),"E",AND(B14&gt;40,OR(B14&lt;50,B14=50)),"D",AND(B14&gt;50,OR(B14&lt;60,B14=60)),"C",AND(B14&gt;60,OR(B14&lt;70,B14=70)),"B",AND(B14&gt;70,OR(B14&lt;80,B14=80)),"B+",AND(B14&gt;80,OR(B14&lt;90,B14=90)),"A",B14&gt;90,"A+")</f>
        <v>E</v>
      </c>
      <c r="D14" s="18">
        <v>29</v>
      </c>
      <c r="E14" s="18"/>
      <c r="F14" s="18" t="b">
        <f t="shared" si="2"/>
        <v>0</v>
      </c>
      <c r="G14" s="17" t="b">
        <f t="shared" si="0"/>
        <v>0</v>
      </c>
      <c r="H14" s="17" t="str">
        <f t="shared" si="3"/>
        <v>No Scholarship</v>
      </c>
      <c r="I14" s="17" t="str">
        <f t="shared" si="4"/>
        <v>No Scholarship</v>
      </c>
      <c r="J14" t="str" cm="1">
        <f t="array" ref="J14">_xlfn.IFS(B14&lt;50,"Average",AND(OR(B14&gt;50,B14=50),OR(B14&lt;80,B14=80)),"Distinction",B14&gt;80,"Excellent")</f>
        <v>Average</v>
      </c>
    </row>
    <row r="15" spans="1:10">
      <c r="A15" s="18" t="s">
        <v>2119</v>
      </c>
      <c r="B15" s="18">
        <v>98</v>
      </c>
      <c r="C15" s="18" t="str" cm="1">
        <f t="array" ref="C15">_xlfn.IFS(OR(B15&lt;30,B15=30),"F",AND(B15&gt;30,OR(B15&lt;40,B15=40)),"E",AND(B15&gt;40,OR(B15&lt;50,B15=50)),"D",AND(B15&gt;50,OR(B15&lt;60,B15=60)),"C",AND(B15&gt;60,OR(B15&lt;70,B15=70)),"B",AND(B15&gt;70,OR(B15&lt;80,B15=80)),"B+",AND(B15&gt;80,OR(B15&lt;90,B15=90)),"A",B15&gt;90,"A+")</f>
        <v>A+</v>
      </c>
      <c r="D15" s="18">
        <v>90</v>
      </c>
      <c r="E15" s="18"/>
      <c r="F15" s="18" t="b">
        <f t="shared" si="2"/>
        <v>1</v>
      </c>
      <c r="G15" s="17" t="b">
        <f t="shared" si="0"/>
        <v>0</v>
      </c>
      <c r="H15" s="17" t="str">
        <f t="shared" si="3"/>
        <v>Scholarship</v>
      </c>
      <c r="I15" s="17" t="str">
        <f t="shared" si="4"/>
        <v>Scholarship</v>
      </c>
      <c r="J15" t="str" cm="1">
        <f t="array" ref="J15">_xlfn.IFS(B15&lt;50,"Average",AND(OR(B15&gt;50,B15=50),OR(B15&lt;80,B15=80)),"Distinction",B15&gt;80,"Excellent")</f>
        <v>Excellent</v>
      </c>
    </row>
    <row r="16" spans="1:10">
      <c r="A16" s="18" t="s">
        <v>2122</v>
      </c>
      <c r="B16" s="18">
        <v>50</v>
      </c>
      <c r="C16" s="18" t="str" cm="1">
        <f t="array" ref="C16">_xlfn.IFS(OR(B16&lt;30,B16=30),"F",AND(B16&gt;30,OR(B16&lt;40,B16=40)),"E",AND(B16&gt;40,OR(B16&lt;50,B16=50)),"D",AND(B16&gt;50,OR(B16&lt;60,B16=60)),"C",AND(B16&gt;60,OR(B16&lt;70,B16=70)),"B",AND(B16&gt;70,OR(B16&lt;80,B16=80)),"B+",AND(B16&gt;80,OR(B16&lt;90,B16=90)),"A",B16&gt;90,"A+")</f>
        <v>D</v>
      </c>
      <c r="D16" s="18">
        <v>89</v>
      </c>
      <c r="E16" s="18"/>
      <c r="F16" s="18" t="b">
        <f t="shared" si="2"/>
        <v>1</v>
      </c>
      <c r="G16" s="17" t="b">
        <f t="shared" si="0"/>
        <v>0</v>
      </c>
      <c r="H16" s="17" t="str">
        <f t="shared" si="3"/>
        <v>Scholarship</v>
      </c>
      <c r="I16" s="17" t="str">
        <f t="shared" si="4"/>
        <v>No Scholarship</v>
      </c>
      <c r="J16" t="str" cm="1">
        <f t="array" ref="J16">_xlfn.IFS(B16&lt;50,"Average",AND(OR(B16&gt;50,B16=50),OR(B16&lt;80,B16=80)),"Distinction",B16&gt;80,"Excellent")</f>
        <v>Distinction</v>
      </c>
    </row>
    <row r="17" spans="1:10">
      <c r="A17" s="18" t="s">
        <v>2123</v>
      </c>
      <c r="B17" s="18">
        <v>50</v>
      </c>
      <c r="C17" s="18" t="str" cm="1">
        <f t="array" ref="C17">_xlfn.IFS(OR(B17&lt;30,B17=30),"F",AND(B17&gt;30,OR(B17&lt;40,B17=40)),"E",AND(B17&gt;40,OR(B17&lt;50,B17=50)),"D",AND(B17&gt;50,OR(B17&lt;60,B17=60)),"C",AND(B17&gt;60,OR(B17&lt;70,B17=70)),"B",AND(B17&gt;70,OR(B17&lt;80,B17=80)),"B+",AND(B17&gt;80,OR(B17&lt;90,B17=90)),"A",B17&gt;90,"A+")</f>
        <v>D</v>
      </c>
      <c r="D17" s="18">
        <v>50</v>
      </c>
      <c r="E17" s="18"/>
      <c r="F17" s="18" t="b">
        <f t="shared" si="2"/>
        <v>1</v>
      </c>
      <c r="G17" s="17" t="b">
        <f t="shared" si="0"/>
        <v>0</v>
      </c>
      <c r="H17" s="17" t="str">
        <f t="shared" si="3"/>
        <v>No Scholarship</v>
      </c>
      <c r="I17" s="17" t="str">
        <f t="shared" si="4"/>
        <v>No Scholarship</v>
      </c>
      <c r="J17" t="str" cm="1">
        <f t="array" ref="J17">_xlfn.IFS(B17&lt;50,"Average",AND(OR(B17&gt;50,B17=50),OR(B17&lt;80,B17=80)),"Distinction",B17&gt;80,"Excellent")</f>
        <v>Distinction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3"/>
  <sheetViews>
    <sheetView zoomScale="126" zoomScaleNormal="126" workbookViewId="0">
      <selection activeCell="D3" sqref="D3"/>
    </sheetView>
  </sheetViews>
  <sheetFormatPr defaultRowHeight="14.4"/>
  <cols>
    <col min="1" max="1" width="8.88671875" style="14"/>
    <col min="2" max="2" width="9.88671875" style="14" bestFit="1" customWidth="1"/>
    <col min="3" max="3" width="8.88671875" style="14"/>
    <col min="4" max="4" width="9.5546875" style="14" bestFit="1" customWidth="1"/>
    <col min="5" max="6" width="10.88671875" style="14" customWidth="1"/>
    <col min="7" max="7" width="12.5546875" style="14" bestFit="1" customWidth="1"/>
    <col min="8" max="16384" width="8.88671875" style="14"/>
  </cols>
  <sheetData>
    <row r="1" spans="1:14">
      <c r="A1" s="15" t="s">
        <v>2129</v>
      </c>
      <c r="B1" s="15" t="s">
        <v>2130</v>
      </c>
      <c r="C1" s="15" t="s">
        <v>2131</v>
      </c>
      <c r="D1" s="15" t="s">
        <v>2148</v>
      </c>
      <c r="E1" s="14" t="s">
        <v>2152</v>
      </c>
    </row>
    <row r="2" spans="1:14">
      <c r="A2" s="14" t="s">
        <v>2132</v>
      </c>
      <c r="B2" s="14" t="s">
        <v>2133</v>
      </c>
      <c r="C2" s="14">
        <v>100</v>
      </c>
      <c r="D2" s="14" t="str">
        <f>IF(B2="Apples", "Apple", "Other fruit")</f>
        <v>Apple</v>
      </c>
      <c r="E2" s="14" t="str">
        <f>IF(B2="Banana", "Banana", "Other fruit")</f>
        <v>Other fruit</v>
      </c>
    </row>
    <row r="3" spans="1:14">
      <c r="A3" s="14" t="s">
        <v>2134</v>
      </c>
      <c r="B3" s="14" t="s">
        <v>2038</v>
      </c>
      <c r="C3" s="14">
        <v>400</v>
      </c>
      <c r="D3" s="14" t="str">
        <f t="shared" ref="D3:D23" si="0">IF(B3="Apples", "Apple", "Other fruit")</f>
        <v>Other fruit</v>
      </c>
      <c r="E3" s="14" t="str">
        <f t="shared" ref="E3:E23" si="1">IF(B3="Banana", "Banana", "Other fruit")</f>
        <v>Other fruit</v>
      </c>
    </row>
    <row r="4" spans="1:14">
      <c r="A4" s="14" t="s">
        <v>2135</v>
      </c>
      <c r="B4" s="14" t="s">
        <v>2036</v>
      </c>
      <c r="C4" s="14">
        <v>30</v>
      </c>
      <c r="D4" s="14" t="str">
        <f t="shared" si="0"/>
        <v>Other fruit</v>
      </c>
      <c r="E4" s="14" t="str">
        <f t="shared" si="1"/>
        <v>Banana</v>
      </c>
    </row>
    <row r="5" spans="1:14">
      <c r="A5" s="14" t="s">
        <v>2136</v>
      </c>
      <c r="B5" s="14" t="s">
        <v>2133</v>
      </c>
      <c r="C5" s="14">
        <v>120</v>
      </c>
      <c r="D5" s="14" t="str">
        <f t="shared" si="0"/>
        <v>Apple</v>
      </c>
      <c r="E5" s="14" t="str">
        <f t="shared" si="1"/>
        <v>Other fruit</v>
      </c>
      <c r="G5" s="14" t="s">
        <v>2146</v>
      </c>
      <c r="H5" s="14">
        <f>COUNT(C2:C9)</f>
        <v>7</v>
      </c>
      <c r="I5" s="14">
        <f>COUNT(B2:B9)</f>
        <v>0</v>
      </c>
      <c r="L5" s="14" t="s">
        <v>2153</v>
      </c>
      <c r="M5" s="14" t="str" cm="1">
        <f t="array" ref="M5:M20">_xlfn.UNIQUE(B2:B23)</f>
        <v>Apples</v>
      </c>
      <c r="N5" s="14">
        <f>COUNTIF(B2:B23,M5)</f>
        <v>5</v>
      </c>
    </row>
    <row r="6" spans="1:14">
      <c r="A6" s="14" t="s">
        <v>2137</v>
      </c>
      <c r="B6" s="14" t="s">
        <v>2036</v>
      </c>
      <c r="D6" s="14" t="str">
        <f t="shared" si="0"/>
        <v>Other fruit</v>
      </c>
      <c r="E6" s="14" t="str">
        <f t="shared" si="1"/>
        <v>Banana</v>
      </c>
      <c r="H6" s="14">
        <f>COUNTA(C2:C9)</f>
        <v>7</v>
      </c>
      <c r="I6" s="14">
        <f>COUNTA(B2:B9)</f>
        <v>8</v>
      </c>
      <c r="J6" s="14">
        <f>COUNTA(A2:A9)</f>
        <v>8</v>
      </c>
      <c r="M6" s="14" t="str">
        <v>Blackberry</v>
      </c>
      <c r="N6" s="14">
        <f t="shared" ref="N6:N21" si="2">COUNTIF(B3:B24,M6)</f>
        <v>1</v>
      </c>
    </row>
    <row r="7" spans="1:14">
      <c r="A7" s="14" t="s">
        <v>2138</v>
      </c>
      <c r="B7" s="14" t="s">
        <v>2040</v>
      </c>
      <c r="C7" s="14">
        <v>60</v>
      </c>
      <c r="D7" s="14" t="str">
        <f t="shared" si="0"/>
        <v>Other fruit</v>
      </c>
      <c r="E7" s="14" t="str">
        <f t="shared" si="1"/>
        <v>Other fruit</v>
      </c>
      <c r="M7" s="14" t="str">
        <v>Banana</v>
      </c>
      <c r="N7" s="14">
        <f t="shared" si="2"/>
        <v>3</v>
      </c>
    </row>
    <row r="8" spans="1:14">
      <c r="A8" s="14" t="s">
        <v>2139</v>
      </c>
      <c r="B8" s="14" t="s">
        <v>2145</v>
      </c>
      <c r="C8" s="14">
        <v>300</v>
      </c>
      <c r="D8" s="14" t="str">
        <f t="shared" si="0"/>
        <v>Other fruit</v>
      </c>
      <c r="E8" s="14" t="str">
        <f t="shared" si="1"/>
        <v>Other fruit</v>
      </c>
      <c r="M8" s="14" t="str">
        <v>Papaya</v>
      </c>
      <c r="N8" s="14">
        <f t="shared" si="2"/>
        <v>1</v>
      </c>
    </row>
    <row r="9" spans="1:14">
      <c r="A9" s="14" t="s">
        <v>2140</v>
      </c>
      <c r="B9" s="14" t="s">
        <v>2041</v>
      </c>
      <c r="C9" s="14">
        <v>100</v>
      </c>
      <c r="D9" s="14" t="str">
        <f t="shared" si="0"/>
        <v>Other fruit</v>
      </c>
      <c r="E9" s="14" t="str">
        <f t="shared" si="1"/>
        <v>Other fruit</v>
      </c>
      <c r="G9" s="14" t="s">
        <v>2147</v>
      </c>
      <c r="H9" s="14">
        <f>COUNTBLANK(B2:B9)</f>
        <v>0</v>
      </c>
      <c r="I9" s="14">
        <f>COUNTBLANK(B2:B9)</f>
        <v>0</v>
      </c>
      <c r="J9" s="14">
        <f>COUNTBLANK(A2:A9)</f>
        <v>0</v>
      </c>
      <c r="M9" s="14" t="str">
        <v>Blueberry</v>
      </c>
      <c r="N9" s="14">
        <f t="shared" si="2"/>
        <v>1</v>
      </c>
    </row>
    <row r="10" spans="1:14">
      <c r="A10" s="14" t="s">
        <v>2141</v>
      </c>
      <c r="B10" s="14" t="s">
        <v>2037</v>
      </c>
      <c r="C10" s="14">
        <v>50</v>
      </c>
      <c r="D10" s="14" t="str">
        <f t="shared" si="0"/>
        <v>Other fruit</v>
      </c>
      <c r="E10" s="14" t="str">
        <f t="shared" si="1"/>
        <v>Other fruit</v>
      </c>
      <c r="M10" s="14" t="str">
        <v>Strawberry</v>
      </c>
      <c r="N10" s="14">
        <f t="shared" si="2"/>
        <v>1</v>
      </c>
    </row>
    <row r="11" spans="1:14">
      <c r="A11" s="14" t="s">
        <v>2142</v>
      </c>
      <c r="B11" s="14" t="s">
        <v>2133</v>
      </c>
      <c r="C11" s="14">
        <v>130</v>
      </c>
      <c r="D11" s="14" t="str">
        <f t="shared" si="0"/>
        <v>Apple</v>
      </c>
      <c r="E11" s="14" t="str">
        <f t="shared" si="1"/>
        <v>Other fruit</v>
      </c>
      <c r="G11" s="14" t="s">
        <v>2133</v>
      </c>
      <c r="H11" s="14">
        <f>COUNTIF(B2:B23,"Apples")</f>
        <v>5</v>
      </c>
      <c r="M11" s="14" t="str">
        <v>Pineapple</v>
      </c>
      <c r="N11" s="14">
        <f t="shared" si="2"/>
        <v>1</v>
      </c>
    </row>
    <row r="12" spans="1:14">
      <c r="A12" s="14" t="s">
        <v>2143</v>
      </c>
      <c r="B12" s="14" t="s">
        <v>2036</v>
      </c>
      <c r="C12" s="14">
        <v>20</v>
      </c>
      <c r="D12" s="14" t="str">
        <f t="shared" si="0"/>
        <v>Other fruit</v>
      </c>
      <c r="E12" s="14" t="str">
        <f t="shared" si="1"/>
        <v>Banana</v>
      </c>
      <c r="G12" s="14" t="s">
        <v>2036</v>
      </c>
      <c r="H12" s="14">
        <f>COUNTIF(B2:B23,"Banana")</f>
        <v>3</v>
      </c>
      <c r="M12" s="14" t="str">
        <v>Guava</v>
      </c>
      <c r="N12" s="14">
        <f t="shared" si="2"/>
        <v>1</v>
      </c>
    </row>
    <row r="13" spans="1:14">
      <c r="A13" s="14" t="s">
        <v>2144</v>
      </c>
      <c r="B13" s="14" t="s">
        <v>2149</v>
      </c>
      <c r="C13" s="14">
        <v>60</v>
      </c>
      <c r="D13" s="14" t="str">
        <f t="shared" si="0"/>
        <v>Other fruit</v>
      </c>
      <c r="E13" s="14" t="str">
        <f t="shared" si="1"/>
        <v>Other fruit</v>
      </c>
      <c r="G13" s="14" t="str">
        <f>IF(D13="Apples", "Apple", "Other fruit")</f>
        <v>Other fruit</v>
      </c>
      <c r="H13" s="14">
        <f>COUNTIF(D2:D14,"Other fruit")</f>
        <v>10</v>
      </c>
      <c r="M13" s="14" t="str">
        <v>Peach</v>
      </c>
      <c r="N13" s="14">
        <f t="shared" si="2"/>
        <v>1</v>
      </c>
    </row>
    <row r="14" spans="1:14">
      <c r="A14" s="14" t="s">
        <v>2151</v>
      </c>
      <c r="B14" s="14" t="s">
        <v>2150</v>
      </c>
      <c r="C14" s="14">
        <v>100</v>
      </c>
      <c r="D14" s="14" t="str">
        <f t="shared" si="0"/>
        <v>Other fruit</v>
      </c>
      <c r="E14" s="14" t="str">
        <f t="shared" si="1"/>
        <v>Other fruit</v>
      </c>
      <c r="M14" s="14" t="str">
        <v>Orange</v>
      </c>
      <c r="N14" s="14">
        <f t="shared" si="2"/>
        <v>1</v>
      </c>
    </row>
    <row r="15" spans="1:14">
      <c r="B15" s="14" t="s">
        <v>2154</v>
      </c>
      <c r="C15" s="14">
        <v>120</v>
      </c>
      <c r="D15" s="14" t="str">
        <f t="shared" si="0"/>
        <v>Other fruit</v>
      </c>
      <c r="E15" s="14" t="str">
        <f t="shared" si="1"/>
        <v>Other fruit</v>
      </c>
      <c r="H15" s="14">
        <f>COUNTIFS(B2:B14,"Apple",B2:B14,"Banana")</f>
        <v>0</v>
      </c>
      <c r="M15" s="14" t="str">
        <v>Avacado</v>
      </c>
      <c r="N15" s="14">
        <f t="shared" si="2"/>
        <v>1</v>
      </c>
    </row>
    <row r="16" spans="1:14">
      <c r="B16" s="14" t="s">
        <v>2155</v>
      </c>
      <c r="C16" s="14">
        <v>400</v>
      </c>
      <c r="D16" s="14" t="str">
        <f t="shared" si="0"/>
        <v>Other fruit</v>
      </c>
      <c r="E16" s="14" t="str">
        <f t="shared" si="1"/>
        <v>Other fruit</v>
      </c>
      <c r="H16" s="14" cm="1">
        <f t="array" ref="H16:I16">COUNTIF(B2:B23,{"Apples","Banana"})</f>
        <v>5</v>
      </c>
      <c r="I16" s="14">
        <v>3</v>
      </c>
      <c r="M16" s="14" t="str">
        <v>Grapes</v>
      </c>
      <c r="N16" s="14">
        <f t="shared" si="2"/>
        <v>1</v>
      </c>
    </row>
    <row r="17" spans="2:14">
      <c r="B17" s="14" t="s">
        <v>2156</v>
      </c>
      <c r="C17" s="14">
        <v>50</v>
      </c>
      <c r="D17" s="14" t="str">
        <f t="shared" si="0"/>
        <v>Other fruit</v>
      </c>
      <c r="E17" s="14" t="str">
        <f t="shared" si="1"/>
        <v>Other fruit</v>
      </c>
      <c r="H17" s="14" cm="1">
        <f t="array" ref="H17:J17">COUNTIFS(B2:B23,{"Apples","Banana","Peach"})</f>
        <v>5</v>
      </c>
      <c r="I17" s="14">
        <v>3</v>
      </c>
      <c r="J17" s="14">
        <v>1</v>
      </c>
      <c r="M17" s="14" t="str">
        <v>Cherry</v>
      </c>
      <c r="N17" s="14">
        <f t="shared" si="2"/>
        <v>1</v>
      </c>
    </row>
    <row r="18" spans="2:14">
      <c r="B18" s="14" t="s">
        <v>2157</v>
      </c>
      <c r="C18" s="14">
        <v>200</v>
      </c>
      <c r="D18" s="14" t="str">
        <f t="shared" si="0"/>
        <v>Other fruit</v>
      </c>
      <c r="E18" s="14" t="str">
        <f t="shared" si="1"/>
        <v>Other fruit</v>
      </c>
      <c r="M18" s="14" t="str">
        <v>Watermelon</v>
      </c>
      <c r="N18" s="14">
        <f t="shared" si="2"/>
        <v>1</v>
      </c>
    </row>
    <row r="19" spans="2:14">
      <c r="B19" s="14" t="s">
        <v>2158</v>
      </c>
      <c r="C19" s="14">
        <v>60</v>
      </c>
      <c r="D19" s="14" t="str">
        <f t="shared" si="0"/>
        <v>Other fruit</v>
      </c>
      <c r="E19" s="14" t="str">
        <f t="shared" si="1"/>
        <v>Other fruit</v>
      </c>
      <c r="M19" s="14" t="str">
        <v>Plum</v>
      </c>
      <c r="N19" s="14">
        <f t="shared" si="2"/>
        <v>1</v>
      </c>
    </row>
    <row r="20" spans="2:14">
      <c r="B20" s="14" t="s">
        <v>2159</v>
      </c>
      <c r="C20" s="14">
        <v>300</v>
      </c>
      <c r="D20" s="14" t="str">
        <f t="shared" si="0"/>
        <v>Other fruit</v>
      </c>
      <c r="E20" s="14" t="str">
        <f t="shared" si="1"/>
        <v>Other fruit</v>
      </c>
      <c r="H20" s="14">
        <f>COUNTIF(B2:B23,"Apples") + COUNTIF(B2:B23,"Banana")</f>
        <v>8</v>
      </c>
      <c r="M20" s="14" t="str">
        <v>coconut</v>
      </c>
      <c r="N20" s="14">
        <f t="shared" si="2"/>
        <v>1</v>
      </c>
    </row>
    <row r="21" spans="2:14">
      <c r="B21" s="14" t="s">
        <v>2160</v>
      </c>
      <c r="C21" s="14">
        <v>245</v>
      </c>
      <c r="D21" s="14" t="str">
        <f t="shared" si="0"/>
        <v>Other fruit</v>
      </c>
      <c r="E21" s="14" t="str">
        <f t="shared" si="1"/>
        <v>Other fruit</v>
      </c>
      <c r="H21" s="14">
        <f>SUM(COUNTIF(B2:B14,"Apples"), COUNTIF(B2:B14,"Banana"))</f>
        <v>6</v>
      </c>
      <c r="N21" s="14">
        <f t="shared" si="2"/>
        <v>0</v>
      </c>
    </row>
    <row r="22" spans="2:14">
      <c r="B22" s="14" t="s">
        <v>2133</v>
      </c>
      <c r="C22" s="14">
        <v>134</v>
      </c>
      <c r="D22" s="14" t="str">
        <f t="shared" si="0"/>
        <v>Apple</v>
      </c>
      <c r="E22" s="14" t="str">
        <f t="shared" si="1"/>
        <v>Other fruit</v>
      </c>
    </row>
    <row r="23" spans="2:14">
      <c r="B23" s="14" t="s">
        <v>2133</v>
      </c>
      <c r="C23" s="14">
        <v>300</v>
      </c>
      <c r="D23" s="14" t="str">
        <f t="shared" si="0"/>
        <v>Apple</v>
      </c>
      <c r="E23" s="14" t="str">
        <f t="shared" si="1"/>
        <v>Other fruit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001"/>
  <sheetViews>
    <sheetView topLeftCell="W4" zoomScale="126" zoomScaleNormal="126" workbookViewId="0">
      <selection activeCell="AE13" sqref="AE13"/>
    </sheetView>
  </sheetViews>
  <sheetFormatPr defaultRowHeight="14.4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27.88671875" style="7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27.6640625" style="7" bestFit="1" customWidth="1"/>
    <col min="15" max="15" width="13" bestFit="1" customWidth="1"/>
    <col min="17" max="17" width="14.44140625" bestFit="1" customWidth="1"/>
    <col min="20" max="20" width="22.109375" bestFit="1" customWidth="1"/>
    <col min="21" max="21" width="21.6640625" customWidth="1"/>
    <col min="22" max="22" width="15.6640625" bestFit="1" customWidth="1"/>
    <col min="23" max="23" width="21.88671875" bestFit="1" customWidth="1"/>
    <col min="26" max="26" width="11.88671875" bestFit="1" customWidth="1"/>
    <col min="31" max="31" width="16.21875" bestFit="1" customWidth="1"/>
    <col min="32" max="32" width="20.109375" customWidth="1"/>
    <col min="33" max="33" width="20.6640625" customWidth="1"/>
  </cols>
  <sheetData>
    <row r="1" spans="1:34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2029</v>
      </c>
      <c r="P1" s="4" t="s">
        <v>2030</v>
      </c>
      <c r="Q1" s="4" t="s">
        <v>2032</v>
      </c>
    </row>
    <row r="2" spans="1:34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7">
        <v>42468</v>
      </c>
      <c r="J2" s="1">
        <v>141604</v>
      </c>
      <c r="K2" s="2">
        <v>0.15</v>
      </c>
      <c r="L2" t="s">
        <v>19</v>
      </c>
      <c r="M2" t="s">
        <v>63</v>
      </c>
      <c r="N2" s="7">
        <v>44485</v>
      </c>
      <c r="O2" s="1">
        <f>TBL_Employees3[[#This Row],[Annual Salary]]+TBL_Employees3[[#This Row],[Bonus %]]*TBL_Employees3[[#This Row],[Annual Salary]]</f>
        <v>162844.6</v>
      </c>
      <c r="P2" t="str">
        <f>IF(AND(TBL_Employees3[[#This Row],[Department]]="IT",TBL_Employees3[[#This Row],[Gender]]="Female"),"Yes","No")</f>
        <v>Yes</v>
      </c>
      <c r="Q2" t="str">
        <f>IF(AND(TBL_Employees3[[#This Row],[Gender]]="Female",TBL_Employees3[[#This Row],[Ethnicity]]="Black"), "Female_Black", "Others")</f>
        <v>Female_Black</v>
      </c>
    </row>
    <row r="3" spans="1:34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7">
        <v>35763</v>
      </c>
      <c r="J3" s="1">
        <v>99975</v>
      </c>
      <c r="K3" s="2">
        <v>0</v>
      </c>
      <c r="L3" t="s">
        <v>33</v>
      </c>
      <c r="M3" t="s">
        <v>80</v>
      </c>
      <c r="N3" s="7" t="s">
        <v>21</v>
      </c>
      <c r="O3" s="1">
        <f>TBL_Employees3[[#This Row],[Annual Salary]]+TBL_Employees3[[#This Row],[Bonus %]]*TBL_Employees3[[#This Row],[Annual Salary]]</f>
        <v>99975</v>
      </c>
      <c r="P3" t="str">
        <f>IF(AND(TBL_Employees3[[#This Row],[Department]]="IT",TBL_Employees3[[#This Row],[Gender]]="Female"),"Yes","No")</f>
        <v>No</v>
      </c>
      <c r="Q3" t="str">
        <f>IF(AND(TBL_Employees3[[#This Row],[Gender]]="Female",TBL_Employees3[[#This Row],[Ethnicity]]="Black"), "Female_Black", "Others")</f>
        <v>Others</v>
      </c>
    </row>
    <row r="4" spans="1:34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7">
        <v>39016</v>
      </c>
      <c r="J4" s="1">
        <v>163099</v>
      </c>
      <c r="K4" s="2">
        <v>0.2</v>
      </c>
      <c r="L4" t="s">
        <v>19</v>
      </c>
      <c r="M4" t="s">
        <v>20</v>
      </c>
      <c r="N4" s="7" t="s">
        <v>21</v>
      </c>
      <c r="O4" s="1">
        <f>TBL_Employees3[[#This Row],[Annual Salary]]+TBL_Employees3[[#This Row],[Bonus %]]*TBL_Employees3[[#This Row],[Annual Salary]]</f>
        <v>195718.8</v>
      </c>
      <c r="P4" t="str">
        <f>IF(AND(TBL_Employees3[[#This Row],[Department]]="IT",TBL_Employees3[[#This Row],[Gender]]="Female"),"Yes","No")</f>
        <v>No</v>
      </c>
      <c r="Q4" t="str">
        <f>IF(AND(TBL_Employees3[[#This Row],[Gender]]="Female",TBL_Employees3[[#This Row],[Ethnicity]]="Black"), "Female_Black", "Others")</f>
        <v>Others</v>
      </c>
    </row>
    <row r="5" spans="1:34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7">
        <v>43735</v>
      </c>
      <c r="J5" s="1">
        <v>84913</v>
      </c>
      <c r="K5" s="2">
        <v>7.0000000000000007E-2</v>
      </c>
      <c r="L5" t="s">
        <v>19</v>
      </c>
      <c r="M5" t="s">
        <v>20</v>
      </c>
      <c r="N5" s="7" t="s">
        <v>21</v>
      </c>
      <c r="O5" s="1">
        <f>TBL_Employees3[[#This Row],[Annual Salary]]+TBL_Employees3[[#This Row],[Bonus %]]*TBL_Employees3[[#This Row],[Annual Salary]]</f>
        <v>90856.91</v>
      </c>
      <c r="P5" t="str">
        <f>IF(AND(TBL_Employees3[[#This Row],[Department]]="IT",TBL_Employees3[[#This Row],[Gender]]="Female"),"Yes","No")</f>
        <v>Yes</v>
      </c>
      <c r="Q5" t="str">
        <f>IF(AND(TBL_Employees3[[#This Row],[Gender]]="Female",TBL_Employees3[[#This Row],[Ethnicity]]="Black"), "Female_Black", "Others")</f>
        <v>Others</v>
      </c>
    </row>
    <row r="6" spans="1:34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7">
        <v>35023</v>
      </c>
      <c r="J6" s="1">
        <v>95409</v>
      </c>
      <c r="K6" s="2">
        <v>0</v>
      </c>
      <c r="L6" t="s">
        <v>19</v>
      </c>
      <c r="M6" t="s">
        <v>39</v>
      </c>
      <c r="N6" s="7" t="s">
        <v>21</v>
      </c>
      <c r="O6" s="1">
        <f>TBL_Employees3[[#This Row],[Annual Salary]]+TBL_Employees3[[#This Row],[Bonus %]]*TBL_Employees3[[#This Row],[Annual Salary]]</f>
        <v>95409</v>
      </c>
      <c r="P6" t="str">
        <f>IF(AND(TBL_Employees3[[#This Row],[Department]]="IT",TBL_Employees3[[#This Row],[Gender]]="Female"),"Yes","No")</f>
        <v>No</v>
      </c>
      <c r="Q6" t="str">
        <f>IF(AND(TBL_Employees3[[#This Row],[Gender]]="Female",TBL_Employees3[[#This Row],[Ethnicity]]="Black"), "Female_Black", "Others")</f>
        <v>Others</v>
      </c>
      <c r="T6" t="str" cm="1">
        <f t="array" ref="T6:T918">_xlfn.UNIQUE(A:A)</f>
        <v>EEID</v>
      </c>
      <c r="U6" t="s">
        <v>2161</v>
      </c>
      <c r="AB6" t="s">
        <v>2162</v>
      </c>
      <c r="AE6" t="s">
        <v>2165</v>
      </c>
      <c r="AG6" t="s">
        <v>2166</v>
      </c>
    </row>
    <row r="7" spans="1:34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7">
        <v>42759</v>
      </c>
      <c r="J7" s="1">
        <v>50994</v>
      </c>
      <c r="K7" s="2">
        <v>0</v>
      </c>
      <c r="L7" t="s">
        <v>33</v>
      </c>
      <c r="M7" t="s">
        <v>80</v>
      </c>
      <c r="N7" s="7" t="s">
        <v>21</v>
      </c>
      <c r="O7" s="1">
        <f>TBL_Employees3[[#This Row],[Annual Salary]]+TBL_Employees3[[#This Row],[Bonus %]]*TBL_Employees3[[#This Row],[Annual Salary]]</f>
        <v>50994</v>
      </c>
      <c r="P7" t="str">
        <f>IF(AND(TBL_Employees3[[#This Row],[Department]]="IT",TBL_Employees3[[#This Row],[Gender]]="Female"),"Yes","No")</f>
        <v>No</v>
      </c>
      <c r="Q7" t="str">
        <f>IF(AND(TBL_Employees3[[#This Row],[Gender]]="Female",TBL_Employees3[[#This Row],[Ethnicity]]="Black"), "Female_Black", "Others")</f>
        <v>Others</v>
      </c>
      <c r="T7" t="str">
        <v>E02387</v>
      </c>
      <c r="U7" t="str" cm="1">
        <f t="array" ref="U7:U41">_xlfn.UNIQUE(C:C)</f>
        <v>Job Title</v>
      </c>
      <c r="V7" t="str" cm="1">
        <f t="array" ref="V7:V15">_xlfn.UNIQUE(D:D)</f>
        <v>Department</v>
      </c>
      <c r="W7" t="str" cm="1">
        <f t="array" ref="W7:W12">_xlfn.UNIQUE(E:E)</f>
        <v>Business Unit</v>
      </c>
      <c r="X7" t="str" cm="1">
        <f t="array" ref="X7:X10">_xlfn.UNIQUE(F:F)</f>
        <v>Gender</v>
      </c>
      <c r="Y7" t="str" cm="1">
        <f t="array" ref="Y7:Y12">_xlfn.UNIQUE(G:G)</f>
        <v>Ethnicity</v>
      </c>
      <c r="Z7" t="str" cm="1">
        <f t="array" ref="Z7:Z11">_xlfn.UNIQUE(L:L)</f>
        <v>Country</v>
      </c>
      <c r="AA7" t="str" cm="1">
        <f t="array" ref="AA7:AA21">_xlfn.UNIQUE(M:M)</f>
        <v>City</v>
      </c>
      <c r="AB7" t="s">
        <v>2112</v>
      </c>
      <c r="AC7">
        <f>MAX(J:J)</f>
        <v>258498</v>
      </c>
      <c r="AD7" t="s">
        <v>2170</v>
      </c>
      <c r="AE7" t="s">
        <v>2163</v>
      </c>
      <c r="AF7">
        <f>AVERAGE(J:J)</f>
        <v>113217.36500000001</v>
      </c>
      <c r="AG7" t="s">
        <v>2167</v>
      </c>
      <c r="AH7" cm="1">
        <f t="array" ref="AH7">_xlfn.MODE.MULT(K:K)</f>
        <v>0</v>
      </c>
    </row>
    <row r="8" spans="1:34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7">
        <v>44013</v>
      </c>
      <c r="J8" s="1">
        <v>119746</v>
      </c>
      <c r="K8" s="2">
        <v>0.1</v>
      </c>
      <c r="L8" t="s">
        <v>19</v>
      </c>
      <c r="M8" t="s">
        <v>39</v>
      </c>
      <c r="N8" s="7" t="s">
        <v>21</v>
      </c>
      <c r="O8" s="1">
        <f>TBL_Employees3[[#This Row],[Annual Salary]]+TBL_Employees3[[#This Row],[Bonus %]]*TBL_Employees3[[#This Row],[Annual Salary]]</f>
        <v>131720.6</v>
      </c>
      <c r="P8" t="str">
        <f>IF(AND(TBL_Employees3[[#This Row],[Department]]="IT",TBL_Employees3[[#This Row],[Gender]]="Female"),"Yes","No")</f>
        <v>Yes</v>
      </c>
      <c r="Q8" t="str">
        <f>IF(AND(TBL_Employees3[[#This Row],[Gender]]="Female",TBL_Employees3[[#This Row],[Ethnicity]]="Black"), "Female_Black", "Others")</f>
        <v>Others</v>
      </c>
      <c r="T8" t="str">
        <v>E04105</v>
      </c>
      <c r="U8" t="str">
        <v>Sr. Manger</v>
      </c>
      <c r="V8" t="str">
        <v>IT</v>
      </c>
      <c r="W8" t="str">
        <v>Research &amp; Development</v>
      </c>
      <c r="X8" t="str">
        <v>Female</v>
      </c>
      <c r="Y8" t="str">
        <v>Black</v>
      </c>
      <c r="Z8" t="str">
        <v>United States</v>
      </c>
      <c r="AA8" t="str">
        <v>Seattle</v>
      </c>
      <c r="AB8" t="s">
        <v>2107</v>
      </c>
      <c r="AC8">
        <f>MIN(J:J)</f>
        <v>40063</v>
      </c>
      <c r="AE8" t="s">
        <v>2164</v>
      </c>
      <c r="AF8">
        <f>MEDIAN(J:J)</f>
        <v>96557</v>
      </c>
    </row>
    <row r="9" spans="1:34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7">
        <v>43967</v>
      </c>
      <c r="J9" s="1">
        <v>41336</v>
      </c>
      <c r="K9" s="2">
        <v>0</v>
      </c>
      <c r="L9" t="s">
        <v>19</v>
      </c>
      <c r="M9" t="s">
        <v>45</v>
      </c>
      <c r="N9" s="7">
        <v>44336</v>
      </c>
      <c r="O9" s="1">
        <f>TBL_Employees3[[#This Row],[Annual Salary]]+TBL_Employees3[[#This Row],[Bonus %]]*TBL_Employees3[[#This Row],[Annual Salary]]</f>
        <v>41336</v>
      </c>
      <c r="P9" t="str">
        <f>IF(AND(TBL_Employees3[[#This Row],[Department]]="IT",TBL_Employees3[[#This Row],[Gender]]="Female"),"Yes","No")</f>
        <v>No</v>
      </c>
      <c r="Q9" t="str">
        <f>IF(AND(TBL_Employees3[[#This Row],[Gender]]="Female",TBL_Employees3[[#This Row],[Ethnicity]]="Black"), "Female_Black", "Others")</f>
        <v>Others</v>
      </c>
      <c r="T9" t="str">
        <v>E02572</v>
      </c>
      <c r="U9" t="str">
        <v>Technical Architect</v>
      </c>
      <c r="V9" t="str">
        <v>Finance</v>
      </c>
      <c r="W9" t="str">
        <v>Manufacturing</v>
      </c>
      <c r="X9" t="str">
        <v>Male</v>
      </c>
      <c r="Y9" t="str">
        <v>Asian</v>
      </c>
      <c r="Z9" t="str">
        <v>China</v>
      </c>
      <c r="AA9" t="str">
        <v>Chongqing</v>
      </c>
      <c r="AD9" t="s">
        <v>2171</v>
      </c>
      <c r="AE9" t="s">
        <v>2168</v>
      </c>
      <c r="AF9">
        <f>_xlfn.VAR.S(J:J)</f>
        <v>2867172578.5843596</v>
      </c>
      <c r="AG9" t="s">
        <v>2168</v>
      </c>
      <c r="AH9">
        <f>_xlfn.VAR.S(K:K)</f>
        <v>1.3890094494494474E-2</v>
      </c>
    </row>
    <row r="10" spans="1:34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7">
        <v>43490</v>
      </c>
      <c r="J10" s="1">
        <v>113527</v>
      </c>
      <c r="K10" s="2">
        <v>0.06</v>
      </c>
      <c r="L10" t="s">
        <v>19</v>
      </c>
      <c r="M10" t="s">
        <v>25</v>
      </c>
      <c r="N10" s="7" t="s">
        <v>21</v>
      </c>
      <c r="O10" s="1">
        <f>TBL_Employees3[[#This Row],[Annual Salary]]+TBL_Employees3[[#This Row],[Bonus %]]*TBL_Employees3[[#This Row],[Annual Salary]]</f>
        <v>120338.62</v>
      </c>
      <c r="P10" t="str">
        <f>IF(AND(TBL_Employees3[[#This Row],[Department]]="IT",TBL_Employees3[[#This Row],[Gender]]="Female"),"Yes","No")</f>
        <v>No</v>
      </c>
      <c r="Q10" t="str">
        <f>IF(AND(TBL_Employees3[[#This Row],[Gender]]="Female",TBL_Employees3[[#This Row],[Ethnicity]]="Black"), "Female_Black", "Others")</f>
        <v>Others</v>
      </c>
      <c r="T10" t="str">
        <v>E02832</v>
      </c>
      <c r="U10" t="str">
        <v>Director</v>
      </c>
      <c r="V10" t="str">
        <v>Sales</v>
      </c>
      <c r="W10" t="str">
        <v>Speciality Products</v>
      </c>
      <c r="X10">
        <v>0</v>
      </c>
      <c r="Y10" t="str">
        <v>Caucasian</v>
      </c>
      <c r="Z10" t="str">
        <v>Brazil</v>
      </c>
      <c r="AA10" t="str">
        <v>Chicago</v>
      </c>
      <c r="AE10" t="s">
        <v>2169</v>
      </c>
      <c r="AF10">
        <f>_xlfn.STDEV.S(J:J)</f>
        <v>53545.985643971107</v>
      </c>
      <c r="AG10" t="s">
        <v>2169</v>
      </c>
      <c r="AH10">
        <f>_xlfn.STDEV.S(K:K)</f>
        <v>0.11785624503815856</v>
      </c>
    </row>
    <row r="11" spans="1:34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7">
        <v>43264</v>
      </c>
      <c r="J11" s="1">
        <v>77203</v>
      </c>
      <c r="K11" s="2">
        <v>0</v>
      </c>
      <c r="L11" t="s">
        <v>19</v>
      </c>
      <c r="M11" t="s">
        <v>20</v>
      </c>
      <c r="N11" s="7" t="s">
        <v>21</v>
      </c>
      <c r="O11" s="1">
        <f>TBL_Employees3[[#This Row],[Annual Salary]]+TBL_Employees3[[#This Row],[Bonus %]]*TBL_Employees3[[#This Row],[Annual Salary]]</f>
        <v>77203</v>
      </c>
      <c r="P11" t="str">
        <f>IF(AND(TBL_Employees3[[#This Row],[Department]]="IT",TBL_Employees3[[#This Row],[Gender]]="Female"),"Yes","No")</f>
        <v>No</v>
      </c>
      <c r="Q11" t="str">
        <f>IF(AND(TBL_Employees3[[#This Row],[Gender]]="Female",TBL_Employees3[[#This Row],[Ethnicity]]="Black"), "Female_Black", "Others")</f>
        <v>Others</v>
      </c>
      <c r="T11" t="str">
        <v>E01639</v>
      </c>
      <c r="U11" t="str">
        <v>Computer Systems Manager</v>
      </c>
      <c r="V11" t="str">
        <v>Accounting</v>
      </c>
      <c r="W11" t="str">
        <v>Corporate</v>
      </c>
      <c r="Y11" t="str">
        <v>Latino</v>
      </c>
      <c r="Z11">
        <v>0</v>
      </c>
      <c r="AA11" t="str">
        <v>Phoenix</v>
      </c>
      <c r="AF11">
        <f>POWER(AF9,0.5)</f>
        <v>53545.985643971107</v>
      </c>
    </row>
    <row r="12" spans="1:34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7">
        <v>39855</v>
      </c>
      <c r="J12" s="1">
        <v>157333</v>
      </c>
      <c r="K12" s="2">
        <v>0.15</v>
      </c>
      <c r="L12" t="s">
        <v>19</v>
      </c>
      <c r="M12" t="s">
        <v>45</v>
      </c>
      <c r="N12" s="7" t="s">
        <v>21</v>
      </c>
      <c r="O12" s="1">
        <f>TBL_Employees3[[#This Row],[Annual Salary]]+TBL_Employees3[[#This Row],[Bonus %]]*TBL_Employees3[[#This Row],[Annual Salary]]</f>
        <v>180932.95</v>
      </c>
      <c r="P12" t="str">
        <f>IF(AND(TBL_Employees3[[#This Row],[Department]]="IT",TBL_Employees3[[#This Row],[Gender]]="Female"),"Yes","No")</f>
        <v>No</v>
      </c>
      <c r="Q12" t="str">
        <f>IF(AND(TBL_Employees3[[#This Row],[Gender]]="Female",TBL_Employees3[[#This Row],[Ethnicity]]="Black"), "Female_Black", "Others")</f>
        <v>Others</v>
      </c>
      <c r="T12" t="str">
        <v>E00644</v>
      </c>
      <c r="U12" t="str">
        <v>Sr. Analyst</v>
      </c>
      <c r="V12" t="str">
        <v>Human Resources</v>
      </c>
      <c r="W12">
        <v>0</v>
      </c>
      <c r="Y12">
        <v>0</v>
      </c>
      <c r="AA12" t="str">
        <v>Miami</v>
      </c>
      <c r="AD12" t="s">
        <v>2172</v>
      </c>
      <c r="AE12" t="s">
        <v>2173</v>
      </c>
      <c r="AF12">
        <f>SKEW(J:J)</f>
        <v>0.88640157119538709</v>
      </c>
    </row>
    <row r="13" spans="1:34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7">
        <v>44490</v>
      </c>
      <c r="J13" s="1">
        <v>109851</v>
      </c>
      <c r="K13" s="2">
        <v>0</v>
      </c>
      <c r="L13" t="s">
        <v>19</v>
      </c>
      <c r="M13" t="s">
        <v>63</v>
      </c>
      <c r="N13" s="7" t="s">
        <v>21</v>
      </c>
      <c r="O13" s="1">
        <f>TBL_Employees3[[#This Row],[Annual Salary]]+TBL_Employees3[[#This Row],[Bonus %]]*TBL_Employees3[[#This Row],[Annual Salary]]</f>
        <v>109851</v>
      </c>
      <c r="P13" t="str">
        <f>IF(AND(TBL_Employees3[[#This Row],[Department]]="IT",TBL_Employees3[[#This Row],[Gender]]="Female"),"Yes","No")</f>
        <v>No</v>
      </c>
      <c r="Q13" t="str">
        <f>IF(AND(TBL_Employees3[[#This Row],[Gender]]="Female",TBL_Employees3[[#This Row],[Ethnicity]]="Black"), "Female_Black", "Others")</f>
        <v>Others</v>
      </c>
      <c r="T13" t="str">
        <v>E01550</v>
      </c>
      <c r="U13" t="str">
        <v>Account Representative</v>
      </c>
      <c r="V13" t="str">
        <v>Engineering</v>
      </c>
      <c r="AA13" t="str">
        <v>Austin</v>
      </c>
      <c r="AD13" t="s">
        <v>2179</v>
      </c>
      <c r="AE13" t="s">
        <v>2180</v>
      </c>
      <c r="AF13">
        <f>KURT(J:J)</f>
        <v>-4.3721151777933009E-2</v>
      </c>
    </row>
    <row r="14" spans="1:34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7">
        <v>36233</v>
      </c>
      <c r="J14" s="1">
        <v>105086</v>
      </c>
      <c r="K14" s="2">
        <v>0.09</v>
      </c>
      <c r="L14" t="s">
        <v>19</v>
      </c>
      <c r="M14" t="s">
        <v>25</v>
      </c>
      <c r="N14" s="7" t="s">
        <v>21</v>
      </c>
      <c r="O14" s="1">
        <f>TBL_Employees3[[#This Row],[Annual Salary]]+TBL_Employees3[[#This Row],[Bonus %]]*TBL_Employees3[[#This Row],[Annual Salary]]</f>
        <v>114543.74</v>
      </c>
      <c r="P14" t="str">
        <f>IF(AND(TBL_Employees3[[#This Row],[Department]]="IT",TBL_Employees3[[#This Row],[Gender]]="Female"),"Yes","No")</f>
        <v>No</v>
      </c>
      <c r="Q14" t="str">
        <f>IF(AND(TBL_Employees3[[#This Row],[Gender]]="Female",TBL_Employees3[[#This Row],[Ethnicity]]="Black"), "Female_Black", "Others")</f>
        <v>Others</v>
      </c>
      <c r="T14" t="str">
        <v>E04332</v>
      </c>
      <c r="U14" t="str">
        <v>Manager</v>
      </c>
      <c r="V14" t="str">
        <v>Marketing</v>
      </c>
      <c r="AA14" t="str">
        <v>Shanghai</v>
      </c>
    </row>
    <row r="15" spans="1:34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7">
        <v>44357</v>
      </c>
      <c r="J15" s="1">
        <v>146742</v>
      </c>
      <c r="K15" s="2">
        <v>0.1</v>
      </c>
      <c r="L15" t="s">
        <v>33</v>
      </c>
      <c r="M15" t="s">
        <v>74</v>
      </c>
      <c r="N15" s="7" t="s">
        <v>21</v>
      </c>
      <c r="O15" s="1">
        <f>TBL_Employees3[[#This Row],[Annual Salary]]+TBL_Employees3[[#This Row],[Bonus %]]*TBL_Employees3[[#This Row],[Annual Salary]]</f>
        <v>161416.20000000001</v>
      </c>
      <c r="P15" t="str">
        <f>IF(AND(TBL_Employees3[[#This Row],[Department]]="IT",TBL_Employees3[[#This Row],[Gender]]="Female"),"Yes","No")</f>
        <v>No</v>
      </c>
      <c r="Q15" t="str">
        <f>IF(AND(TBL_Employees3[[#This Row],[Gender]]="Female",TBL_Employees3[[#This Row],[Ethnicity]]="Black"), "Female_Black", "Others")</f>
        <v>Others</v>
      </c>
      <c r="T15" t="str">
        <v>E04533</v>
      </c>
      <c r="U15" t="str">
        <v>Analyst</v>
      </c>
      <c r="V15">
        <v>0</v>
      </c>
      <c r="AA15" t="str">
        <v>Columbus</v>
      </c>
    </row>
    <row r="16" spans="1:34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7">
        <v>43043</v>
      </c>
      <c r="J16" s="1">
        <v>97078</v>
      </c>
      <c r="K16" s="2">
        <v>0</v>
      </c>
      <c r="L16" t="s">
        <v>19</v>
      </c>
      <c r="M16" t="s">
        <v>25</v>
      </c>
      <c r="N16" s="7">
        <v>43899</v>
      </c>
      <c r="O16" s="1">
        <f>TBL_Employees3[[#This Row],[Annual Salary]]+TBL_Employees3[[#This Row],[Bonus %]]*TBL_Employees3[[#This Row],[Annual Salary]]</f>
        <v>97078</v>
      </c>
      <c r="P16" t="str">
        <f>IF(AND(TBL_Employees3[[#This Row],[Department]]="IT",TBL_Employees3[[#This Row],[Gender]]="Female"),"Yes","No")</f>
        <v>No</v>
      </c>
      <c r="Q16" t="str">
        <f>IF(AND(TBL_Employees3[[#This Row],[Gender]]="Female",TBL_Employees3[[#This Row],[Ethnicity]]="Black"), "Female_Black", "Others")</f>
        <v>Others</v>
      </c>
      <c r="T16" t="str">
        <v>E03838</v>
      </c>
      <c r="U16" t="str">
        <v>Controls Engineer</v>
      </c>
      <c r="AA16" t="str">
        <v>Manaus</v>
      </c>
    </row>
    <row r="17" spans="1:27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7">
        <v>41346</v>
      </c>
      <c r="J17" s="1">
        <v>249270</v>
      </c>
      <c r="K17" s="2">
        <v>0.3</v>
      </c>
      <c r="L17" t="s">
        <v>19</v>
      </c>
      <c r="M17" t="s">
        <v>63</v>
      </c>
      <c r="N17" s="7" t="s">
        <v>21</v>
      </c>
      <c r="O17" s="1">
        <f>TBL_Employees3[[#This Row],[Annual Salary]]+TBL_Employees3[[#This Row],[Bonus %]]*TBL_Employees3[[#This Row],[Annual Salary]]</f>
        <v>324051</v>
      </c>
      <c r="P17" t="str">
        <f>IF(AND(TBL_Employees3[[#This Row],[Department]]="IT",TBL_Employees3[[#This Row],[Gender]]="Female"),"Yes","No")</f>
        <v>No</v>
      </c>
      <c r="Q17" t="str">
        <f>IF(AND(TBL_Employees3[[#This Row],[Gender]]="Female",TBL_Employees3[[#This Row],[Ethnicity]]="Black"), "Female_Black", "Others")</f>
        <v>Others</v>
      </c>
      <c r="T17" t="str">
        <v>E00591</v>
      </c>
      <c r="U17" t="str">
        <v>Vice President</v>
      </c>
      <c r="AA17" t="str">
        <v>Rio de Janerio</v>
      </c>
    </row>
    <row r="18" spans="1:27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7">
        <v>37319</v>
      </c>
      <c r="J18" s="1">
        <v>175837</v>
      </c>
      <c r="K18" s="2">
        <v>0.2</v>
      </c>
      <c r="L18" t="s">
        <v>19</v>
      </c>
      <c r="M18" t="s">
        <v>39</v>
      </c>
      <c r="N18" s="7" t="s">
        <v>21</v>
      </c>
      <c r="O18" s="1">
        <f>TBL_Employees3[[#This Row],[Annual Salary]]+TBL_Employees3[[#This Row],[Bonus %]]*TBL_Employees3[[#This Row],[Annual Salary]]</f>
        <v>211004.4</v>
      </c>
      <c r="P18" t="str">
        <f>IF(AND(TBL_Employees3[[#This Row],[Department]]="IT",TBL_Employees3[[#This Row],[Gender]]="Female"),"Yes","No")</f>
        <v>No</v>
      </c>
      <c r="Q18" t="str">
        <f>IF(AND(TBL_Employees3[[#This Row],[Gender]]="Female",TBL_Employees3[[#This Row],[Ethnicity]]="Black"), "Female_Black", "Others")</f>
        <v>Female_Black</v>
      </c>
      <c r="T18" t="str">
        <v>E03344</v>
      </c>
      <c r="U18" t="str">
        <v>Quality Engineer</v>
      </c>
      <c r="AA18" t="str">
        <v>Beijing</v>
      </c>
    </row>
    <row r="19" spans="1:27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7">
        <v>37956</v>
      </c>
      <c r="J19" s="1">
        <v>154828</v>
      </c>
      <c r="K19" s="2">
        <v>0.13</v>
      </c>
      <c r="L19" t="s">
        <v>19</v>
      </c>
      <c r="M19" t="s">
        <v>63</v>
      </c>
      <c r="N19" s="7" t="s">
        <v>21</v>
      </c>
      <c r="O19" s="1">
        <f>TBL_Employees3[[#This Row],[Annual Salary]]+TBL_Employees3[[#This Row],[Bonus %]]*TBL_Employees3[[#This Row],[Annual Salary]]</f>
        <v>174955.64</v>
      </c>
      <c r="P19" t="str">
        <f>IF(AND(TBL_Employees3[[#This Row],[Department]]="IT",TBL_Employees3[[#This Row],[Gender]]="Female"),"Yes","No")</f>
        <v>No</v>
      </c>
      <c r="Q19" t="str">
        <f>IF(AND(TBL_Employees3[[#This Row],[Gender]]="Female",TBL_Employees3[[#This Row],[Ethnicity]]="Black"), "Female_Black", "Others")</f>
        <v>Others</v>
      </c>
      <c r="T19" s="7" t="str">
        <v>E00530</v>
      </c>
      <c r="U19" t="str">
        <v>Engineering Manager</v>
      </c>
      <c r="AA19" t="str">
        <v>Chengdu</v>
      </c>
    </row>
    <row r="20" spans="1:27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7">
        <v>41581</v>
      </c>
      <c r="J20" s="1">
        <v>186503</v>
      </c>
      <c r="K20" s="2">
        <v>0.24</v>
      </c>
      <c r="L20" t="s">
        <v>19</v>
      </c>
      <c r="M20" t="s">
        <v>29</v>
      </c>
      <c r="N20" s="7" t="s">
        <v>21</v>
      </c>
      <c r="O20" s="1">
        <f>TBL_Employees3[[#This Row],[Annual Salary]]+TBL_Employees3[[#This Row],[Bonus %]]*TBL_Employees3[[#This Row],[Annual Salary]]</f>
        <v>231263.72</v>
      </c>
      <c r="P20" t="str">
        <f>IF(AND(TBL_Employees3[[#This Row],[Department]]="IT",TBL_Employees3[[#This Row],[Gender]]="Female"),"Yes","No")</f>
        <v>No</v>
      </c>
      <c r="Q20" t="str">
        <f>IF(AND(TBL_Employees3[[#This Row],[Gender]]="Female",TBL_Employees3[[#This Row],[Ethnicity]]="Black"), "Female_Black", "Others")</f>
        <v>Others</v>
      </c>
      <c r="T20" t="str">
        <v>E04239</v>
      </c>
      <c r="U20" t="str">
        <v>IT Coordinator</v>
      </c>
      <c r="AA20" t="str">
        <v>Sao Paulo</v>
      </c>
    </row>
    <row r="21" spans="1:27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7">
        <v>37446</v>
      </c>
      <c r="J21" s="1">
        <v>166331</v>
      </c>
      <c r="K21" s="2">
        <v>0.18</v>
      </c>
      <c r="L21" t="s">
        <v>33</v>
      </c>
      <c r="M21" t="s">
        <v>80</v>
      </c>
      <c r="N21" s="7" t="s">
        <v>21</v>
      </c>
      <c r="O21" s="1">
        <f>TBL_Employees3[[#This Row],[Annual Salary]]+TBL_Employees3[[#This Row],[Bonus %]]*TBL_Employees3[[#This Row],[Annual Salary]]</f>
        <v>196270.58</v>
      </c>
      <c r="P21" t="str">
        <f>IF(AND(TBL_Employees3[[#This Row],[Department]]="IT",TBL_Employees3[[#This Row],[Gender]]="Female"),"Yes","No")</f>
        <v>No</v>
      </c>
      <c r="Q21" t="str">
        <f>IF(AND(TBL_Employees3[[#This Row],[Gender]]="Female",TBL_Employees3[[#This Row],[Ethnicity]]="Black"), "Female_Black", "Others")</f>
        <v>Others</v>
      </c>
      <c r="T21" t="str">
        <v>E03496</v>
      </c>
      <c r="U21" t="str">
        <v>Analyst II</v>
      </c>
      <c r="AA21">
        <v>0</v>
      </c>
    </row>
    <row r="22" spans="1:27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7">
        <v>40917</v>
      </c>
      <c r="J22" s="1">
        <v>146140</v>
      </c>
      <c r="K22" s="2">
        <v>0.1</v>
      </c>
      <c r="L22" t="s">
        <v>52</v>
      </c>
      <c r="M22" t="s">
        <v>81</v>
      </c>
      <c r="N22" s="7" t="s">
        <v>21</v>
      </c>
      <c r="O22" s="1">
        <f>TBL_Employees3[[#This Row],[Annual Salary]]+TBL_Employees3[[#This Row],[Bonus %]]*TBL_Employees3[[#This Row],[Annual Salary]]</f>
        <v>160754</v>
      </c>
      <c r="P22" t="str">
        <f>IF(AND(TBL_Employees3[[#This Row],[Department]]="IT",TBL_Employees3[[#This Row],[Gender]]="Female"),"Yes","No")</f>
        <v>No</v>
      </c>
      <c r="Q22" t="str">
        <f>IF(AND(TBL_Employees3[[#This Row],[Gender]]="Female",TBL_Employees3[[#This Row],[Ethnicity]]="Black"), "Female_Black", "Others")</f>
        <v>Others</v>
      </c>
      <c r="T22" t="str">
        <v>E00549</v>
      </c>
      <c r="U22" t="str">
        <v>Enterprise Architect</v>
      </c>
    </row>
    <row r="23" spans="1:27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7">
        <v>44288</v>
      </c>
      <c r="J23" s="1">
        <v>151703</v>
      </c>
      <c r="K23" s="2">
        <v>0.21</v>
      </c>
      <c r="L23" t="s">
        <v>19</v>
      </c>
      <c r="M23" t="s">
        <v>45</v>
      </c>
      <c r="N23" s="7" t="s">
        <v>21</v>
      </c>
      <c r="O23" s="1">
        <f>TBL_Employees3[[#This Row],[Annual Salary]]+TBL_Employees3[[#This Row],[Bonus %]]*TBL_Employees3[[#This Row],[Annual Salary]]</f>
        <v>183560.63</v>
      </c>
      <c r="P23" t="str">
        <f>IF(AND(TBL_Employees3[[#This Row],[Department]]="IT",TBL_Employees3[[#This Row],[Gender]]="Female"),"Yes","No")</f>
        <v>No</v>
      </c>
      <c r="Q23" t="str">
        <f>IF(AND(TBL_Employees3[[#This Row],[Gender]]="Female",TBL_Employees3[[#This Row],[Ethnicity]]="Black"), "Female_Black", "Others")</f>
        <v>Others</v>
      </c>
      <c r="T23" t="str">
        <v>E00163</v>
      </c>
      <c r="U23" t="str">
        <v>Sr. Business Partner</v>
      </c>
    </row>
    <row r="24" spans="1:27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7">
        <v>37400</v>
      </c>
      <c r="J24" s="1">
        <v>172787</v>
      </c>
      <c r="K24" s="2">
        <v>0.28000000000000003</v>
      </c>
      <c r="L24" t="s">
        <v>52</v>
      </c>
      <c r="M24" t="s">
        <v>66</v>
      </c>
      <c r="N24" s="7" t="s">
        <v>21</v>
      </c>
      <c r="O24" s="1">
        <f>TBL_Employees3[[#This Row],[Annual Salary]]+TBL_Employees3[[#This Row],[Bonus %]]*TBL_Employees3[[#This Row],[Annual Salary]]</f>
        <v>221167.36000000002</v>
      </c>
      <c r="P24" t="str">
        <f>IF(AND(TBL_Employees3[[#This Row],[Department]]="IT",TBL_Employees3[[#This Row],[Gender]]="Female"),"Yes","No")</f>
        <v>No</v>
      </c>
      <c r="Q24" t="str">
        <f>IF(AND(TBL_Employees3[[#This Row],[Gender]]="Female",TBL_Employees3[[#This Row],[Ethnicity]]="Black"), "Female_Black", "Others")</f>
        <v>Others</v>
      </c>
      <c r="T24" t="str">
        <v>E00884</v>
      </c>
      <c r="U24" t="str">
        <v>HRIS Analyst</v>
      </c>
    </row>
    <row r="25" spans="1:27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7">
        <v>43713</v>
      </c>
      <c r="J25" s="1">
        <v>49998</v>
      </c>
      <c r="K25" s="2">
        <v>0</v>
      </c>
      <c r="L25" t="s">
        <v>19</v>
      </c>
      <c r="M25" t="s">
        <v>63</v>
      </c>
      <c r="N25" s="7" t="s">
        <v>21</v>
      </c>
      <c r="O25" s="1">
        <f>TBL_Employees3[[#This Row],[Annual Salary]]+TBL_Employees3[[#This Row],[Bonus %]]*TBL_Employees3[[#This Row],[Annual Salary]]</f>
        <v>49998</v>
      </c>
      <c r="P25" t="str">
        <f>IF(AND(TBL_Employees3[[#This Row],[Department]]="IT",TBL_Employees3[[#This Row],[Gender]]="Female"),"Yes","No")</f>
        <v>No</v>
      </c>
      <c r="Q25" t="str">
        <f>IF(AND(TBL_Employees3[[#This Row],[Gender]]="Female",TBL_Employees3[[#This Row],[Ethnicity]]="Black"), "Female_Black", "Others")</f>
        <v>Others</v>
      </c>
      <c r="T25" t="str">
        <v>E04116</v>
      </c>
      <c r="U25" t="str">
        <v>Field Engineer</v>
      </c>
    </row>
    <row r="26" spans="1:27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7">
        <v>41700</v>
      </c>
      <c r="J26" s="1">
        <v>207172</v>
      </c>
      <c r="K26" s="2">
        <v>0.31</v>
      </c>
      <c r="L26" t="s">
        <v>33</v>
      </c>
      <c r="M26" t="s">
        <v>80</v>
      </c>
      <c r="N26" s="7" t="s">
        <v>21</v>
      </c>
      <c r="O26" s="1">
        <f>TBL_Employees3[[#This Row],[Annual Salary]]+TBL_Employees3[[#This Row],[Bonus %]]*TBL_Employees3[[#This Row],[Annual Salary]]</f>
        <v>271395.32</v>
      </c>
      <c r="P26" t="str">
        <f>IF(AND(TBL_Employees3[[#This Row],[Department]]="IT",TBL_Employees3[[#This Row],[Gender]]="Female"),"Yes","No")</f>
        <v>No</v>
      </c>
      <c r="Q26" t="str">
        <f>IF(AND(TBL_Employees3[[#This Row],[Gender]]="Female",TBL_Employees3[[#This Row],[Ethnicity]]="Black"), "Female_Black", "Others")</f>
        <v>Others</v>
      </c>
      <c r="T26" t="str">
        <v>E04625</v>
      </c>
      <c r="U26" t="str">
        <v>Automation Engineer</v>
      </c>
    </row>
    <row r="27" spans="1:27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7">
        <v>42111</v>
      </c>
      <c r="J27" s="1">
        <v>152239</v>
      </c>
      <c r="K27" s="2">
        <v>0.23</v>
      </c>
      <c r="L27" t="s">
        <v>19</v>
      </c>
      <c r="M27" t="s">
        <v>60</v>
      </c>
      <c r="N27" s="7" t="s">
        <v>21</v>
      </c>
      <c r="O27" s="1">
        <f>TBL_Employees3[[#This Row],[Annual Salary]]+TBL_Employees3[[#This Row],[Bonus %]]*TBL_Employees3[[#This Row],[Annual Salary]]</f>
        <v>187253.97</v>
      </c>
      <c r="P27" t="str">
        <f>IF(AND(TBL_Employees3[[#This Row],[Department]]="IT",TBL_Employees3[[#This Row],[Gender]]="Female"),"Yes","No")</f>
        <v>No</v>
      </c>
      <c r="Q27" t="str">
        <f>IF(AND(TBL_Employees3[[#This Row],[Gender]]="Female",TBL_Employees3[[#This Row],[Ethnicity]]="Black"), "Female_Black", "Others")</f>
        <v>Others</v>
      </c>
      <c r="T27" t="str">
        <v>E03680</v>
      </c>
      <c r="U27" t="str">
        <v>Operations Engineer</v>
      </c>
    </row>
    <row r="28" spans="1:27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7">
        <v>38388</v>
      </c>
      <c r="J28" s="1">
        <v>98581</v>
      </c>
      <c r="K28" s="2">
        <v>0</v>
      </c>
      <c r="L28" t="s">
        <v>52</v>
      </c>
      <c r="M28" t="s">
        <v>66</v>
      </c>
      <c r="N28" s="7" t="s">
        <v>21</v>
      </c>
      <c r="O28" s="1">
        <f>TBL_Employees3[[#This Row],[Annual Salary]]+TBL_Employees3[[#This Row],[Bonus %]]*TBL_Employees3[[#This Row],[Annual Salary]]</f>
        <v>98581</v>
      </c>
      <c r="P28" t="str">
        <f>IF(AND(TBL_Employees3[[#This Row],[Department]]="IT",TBL_Employees3[[#This Row],[Gender]]="Female"),"Yes","No")</f>
        <v>No</v>
      </c>
      <c r="Q28" t="str">
        <f>IF(AND(TBL_Employees3[[#This Row],[Gender]]="Female",TBL_Employees3[[#This Row],[Ethnicity]]="Black"), "Female_Black", "Others")</f>
        <v>Others</v>
      </c>
      <c r="T28" t="str">
        <v>E04732</v>
      </c>
      <c r="U28" t="str">
        <v>Business Partner</v>
      </c>
    </row>
    <row r="29" spans="1:27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7">
        <v>38145</v>
      </c>
      <c r="J29" s="1">
        <v>246231</v>
      </c>
      <c r="K29" s="2">
        <v>0.31</v>
      </c>
      <c r="L29" t="s">
        <v>19</v>
      </c>
      <c r="M29" t="s">
        <v>63</v>
      </c>
      <c r="N29" s="7" t="s">
        <v>21</v>
      </c>
      <c r="O29" s="1">
        <f>TBL_Employees3[[#This Row],[Annual Salary]]+TBL_Employees3[[#This Row],[Bonus %]]*TBL_Employees3[[#This Row],[Annual Salary]]</f>
        <v>322562.61</v>
      </c>
      <c r="P29" t="str">
        <f>IF(AND(TBL_Employees3[[#This Row],[Department]]="IT",TBL_Employees3[[#This Row],[Gender]]="Female"),"Yes","No")</f>
        <v>No</v>
      </c>
      <c r="Q29" t="str">
        <f>IF(AND(TBL_Employees3[[#This Row],[Gender]]="Female",TBL_Employees3[[#This Row],[Ethnicity]]="Black"), "Female_Black", "Others")</f>
        <v>Others</v>
      </c>
      <c r="T29" t="str">
        <v>E03484</v>
      </c>
      <c r="U29" t="str">
        <v>Cloud Infrastructure Architect</v>
      </c>
    </row>
    <row r="30" spans="1:27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7">
        <v>35403</v>
      </c>
      <c r="J30" s="1">
        <v>99354</v>
      </c>
      <c r="K30" s="2">
        <v>0.12</v>
      </c>
      <c r="L30" t="s">
        <v>33</v>
      </c>
      <c r="M30" t="s">
        <v>60</v>
      </c>
      <c r="N30" s="7" t="s">
        <v>21</v>
      </c>
      <c r="O30" s="1">
        <f>TBL_Employees3[[#This Row],[Annual Salary]]+TBL_Employees3[[#This Row],[Bonus %]]*TBL_Employees3[[#This Row],[Annual Salary]]</f>
        <v>111276.48</v>
      </c>
      <c r="P30" t="str">
        <f>IF(AND(TBL_Employees3[[#This Row],[Department]]="IT",TBL_Employees3[[#This Row],[Gender]]="Female"),"Yes","No")</f>
        <v>No</v>
      </c>
      <c r="Q30" t="str">
        <f>IF(AND(TBL_Employees3[[#This Row],[Gender]]="Female",TBL_Employees3[[#This Row],[Ethnicity]]="Black"), "Female_Black", "Others")</f>
        <v>Others</v>
      </c>
      <c r="T30" t="str">
        <v>E00671</v>
      </c>
      <c r="U30" t="str">
        <v>Test Engineer</v>
      </c>
    </row>
    <row r="31" spans="1:27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7">
        <v>41040</v>
      </c>
      <c r="J31" s="1">
        <v>231141</v>
      </c>
      <c r="K31" s="2">
        <v>0.34</v>
      </c>
      <c r="L31" t="s">
        <v>33</v>
      </c>
      <c r="M31" t="s">
        <v>60</v>
      </c>
      <c r="N31" s="7" t="s">
        <v>21</v>
      </c>
      <c r="O31" s="1">
        <f>TBL_Employees3[[#This Row],[Annual Salary]]+TBL_Employees3[[#This Row],[Bonus %]]*TBL_Employees3[[#This Row],[Annual Salary]]</f>
        <v>309728.94</v>
      </c>
      <c r="P31" t="str">
        <f>IF(AND(TBL_Employees3[[#This Row],[Department]]="IT",TBL_Employees3[[#This Row],[Gender]]="Female"),"Yes","No")</f>
        <v>No</v>
      </c>
      <c r="Q31" t="str">
        <f>IF(AND(TBL_Employees3[[#This Row],[Gender]]="Female",TBL_Employees3[[#This Row],[Ethnicity]]="Black"), "Female_Black", "Others")</f>
        <v>Others</v>
      </c>
      <c r="T31" t="str">
        <v>E02071</v>
      </c>
      <c r="U31" t="str">
        <v>Network Architect</v>
      </c>
    </row>
    <row r="32" spans="1:27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7">
        <v>42911</v>
      </c>
      <c r="J32" s="1">
        <v>54775</v>
      </c>
      <c r="K32" s="2">
        <v>0</v>
      </c>
      <c r="L32" t="s">
        <v>19</v>
      </c>
      <c r="M32" t="s">
        <v>29</v>
      </c>
      <c r="N32" s="7" t="s">
        <v>21</v>
      </c>
      <c r="O32" s="1">
        <f>TBL_Employees3[[#This Row],[Annual Salary]]+TBL_Employees3[[#This Row],[Bonus %]]*TBL_Employees3[[#This Row],[Annual Salary]]</f>
        <v>54775</v>
      </c>
      <c r="P32" t="str">
        <f>IF(AND(TBL_Employees3[[#This Row],[Department]]="IT",TBL_Employees3[[#This Row],[Gender]]="Female"),"Yes","No")</f>
        <v>No</v>
      </c>
      <c r="Q32" t="str">
        <f>IF(AND(TBL_Employees3[[#This Row],[Gender]]="Female",TBL_Employees3[[#This Row],[Ethnicity]]="Black"), "Female_Black", "Others")</f>
        <v>Others</v>
      </c>
      <c r="T32" t="str">
        <v>E02206</v>
      </c>
      <c r="U32" t="str">
        <v>Network Engineer</v>
      </c>
    </row>
    <row r="33" spans="1:21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7">
        <v>38123</v>
      </c>
      <c r="J33" s="1">
        <v>55499</v>
      </c>
      <c r="K33" s="2">
        <v>0</v>
      </c>
      <c r="L33" t="s">
        <v>52</v>
      </c>
      <c r="M33" t="s">
        <v>81</v>
      </c>
      <c r="N33" s="7" t="s">
        <v>21</v>
      </c>
      <c r="O33" s="1">
        <f>TBL_Employees3[[#This Row],[Annual Salary]]+TBL_Employees3[[#This Row],[Bonus %]]*TBL_Employees3[[#This Row],[Annual Salary]]</f>
        <v>55499</v>
      </c>
      <c r="P33" t="str">
        <f>IF(AND(TBL_Employees3[[#This Row],[Department]]="IT",TBL_Employees3[[#This Row],[Gender]]="Female"),"Yes","No")</f>
        <v>No</v>
      </c>
      <c r="Q33" t="str">
        <f>IF(AND(TBL_Employees3[[#This Row],[Gender]]="Female",TBL_Employees3[[#This Row],[Ethnicity]]="Black"), "Female_Black", "Others")</f>
        <v>Others</v>
      </c>
      <c r="T33" t="str">
        <v>E04545</v>
      </c>
      <c r="U33" t="str">
        <v>Development Engineer</v>
      </c>
    </row>
    <row r="34" spans="1:21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7">
        <v>39640</v>
      </c>
      <c r="J34" s="1">
        <v>66521</v>
      </c>
      <c r="K34" s="2">
        <v>0</v>
      </c>
      <c r="L34" t="s">
        <v>19</v>
      </c>
      <c r="M34" t="s">
        <v>63</v>
      </c>
      <c r="N34" s="7" t="s">
        <v>21</v>
      </c>
      <c r="O34" s="1">
        <f>TBL_Employees3[[#This Row],[Annual Salary]]+TBL_Employees3[[#This Row],[Bonus %]]*TBL_Employees3[[#This Row],[Annual Salary]]</f>
        <v>66521</v>
      </c>
      <c r="P34" t="str">
        <f>IF(AND(TBL_Employees3[[#This Row],[Department]]="IT",TBL_Employees3[[#This Row],[Gender]]="Female"),"Yes","No")</f>
        <v>No</v>
      </c>
      <c r="Q34" t="str">
        <f>IF(AND(TBL_Employees3[[#This Row],[Gender]]="Female",TBL_Employees3[[#This Row],[Ethnicity]]="Black"), "Female_Black", "Others")</f>
        <v>Others</v>
      </c>
      <c r="T34" t="str">
        <v>E00154</v>
      </c>
      <c r="U34" t="str">
        <v>Sr. Account Representative</v>
      </c>
    </row>
    <row r="35" spans="1:21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7">
        <v>42642</v>
      </c>
      <c r="J35" s="1">
        <v>59100</v>
      </c>
      <c r="K35" s="2">
        <v>0</v>
      </c>
      <c r="L35" t="s">
        <v>33</v>
      </c>
      <c r="M35" t="s">
        <v>80</v>
      </c>
      <c r="N35" s="7" t="s">
        <v>21</v>
      </c>
      <c r="O35" s="1">
        <f>TBL_Employees3[[#This Row],[Annual Salary]]+TBL_Employees3[[#This Row],[Bonus %]]*TBL_Employees3[[#This Row],[Annual Salary]]</f>
        <v>59100</v>
      </c>
      <c r="P35" t="str">
        <f>IF(AND(TBL_Employees3[[#This Row],[Department]]="IT",TBL_Employees3[[#This Row],[Gender]]="Female"),"Yes","No")</f>
        <v>No</v>
      </c>
      <c r="Q35" t="str">
        <f>IF(AND(TBL_Employees3[[#This Row],[Gender]]="Female",TBL_Employees3[[#This Row],[Ethnicity]]="Black"), "Female_Black", "Others")</f>
        <v>Others</v>
      </c>
      <c r="T35" t="str">
        <v>E03343</v>
      </c>
      <c r="U35" t="str">
        <v>System Administrator </v>
      </c>
    </row>
    <row r="36" spans="1:21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7">
        <v>43226</v>
      </c>
      <c r="J36" s="1">
        <v>49011</v>
      </c>
      <c r="K36" s="2">
        <v>0</v>
      </c>
      <c r="L36" t="s">
        <v>19</v>
      </c>
      <c r="M36" t="s">
        <v>20</v>
      </c>
      <c r="N36" s="7" t="s">
        <v>21</v>
      </c>
      <c r="O36" s="1">
        <f>TBL_Employees3[[#This Row],[Annual Salary]]+TBL_Employees3[[#This Row],[Bonus %]]*TBL_Employees3[[#This Row],[Annual Salary]]</f>
        <v>49011</v>
      </c>
      <c r="P36" t="str">
        <f>IF(AND(TBL_Employees3[[#This Row],[Department]]="IT",TBL_Employees3[[#This Row],[Gender]]="Female"),"Yes","No")</f>
        <v>No</v>
      </c>
      <c r="Q36" t="str">
        <f>IF(AND(TBL_Employees3[[#This Row],[Gender]]="Female",TBL_Employees3[[#This Row],[Ethnicity]]="Black"), "Female_Black", "Others")</f>
        <v>Others</v>
      </c>
      <c r="T36" t="str">
        <v>E00304</v>
      </c>
      <c r="U36" t="str">
        <v>Systems Analyst</v>
      </c>
    </row>
    <row r="37" spans="1:21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7">
        <v>41681</v>
      </c>
      <c r="J37" s="1">
        <v>99575</v>
      </c>
      <c r="K37" s="2">
        <v>0</v>
      </c>
      <c r="L37" t="s">
        <v>19</v>
      </c>
      <c r="M37" t="s">
        <v>25</v>
      </c>
      <c r="N37" s="7" t="s">
        <v>21</v>
      </c>
      <c r="O37" s="1">
        <f>TBL_Employees3[[#This Row],[Annual Salary]]+TBL_Employees3[[#This Row],[Bonus %]]*TBL_Employees3[[#This Row],[Annual Salary]]</f>
        <v>99575</v>
      </c>
      <c r="P37" t="str">
        <f>IF(AND(TBL_Employees3[[#This Row],[Department]]="IT",TBL_Employees3[[#This Row],[Gender]]="Female"),"Yes","No")</f>
        <v>Yes</v>
      </c>
      <c r="Q37" t="str">
        <f>IF(AND(TBL_Employees3[[#This Row],[Gender]]="Female",TBL_Employees3[[#This Row],[Ethnicity]]="Black"), "Female_Black", "Others")</f>
        <v>Others</v>
      </c>
      <c r="T37" t="str">
        <v>E02594</v>
      </c>
      <c r="U37" t="str">
        <v>Solutions Architect</v>
      </c>
    </row>
    <row r="38" spans="1:21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7">
        <v>43815</v>
      </c>
      <c r="J38" s="1">
        <v>99989</v>
      </c>
      <c r="K38" s="2">
        <v>0</v>
      </c>
      <c r="L38" t="s">
        <v>33</v>
      </c>
      <c r="M38" t="s">
        <v>34</v>
      </c>
      <c r="N38" s="7" t="s">
        <v>21</v>
      </c>
      <c r="O38" s="1">
        <f>TBL_Employees3[[#This Row],[Annual Salary]]+TBL_Employees3[[#This Row],[Bonus %]]*TBL_Employees3[[#This Row],[Annual Salary]]</f>
        <v>99989</v>
      </c>
      <c r="P38" t="str">
        <f>IF(AND(TBL_Employees3[[#This Row],[Department]]="IT",TBL_Employees3[[#This Row],[Gender]]="Female"),"Yes","No")</f>
        <v>No</v>
      </c>
      <c r="Q38" t="str">
        <f>IF(AND(TBL_Employees3[[#This Row],[Gender]]="Female",TBL_Employees3[[#This Row],[Ethnicity]]="Black"), "Female_Black", "Others")</f>
        <v>Others</v>
      </c>
      <c r="T38" t="str">
        <v>E00402</v>
      </c>
      <c r="U38" t="str">
        <v>IT Systems Architect</v>
      </c>
    </row>
    <row r="39" spans="1:21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7">
        <v>43758</v>
      </c>
      <c r="J39" s="1">
        <v>256420</v>
      </c>
      <c r="K39" s="2">
        <v>0.3</v>
      </c>
      <c r="L39" t="s">
        <v>19</v>
      </c>
      <c r="M39" t="s">
        <v>39</v>
      </c>
      <c r="N39" s="7" t="s">
        <v>21</v>
      </c>
      <c r="O39" s="1">
        <f>TBL_Employees3[[#This Row],[Annual Salary]]+TBL_Employees3[[#This Row],[Bonus %]]*TBL_Employees3[[#This Row],[Annual Salary]]</f>
        <v>333346</v>
      </c>
      <c r="P39" t="str">
        <f>IF(AND(TBL_Employees3[[#This Row],[Department]]="IT",TBL_Employees3[[#This Row],[Gender]]="Female"),"Yes","No")</f>
        <v>No</v>
      </c>
      <c r="Q39" t="str">
        <f>IF(AND(TBL_Employees3[[#This Row],[Gender]]="Female",TBL_Employees3[[#This Row],[Ethnicity]]="Black"), "Female_Black", "Others")</f>
        <v>Others</v>
      </c>
      <c r="T39" t="str">
        <v>E01994</v>
      </c>
      <c r="U39" t="str">
        <v>Service Desk Analyst</v>
      </c>
    </row>
    <row r="40" spans="1:21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7">
        <v>41409</v>
      </c>
      <c r="J40" s="1">
        <v>78940</v>
      </c>
      <c r="K40" s="2">
        <v>0</v>
      </c>
      <c r="L40" t="s">
        <v>19</v>
      </c>
      <c r="M40" t="s">
        <v>45</v>
      </c>
      <c r="N40" s="7" t="s">
        <v>21</v>
      </c>
      <c r="O40" s="1">
        <f>TBL_Employees3[[#This Row],[Annual Salary]]+TBL_Employees3[[#This Row],[Bonus %]]*TBL_Employees3[[#This Row],[Annual Salary]]</f>
        <v>78940</v>
      </c>
      <c r="P40" t="str">
        <f>IF(AND(TBL_Employees3[[#This Row],[Department]]="IT",TBL_Employees3[[#This Row],[Gender]]="Female"),"Yes","No")</f>
        <v>Yes</v>
      </c>
      <c r="Q40" t="str">
        <f>IF(AND(TBL_Employees3[[#This Row],[Gender]]="Female",TBL_Employees3[[#This Row],[Ethnicity]]="Black"), "Female_Black", "Others")</f>
        <v>Others</v>
      </c>
      <c r="T40" t="str">
        <v>E03549</v>
      </c>
      <c r="U40" t="str">
        <v>Network Administrator</v>
      </c>
    </row>
    <row r="41" spans="1:21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7">
        <v>34337</v>
      </c>
      <c r="J41" s="1">
        <v>82872</v>
      </c>
      <c r="K41" s="2">
        <v>0</v>
      </c>
      <c r="L41" t="s">
        <v>52</v>
      </c>
      <c r="M41" t="s">
        <v>81</v>
      </c>
      <c r="N41" s="7" t="s">
        <v>21</v>
      </c>
      <c r="O41" s="1">
        <f>TBL_Employees3[[#This Row],[Annual Salary]]+TBL_Employees3[[#This Row],[Bonus %]]*TBL_Employees3[[#This Row],[Annual Salary]]</f>
        <v>82872</v>
      </c>
      <c r="P41" t="str">
        <f>IF(AND(TBL_Employees3[[#This Row],[Department]]="IT",TBL_Employees3[[#This Row],[Gender]]="Female"),"Yes","No")</f>
        <v>Yes</v>
      </c>
      <c r="Q41" t="str">
        <f>IF(AND(TBL_Employees3[[#This Row],[Gender]]="Female",TBL_Employees3[[#This Row],[Ethnicity]]="Black"), "Female_Black", "Others")</f>
        <v>Others</v>
      </c>
      <c r="T41" t="str">
        <v>E03247</v>
      </c>
      <c r="U41">
        <v>0</v>
      </c>
    </row>
    <row r="42" spans="1:21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7">
        <v>42884</v>
      </c>
      <c r="J42" s="1">
        <v>86317</v>
      </c>
      <c r="K42" s="2">
        <v>0</v>
      </c>
      <c r="L42" t="s">
        <v>33</v>
      </c>
      <c r="M42" t="s">
        <v>34</v>
      </c>
      <c r="N42" s="7">
        <v>42932</v>
      </c>
      <c r="O42" s="1">
        <f>TBL_Employees3[[#This Row],[Annual Salary]]+TBL_Employees3[[#This Row],[Bonus %]]*TBL_Employees3[[#This Row],[Annual Salary]]</f>
        <v>86317</v>
      </c>
      <c r="P42" t="str">
        <f>IF(AND(TBL_Employees3[[#This Row],[Department]]="IT",TBL_Employees3[[#This Row],[Gender]]="Female"),"Yes","No")</f>
        <v>No</v>
      </c>
      <c r="Q42" t="str">
        <f>IF(AND(TBL_Employees3[[#This Row],[Gender]]="Female",TBL_Employees3[[#This Row],[Ethnicity]]="Black"), "Female_Black", "Others")</f>
        <v>Others</v>
      </c>
      <c r="T42" t="str">
        <v>E02074</v>
      </c>
    </row>
    <row r="43" spans="1:21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7">
        <v>41601</v>
      </c>
      <c r="J43" s="1">
        <v>113135</v>
      </c>
      <c r="K43" s="2">
        <v>0.05</v>
      </c>
      <c r="L43" t="s">
        <v>19</v>
      </c>
      <c r="M43" t="s">
        <v>25</v>
      </c>
      <c r="N43" s="7" t="s">
        <v>21</v>
      </c>
      <c r="O43" s="1">
        <f>TBL_Employees3[[#This Row],[Annual Salary]]+TBL_Employees3[[#This Row],[Bonus %]]*TBL_Employees3[[#This Row],[Annual Salary]]</f>
        <v>118791.75</v>
      </c>
      <c r="P43" t="str">
        <f>IF(AND(TBL_Employees3[[#This Row],[Department]]="IT",TBL_Employees3[[#This Row],[Gender]]="Female"),"Yes","No")</f>
        <v>No</v>
      </c>
      <c r="Q43" t="str">
        <f>IF(AND(TBL_Employees3[[#This Row],[Gender]]="Female",TBL_Employees3[[#This Row],[Ethnicity]]="Black"), "Female_Black", "Others")</f>
        <v>Others</v>
      </c>
      <c r="T43" t="str">
        <v>E04152</v>
      </c>
    </row>
    <row r="44" spans="1:21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7">
        <v>38664</v>
      </c>
      <c r="J44" s="1">
        <v>199808</v>
      </c>
      <c r="K44" s="2">
        <v>0.32</v>
      </c>
      <c r="L44" t="s">
        <v>19</v>
      </c>
      <c r="M44" t="s">
        <v>63</v>
      </c>
      <c r="N44" s="7" t="s">
        <v>21</v>
      </c>
      <c r="O44" s="1">
        <f>TBL_Employees3[[#This Row],[Annual Salary]]+TBL_Employees3[[#This Row],[Bonus %]]*TBL_Employees3[[#This Row],[Annual Salary]]</f>
        <v>263746.56</v>
      </c>
      <c r="P44" t="str">
        <f>IF(AND(TBL_Employees3[[#This Row],[Department]]="IT",TBL_Employees3[[#This Row],[Gender]]="Female"),"Yes","No")</f>
        <v>No</v>
      </c>
      <c r="Q44" t="str">
        <f>IF(AND(TBL_Employees3[[#This Row],[Gender]]="Female",TBL_Employees3[[#This Row],[Ethnicity]]="Black"), "Female_Black", "Others")</f>
        <v>Others</v>
      </c>
      <c r="T44" t="str">
        <v>E01628</v>
      </c>
    </row>
    <row r="45" spans="1:21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7">
        <v>41592</v>
      </c>
      <c r="J45" s="1">
        <v>56037</v>
      </c>
      <c r="K45" s="2">
        <v>0</v>
      </c>
      <c r="L45" t="s">
        <v>33</v>
      </c>
      <c r="M45" t="s">
        <v>74</v>
      </c>
      <c r="N45" s="7" t="s">
        <v>21</v>
      </c>
      <c r="O45" s="1">
        <f>TBL_Employees3[[#This Row],[Annual Salary]]+TBL_Employees3[[#This Row],[Bonus %]]*TBL_Employees3[[#This Row],[Annual Salary]]</f>
        <v>56037</v>
      </c>
      <c r="P45" t="str">
        <f>IF(AND(TBL_Employees3[[#This Row],[Department]]="IT",TBL_Employees3[[#This Row],[Gender]]="Female"),"Yes","No")</f>
        <v>No</v>
      </c>
      <c r="Q45" t="str">
        <f>IF(AND(TBL_Employees3[[#This Row],[Gender]]="Female",TBL_Employees3[[#This Row],[Ethnicity]]="Black"), "Female_Black", "Others")</f>
        <v>Others</v>
      </c>
      <c r="T45" t="str">
        <v>E04285</v>
      </c>
    </row>
    <row r="46" spans="1:21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7">
        <v>43609</v>
      </c>
      <c r="J46" s="1">
        <v>122350</v>
      </c>
      <c r="K46" s="2">
        <v>0.12</v>
      </c>
      <c r="L46" t="s">
        <v>19</v>
      </c>
      <c r="M46" t="s">
        <v>39</v>
      </c>
      <c r="N46" s="7" t="s">
        <v>21</v>
      </c>
      <c r="O46" s="1">
        <f>TBL_Employees3[[#This Row],[Annual Salary]]+TBL_Employees3[[#This Row],[Bonus %]]*TBL_Employees3[[#This Row],[Annual Salary]]</f>
        <v>137032</v>
      </c>
      <c r="P46" t="str">
        <f>IF(AND(TBL_Employees3[[#This Row],[Department]]="IT",TBL_Employees3[[#This Row],[Gender]]="Female"),"Yes","No")</f>
        <v>No</v>
      </c>
      <c r="Q46" t="str">
        <f>IF(AND(TBL_Employees3[[#This Row],[Gender]]="Female",TBL_Employees3[[#This Row],[Ethnicity]]="Black"), "Female_Black", "Others")</f>
        <v>Others</v>
      </c>
      <c r="T46" t="str">
        <v>E01417</v>
      </c>
    </row>
    <row r="47" spans="1:21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7">
        <v>40486</v>
      </c>
      <c r="J47" s="1">
        <v>92952</v>
      </c>
      <c r="K47" s="2">
        <v>0</v>
      </c>
      <c r="L47" t="s">
        <v>19</v>
      </c>
      <c r="M47" t="s">
        <v>63</v>
      </c>
      <c r="N47" s="7" t="s">
        <v>21</v>
      </c>
      <c r="O47" s="1">
        <f>TBL_Employees3[[#This Row],[Annual Salary]]+TBL_Employees3[[#This Row],[Bonus %]]*TBL_Employees3[[#This Row],[Annual Salary]]</f>
        <v>92952</v>
      </c>
      <c r="P47" t="str">
        <f>IF(AND(TBL_Employees3[[#This Row],[Department]]="IT",TBL_Employees3[[#This Row],[Gender]]="Female"),"Yes","No")</f>
        <v>No</v>
      </c>
      <c r="Q47" t="str">
        <f>IF(AND(TBL_Employees3[[#This Row],[Gender]]="Female",TBL_Employees3[[#This Row],[Ethnicity]]="Black"), "Female_Black", "Others")</f>
        <v>Others</v>
      </c>
      <c r="T47" t="str">
        <v>E01754</v>
      </c>
    </row>
    <row r="48" spans="1:21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7">
        <v>41353</v>
      </c>
      <c r="J48" s="1">
        <v>79921</v>
      </c>
      <c r="K48" s="2">
        <v>0.05</v>
      </c>
      <c r="L48" t="s">
        <v>19</v>
      </c>
      <c r="M48" t="s">
        <v>25</v>
      </c>
      <c r="N48" s="7" t="s">
        <v>21</v>
      </c>
      <c r="O48" s="1">
        <f>TBL_Employees3[[#This Row],[Annual Salary]]+TBL_Employees3[[#This Row],[Bonus %]]*TBL_Employees3[[#This Row],[Annual Salary]]</f>
        <v>83917.05</v>
      </c>
      <c r="P48" t="str">
        <f>IF(AND(TBL_Employees3[[#This Row],[Department]]="IT",TBL_Employees3[[#This Row],[Gender]]="Female"),"Yes","No")</f>
        <v>No</v>
      </c>
      <c r="Q48" t="str">
        <f>IF(AND(TBL_Employees3[[#This Row],[Gender]]="Female",TBL_Employees3[[#This Row],[Ethnicity]]="Black"), "Female_Black", "Others")</f>
        <v>Others</v>
      </c>
      <c r="T48" t="str">
        <v>E03749</v>
      </c>
    </row>
    <row r="49" spans="1:20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7">
        <v>40076</v>
      </c>
      <c r="J49" s="1">
        <v>167199</v>
      </c>
      <c r="K49" s="2">
        <v>0.2</v>
      </c>
      <c r="L49" t="s">
        <v>19</v>
      </c>
      <c r="M49" t="s">
        <v>63</v>
      </c>
      <c r="N49" s="7" t="s">
        <v>21</v>
      </c>
      <c r="O49" s="1">
        <f>TBL_Employees3[[#This Row],[Annual Salary]]+TBL_Employees3[[#This Row],[Bonus %]]*TBL_Employees3[[#This Row],[Annual Salary]]</f>
        <v>200638.8</v>
      </c>
      <c r="P49" t="str">
        <f>IF(AND(TBL_Employees3[[#This Row],[Department]]="IT",TBL_Employees3[[#This Row],[Gender]]="Female"),"Yes","No")</f>
        <v>Yes</v>
      </c>
      <c r="Q49" t="str">
        <f>IF(AND(TBL_Employees3[[#This Row],[Gender]]="Female",TBL_Employees3[[#This Row],[Ethnicity]]="Black"), "Female_Black", "Others")</f>
        <v>Female_Black</v>
      </c>
      <c r="T49" t="str">
        <v>E03574</v>
      </c>
    </row>
    <row r="50" spans="1:20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7">
        <v>41199</v>
      </c>
      <c r="J50" s="1">
        <v>71476</v>
      </c>
      <c r="K50" s="2">
        <v>0</v>
      </c>
      <c r="L50" t="s">
        <v>19</v>
      </c>
      <c r="M50" t="s">
        <v>39</v>
      </c>
      <c r="N50" s="7" t="s">
        <v>21</v>
      </c>
      <c r="O50" s="1">
        <f>TBL_Employees3[[#This Row],[Annual Salary]]+TBL_Employees3[[#This Row],[Bonus %]]*TBL_Employees3[[#This Row],[Annual Salary]]</f>
        <v>71476</v>
      </c>
      <c r="P50" t="str">
        <f>IF(AND(TBL_Employees3[[#This Row],[Department]]="IT",TBL_Employees3[[#This Row],[Gender]]="Female"),"Yes","No")</f>
        <v>No</v>
      </c>
      <c r="Q50" t="str">
        <f>IF(AND(TBL_Employees3[[#This Row],[Gender]]="Female",TBL_Employees3[[#This Row],[Ethnicity]]="Black"), "Female_Black", "Others")</f>
        <v>Others</v>
      </c>
      <c r="T50" t="str">
        <v>E04600</v>
      </c>
    </row>
    <row r="51" spans="1:20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7">
        <v>41941</v>
      </c>
      <c r="J51" s="1">
        <v>189420</v>
      </c>
      <c r="K51" s="2">
        <v>0.2</v>
      </c>
      <c r="L51" t="s">
        <v>19</v>
      </c>
      <c r="M51" t="s">
        <v>63</v>
      </c>
      <c r="N51" s="7" t="s">
        <v>21</v>
      </c>
      <c r="O51" s="1">
        <f>TBL_Employees3[[#This Row],[Annual Salary]]+TBL_Employees3[[#This Row],[Bonus %]]*TBL_Employees3[[#This Row],[Annual Salary]]</f>
        <v>227304</v>
      </c>
      <c r="P51" t="str">
        <f>IF(AND(TBL_Employees3[[#This Row],[Department]]="IT",TBL_Employees3[[#This Row],[Gender]]="Female"),"Yes","No")</f>
        <v>No</v>
      </c>
      <c r="Q51" t="str">
        <f>IF(AND(TBL_Employees3[[#This Row],[Gender]]="Female",TBL_Employees3[[#This Row],[Ethnicity]]="Black"), "Female_Black", "Others")</f>
        <v>Others</v>
      </c>
      <c r="T51" t="str">
        <v>E00586</v>
      </c>
    </row>
    <row r="52" spans="1:20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7">
        <v>37184</v>
      </c>
      <c r="J52" s="1">
        <v>64057</v>
      </c>
      <c r="K52" s="2">
        <v>0</v>
      </c>
      <c r="L52" t="s">
        <v>19</v>
      </c>
      <c r="M52" t="s">
        <v>39</v>
      </c>
      <c r="N52" s="7" t="s">
        <v>21</v>
      </c>
      <c r="O52" s="1">
        <f>TBL_Employees3[[#This Row],[Annual Salary]]+TBL_Employees3[[#This Row],[Bonus %]]*TBL_Employees3[[#This Row],[Annual Salary]]</f>
        <v>64057</v>
      </c>
      <c r="P52" t="str">
        <f>IF(AND(TBL_Employees3[[#This Row],[Department]]="IT",TBL_Employees3[[#This Row],[Gender]]="Female"),"Yes","No")</f>
        <v>No</v>
      </c>
      <c r="Q52" t="str">
        <f>IF(AND(TBL_Employees3[[#This Row],[Gender]]="Female",TBL_Employees3[[#This Row],[Ethnicity]]="Black"), "Female_Black", "Others")</f>
        <v>Others</v>
      </c>
      <c r="T52" t="str">
        <v>E03538</v>
      </c>
    </row>
    <row r="53" spans="1:20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7">
        <v>44460</v>
      </c>
      <c r="J53" s="1">
        <v>68728</v>
      </c>
      <c r="K53" s="2">
        <v>0</v>
      </c>
      <c r="L53" t="s">
        <v>19</v>
      </c>
      <c r="M53" t="s">
        <v>39</v>
      </c>
      <c r="N53" s="7" t="s">
        <v>21</v>
      </c>
      <c r="O53" s="1">
        <f>TBL_Employees3[[#This Row],[Annual Salary]]+TBL_Employees3[[#This Row],[Bonus %]]*TBL_Employees3[[#This Row],[Annual Salary]]</f>
        <v>68728</v>
      </c>
      <c r="P53" t="str">
        <f>IF(AND(TBL_Employees3[[#This Row],[Department]]="IT",TBL_Employees3[[#This Row],[Gender]]="Female"),"Yes","No")</f>
        <v>No</v>
      </c>
      <c r="Q53" t="str">
        <f>IF(AND(TBL_Employees3[[#This Row],[Gender]]="Female",TBL_Employees3[[#This Row],[Ethnicity]]="Black"), "Female_Black", "Others")</f>
        <v>Female_Black</v>
      </c>
      <c r="T53" t="str">
        <v>E02185</v>
      </c>
    </row>
    <row r="54" spans="1:20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7">
        <v>44379</v>
      </c>
      <c r="J54" s="1">
        <v>125633</v>
      </c>
      <c r="K54" s="2">
        <v>0.11</v>
      </c>
      <c r="L54" t="s">
        <v>33</v>
      </c>
      <c r="M54" t="s">
        <v>60</v>
      </c>
      <c r="N54" s="7" t="s">
        <v>21</v>
      </c>
      <c r="O54" s="1">
        <f>TBL_Employees3[[#This Row],[Annual Salary]]+TBL_Employees3[[#This Row],[Bonus %]]*TBL_Employees3[[#This Row],[Annual Salary]]</f>
        <v>139452.63</v>
      </c>
      <c r="P54" t="str">
        <f>IF(AND(TBL_Employees3[[#This Row],[Department]]="IT",TBL_Employees3[[#This Row],[Gender]]="Female"),"Yes","No")</f>
        <v>Yes</v>
      </c>
      <c r="Q54" t="str">
        <f>IF(AND(TBL_Employees3[[#This Row],[Gender]]="Female",TBL_Employees3[[#This Row],[Ethnicity]]="Black"), "Female_Black", "Others")</f>
        <v>Others</v>
      </c>
      <c r="T54" t="str">
        <v>E03830</v>
      </c>
    </row>
    <row r="55" spans="1:20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7">
        <v>40678</v>
      </c>
      <c r="J55" s="1">
        <v>66889</v>
      </c>
      <c r="K55" s="2">
        <v>0</v>
      </c>
      <c r="L55" t="s">
        <v>19</v>
      </c>
      <c r="M55" t="s">
        <v>29</v>
      </c>
      <c r="N55" s="7" t="s">
        <v>21</v>
      </c>
      <c r="O55" s="1">
        <f>TBL_Employees3[[#This Row],[Annual Salary]]+TBL_Employees3[[#This Row],[Bonus %]]*TBL_Employees3[[#This Row],[Annual Salary]]</f>
        <v>66889</v>
      </c>
      <c r="P55" t="str">
        <f>IF(AND(TBL_Employees3[[#This Row],[Department]]="IT",TBL_Employees3[[#This Row],[Gender]]="Female"),"Yes","No")</f>
        <v>No</v>
      </c>
      <c r="Q55" t="str">
        <f>IF(AND(TBL_Employees3[[#This Row],[Gender]]="Female",TBL_Employees3[[#This Row],[Ethnicity]]="Black"), "Female_Black", "Others")</f>
        <v>Others</v>
      </c>
      <c r="T55" t="str">
        <v>E03720</v>
      </c>
    </row>
    <row r="56" spans="1:20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7">
        <v>42276</v>
      </c>
      <c r="J56" s="1">
        <v>178700</v>
      </c>
      <c r="K56" s="2">
        <v>0.28999999999999998</v>
      </c>
      <c r="L56" t="s">
        <v>19</v>
      </c>
      <c r="M56" t="s">
        <v>63</v>
      </c>
      <c r="N56" s="7" t="s">
        <v>21</v>
      </c>
      <c r="O56" s="1">
        <f>TBL_Employees3[[#This Row],[Annual Salary]]+TBL_Employees3[[#This Row],[Bonus %]]*TBL_Employees3[[#This Row],[Annual Salary]]</f>
        <v>230523</v>
      </c>
      <c r="P56" t="str">
        <f>IF(AND(TBL_Employees3[[#This Row],[Department]]="IT",TBL_Employees3[[#This Row],[Gender]]="Female"),"Yes","No")</f>
        <v>No</v>
      </c>
      <c r="Q56" t="str">
        <f>IF(AND(TBL_Employees3[[#This Row],[Gender]]="Female",TBL_Employees3[[#This Row],[Ethnicity]]="Black"), "Female_Black", "Others")</f>
        <v>Others</v>
      </c>
      <c r="T56" t="str">
        <v>E03025</v>
      </c>
    </row>
    <row r="57" spans="1:20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7">
        <v>43456</v>
      </c>
      <c r="J57" s="1">
        <v>83990</v>
      </c>
      <c r="K57" s="2">
        <v>0</v>
      </c>
      <c r="L57" t="s">
        <v>19</v>
      </c>
      <c r="M57" t="s">
        <v>20</v>
      </c>
      <c r="N57" s="7" t="s">
        <v>21</v>
      </c>
      <c r="O57" s="1">
        <f>TBL_Employees3[[#This Row],[Annual Salary]]+TBL_Employees3[[#This Row],[Bonus %]]*TBL_Employees3[[#This Row],[Annual Salary]]</f>
        <v>83990</v>
      </c>
      <c r="P57" t="str">
        <f>IF(AND(TBL_Employees3[[#This Row],[Department]]="IT",TBL_Employees3[[#This Row],[Gender]]="Female"),"Yes","No")</f>
        <v>No</v>
      </c>
      <c r="Q57" t="str">
        <f>IF(AND(TBL_Employees3[[#This Row],[Gender]]="Female",TBL_Employees3[[#This Row],[Ethnicity]]="Black"), "Female_Black", "Others")</f>
        <v>Others</v>
      </c>
      <c r="T57" t="str">
        <v>E04917</v>
      </c>
    </row>
    <row r="58" spans="1:20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7">
        <v>38696</v>
      </c>
      <c r="J58" s="1">
        <v>102043</v>
      </c>
      <c r="K58" s="2">
        <v>0</v>
      </c>
      <c r="L58" t="s">
        <v>19</v>
      </c>
      <c r="M58" t="s">
        <v>20</v>
      </c>
      <c r="N58" s="7" t="s">
        <v>21</v>
      </c>
      <c r="O58" s="1">
        <f>TBL_Employees3[[#This Row],[Annual Salary]]+TBL_Employees3[[#This Row],[Bonus %]]*TBL_Employees3[[#This Row],[Annual Salary]]</f>
        <v>102043</v>
      </c>
      <c r="P58" t="str">
        <f>IF(AND(TBL_Employees3[[#This Row],[Department]]="IT",TBL_Employees3[[#This Row],[Gender]]="Female"),"Yes","No")</f>
        <v>No</v>
      </c>
      <c r="Q58" t="str">
        <f>IF(AND(TBL_Employees3[[#This Row],[Gender]]="Female",TBL_Employees3[[#This Row],[Ethnicity]]="Black"), "Female_Black", "Others")</f>
        <v>Others</v>
      </c>
      <c r="T58" t="str">
        <v>E00415</v>
      </c>
    </row>
    <row r="59" spans="1:20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7">
        <v>37041</v>
      </c>
      <c r="J59" s="1">
        <v>90678</v>
      </c>
      <c r="K59" s="2">
        <v>0</v>
      </c>
      <c r="L59" t="s">
        <v>19</v>
      </c>
      <c r="M59" t="s">
        <v>29</v>
      </c>
      <c r="N59" s="7" t="s">
        <v>21</v>
      </c>
      <c r="O59" s="1">
        <f>TBL_Employees3[[#This Row],[Annual Salary]]+TBL_Employees3[[#This Row],[Bonus %]]*TBL_Employees3[[#This Row],[Annual Salary]]</f>
        <v>90678</v>
      </c>
      <c r="P59" t="str">
        <f>IF(AND(TBL_Employees3[[#This Row],[Department]]="IT",TBL_Employees3[[#This Row],[Gender]]="Female"),"Yes","No")</f>
        <v>No</v>
      </c>
      <c r="Q59" t="str">
        <f>IF(AND(TBL_Employees3[[#This Row],[Gender]]="Female",TBL_Employees3[[#This Row],[Ethnicity]]="Black"), "Female_Black", "Others")</f>
        <v>Others</v>
      </c>
      <c r="T59" t="str">
        <v>E02862</v>
      </c>
    </row>
    <row r="60" spans="1:20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7">
        <v>39681</v>
      </c>
      <c r="J60" s="1">
        <v>59067</v>
      </c>
      <c r="K60" s="2">
        <v>0</v>
      </c>
      <c r="L60" t="s">
        <v>19</v>
      </c>
      <c r="M60" t="s">
        <v>45</v>
      </c>
      <c r="N60" s="7" t="s">
        <v>21</v>
      </c>
      <c r="O60" s="1">
        <f>TBL_Employees3[[#This Row],[Annual Salary]]+TBL_Employees3[[#This Row],[Bonus %]]*TBL_Employees3[[#This Row],[Annual Salary]]</f>
        <v>59067</v>
      </c>
      <c r="P60" t="str">
        <f>IF(AND(TBL_Employees3[[#This Row],[Department]]="IT",TBL_Employees3[[#This Row],[Gender]]="Female"),"Yes","No")</f>
        <v>No</v>
      </c>
      <c r="Q60" t="str">
        <f>IF(AND(TBL_Employees3[[#This Row],[Gender]]="Female",TBL_Employees3[[#This Row],[Ethnicity]]="Black"), "Female_Black", "Others")</f>
        <v>Female_Black</v>
      </c>
      <c r="T60" t="str">
        <v>E04207</v>
      </c>
    </row>
    <row r="61" spans="1:20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7">
        <v>44266</v>
      </c>
      <c r="J61" s="1">
        <v>135062</v>
      </c>
      <c r="K61" s="2">
        <v>0.15</v>
      </c>
      <c r="L61" t="s">
        <v>33</v>
      </c>
      <c r="M61" t="s">
        <v>34</v>
      </c>
      <c r="N61" s="7" t="s">
        <v>21</v>
      </c>
      <c r="O61" s="1">
        <f>TBL_Employees3[[#This Row],[Annual Salary]]+TBL_Employees3[[#This Row],[Bonus %]]*TBL_Employees3[[#This Row],[Annual Salary]]</f>
        <v>155321.29999999999</v>
      </c>
      <c r="P61" t="str">
        <f>IF(AND(TBL_Employees3[[#This Row],[Department]]="IT",TBL_Employees3[[#This Row],[Gender]]="Female"),"Yes","No")</f>
        <v>No</v>
      </c>
      <c r="Q61" t="str">
        <f>IF(AND(TBL_Employees3[[#This Row],[Gender]]="Female",TBL_Employees3[[#This Row],[Ethnicity]]="Black"), "Female_Black", "Others")</f>
        <v>Others</v>
      </c>
      <c r="T61" t="str">
        <v>E02139</v>
      </c>
    </row>
    <row r="62" spans="1:20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7">
        <v>38945</v>
      </c>
      <c r="J62" s="1">
        <v>159044</v>
      </c>
      <c r="K62" s="2">
        <v>0.1</v>
      </c>
      <c r="L62" t="s">
        <v>52</v>
      </c>
      <c r="M62" t="s">
        <v>81</v>
      </c>
      <c r="N62" s="7" t="s">
        <v>21</v>
      </c>
      <c r="O62" s="1">
        <f>TBL_Employees3[[#This Row],[Annual Salary]]+TBL_Employees3[[#This Row],[Bonus %]]*TBL_Employees3[[#This Row],[Annual Salary]]</f>
        <v>174948.4</v>
      </c>
      <c r="P62" t="str">
        <f>IF(AND(TBL_Employees3[[#This Row],[Department]]="IT",TBL_Employees3[[#This Row],[Gender]]="Female"),"Yes","No")</f>
        <v>Yes</v>
      </c>
      <c r="Q62" t="str">
        <f>IF(AND(TBL_Employees3[[#This Row],[Gender]]="Female",TBL_Employees3[[#This Row],[Ethnicity]]="Black"), "Female_Black", "Others")</f>
        <v>Others</v>
      </c>
      <c r="T62" t="str">
        <v>E01797</v>
      </c>
    </row>
    <row r="63" spans="1:20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7">
        <v>43467</v>
      </c>
      <c r="J63" s="1">
        <v>74691</v>
      </c>
      <c r="K63" s="2">
        <v>0</v>
      </c>
      <c r="L63" t="s">
        <v>52</v>
      </c>
      <c r="M63" t="s">
        <v>81</v>
      </c>
      <c r="N63" s="7">
        <v>44020</v>
      </c>
      <c r="O63" s="1">
        <f>TBL_Employees3[[#This Row],[Annual Salary]]+TBL_Employees3[[#This Row],[Bonus %]]*TBL_Employees3[[#This Row],[Annual Salary]]</f>
        <v>74691</v>
      </c>
      <c r="P63" t="str">
        <f>IF(AND(TBL_Employees3[[#This Row],[Department]]="IT",TBL_Employees3[[#This Row],[Gender]]="Female"),"Yes","No")</f>
        <v>No</v>
      </c>
      <c r="Q63" t="str">
        <f>IF(AND(TBL_Employees3[[#This Row],[Gender]]="Female",TBL_Employees3[[#This Row],[Ethnicity]]="Black"), "Female_Black", "Others")</f>
        <v>Others</v>
      </c>
      <c r="T63" t="str">
        <v>E01839</v>
      </c>
    </row>
    <row r="64" spans="1:20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7">
        <v>39800</v>
      </c>
      <c r="J64" s="1">
        <v>92753</v>
      </c>
      <c r="K64" s="2">
        <v>0.13</v>
      </c>
      <c r="L64" t="s">
        <v>19</v>
      </c>
      <c r="M64" t="s">
        <v>25</v>
      </c>
      <c r="N64" s="7">
        <v>44371</v>
      </c>
      <c r="O64" s="1">
        <f>TBL_Employees3[[#This Row],[Annual Salary]]+TBL_Employees3[[#This Row],[Bonus %]]*TBL_Employees3[[#This Row],[Annual Salary]]</f>
        <v>104810.89</v>
      </c>
      <c r="P64" t="str">
        <f>IF(AND(TBL_Employees3[[#This Row],[Department]]="IT",TBL_Employees3[[#This Row],[Gender]]="Female"),"Yes","No")</f>
        <v>No</v>
      </c>
      <c r="Q64" t="str">
        <f>IF(AND(TBL_Employees3[[#This Row],[Gender]]="Female",TBL_Employees3[[#This Row],[Ethnicity]]="Black"), "Female_Black", "Others")</f>
        <v>Others</v>
      </c>
      <c r="T64" t="str">
        <v>E01633</v>
      </c>
    </row>
    <row r="65" spans="1:20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7">
        <v>41493</v>
      </c>
      <c r="J65" s="1">
        <v>236946</v>
      </c>
      <c r="K65" s="2">
        <v>0.37</v>
      </c>
      <c r="L65" t="s">
        <v>19</v>
      </c>
      <c r="M65" t="s">
        <v>63</v>
      </c>
      <c r="N65" s="7" t="s">
        <v>21</v>
      </c>
      <c r="O65" s="1">
        <f>TBL_Employees3[[#This Row],[Annual Salary]]+TBL_Employees3[[#This Row],[Bonus %]]*TBL_Employees3[[#This Row],[Annual Salary]]</f>
        <v>324616.02</v>
      </c>
      <c r="P65" t="str">
        <f>IF(AND(TBL_Employees3[[#This Row],[Department]]="IT",TBL_Employees3[[#This Row],[Gender]]="Female"),"Yes","No")</f>
        <v>No</v>
      </c>
      <c r="Q65" t="str">
        <f>IF(AND(TBL_Employees3[[#This Row],[Gender]]="Female",TBL_Employees3[[#This Row],[Ethnicity]]="Black"), "Female_Black", "Others")</f>
        <v>Others</v>
      </c>
      <c r="T65" t="str">
        <v>E01848</v>
      </c>
    </row>
    <row r="66" spans="1:20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7">
        <v>44435</v>
      </c>
      <c r="J66" s="1">
        <v>48906</v>
      </c>
      <c r="K66" s="2">
        <v>0</v>
      </c>
      <c r="L66" t="s">
        <v>19</v>
      </c>
      <c r="M66" t="s">
        <v>45</v>
      </c>
      <c r="N66" s="7" t="s">
        <v>21</v>
      </c>
      <c r="O66" s="1">
        <f>TBL_Employees3[[#This Row],[Annual Salary]]+TBL_Employees3[[#This Row],[Bonus %]]*TBL_Employees3[[#This Row],[Annual Salary]]</f>
        <v>48906</v>
      </c>
      <c r="P66" t="str">
        <f>IF(AND(TBL_Employees3[[#This Row],[Department]]="IT",TBL_Employees3[[#This Row],[Gender]]="Female"),"Yes","No")</f>
        <v>No</v>
      </c>
      <c r="Q66" t="str">
        <f>IF(AND(TBL_Employees3[[#This Row],[Gender]]="Female",TBL_Employees3[[#This Row],[Ethnicity]]="Black"), "Female_Black", "Others")</f>
        <v>Female_Black</v>
      </c>
      <c r="T66" t="str">
        <v>E00716</v>
      </c>
    </row>
    <row r="67" spans="1:20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7">
        <v>39474</v>
      </c>
      <c r="J67" s="1">
        <v>80024</v>
      </c>
      <c r="K67" s="2">
        <v>0</v>
      </c>
      <c r="L67" t="s">
        <v>19</v>
      </c>
      <c r="M67" t="s">
        <v>29</v>
      </c>
      <c r="N67" s="7" t="s">
        <v>21</v>
      </c>
      <c r="O67" s="1">
        <f>TBL_Employees3[[#This Row],[Annual Salary]]+TBL_Employees3[[#This Row],[Bonus %]]*TBL_Employees3[[#This Row],[Annual Salary]]</f>
        <v>80024</v>
      </c>
      <c r="P67" t="str">
        <f>IF(AND(TBL_Employees3[[#This Row],[Department]]="IT",TBL_Employees3[[#This Row],[Gender]]="Female"),"Yes","No")</f>
        <v>No</v>
      </c>
      <c r="Q67" t="str">
        <f>IF(AND(TBL_Employees3[[#This Row],[Gender]]="Female",TBL_Employees3[[#This Row],[Ethnicity]]="Black"), "Female_Black", "Others")</f>
        <v>Others</v>
      </c>
      <c r="T67" t="str">
        <v>E00699</v>
      </c>
    </row>
    <row r="68" spans="1:20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7">
        <v>40109</v>
      </c>
      <c r="J68" s="1">
        <v>54415</v>
      </c>
      <c r="K68" s="2">
        <v>0</v>
      </c>
      <c r="L68" t="s">
        <v>19</v>
      </c>
      <c r="M68" t="s">
        <v>63</v>
      </c>
      <c r="N68" s="7">
        <v>41661</v>
      </c>
      <c r="O68" s="1">
        <f>TBL_Employees3[[#This Row],[Annual Salary]]+TBL_Employees3[[#This Row],[Bonus %]]*TBL_Employees3[[#This Row],[Annual Salary]]</f>
        <v>54415</v>
      </c>
      <c r="P68" t="str">
        <f>IF(AND(TBL_Employees3[[#This Row],[Department]]="IT",TBL_Employees3[[#This Row],[Gender]]="Female"),"Yes","No")</f>
        <v>No</v>
      </c>
      <c r="Q68" t="str">
        <f>IF(AND(TBL_Employees3[[#This Row],[Gender]]="Female",TBL_Employees3[[#This Row],[Ethnicity]]="Black"), "Female_Black", "Others")</f>
        <v>Others</v>
      </c>
      <c r="T68" t="str">
        <v>E00502</v>
      </c>
    </row>
    <row r="69" spans="1:20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7">
        <v>42484</v>
      </c>
      <c r="J69" s="1">
        <v>120341</v>
      </c>
      <c r="K69" s="2">
        <v>7.0000000000000007E-2</v>
      </c>
      <c r="L69" t="s">
        <v>19</v>
      </c>
      <c r="M69" t="s">
        <v>63</v>
      </c>
      <c r="N69" s="7" t="s">
        <v>21</v>
      </c>
      <c r="O69" s="1">
        <f>TBL_Employees3[[#This Row],[Annual Salary]]+TBL_Employees3[[#This Row],[Bonus %]]*TBL_Employees3[[#This Row],[Annual Salary]]</f>
        <v>128764.87</v>
      </c>
      <c r="P69" t="str">
        <f>IF(AND(TBL_Employees3[[#This Row],[Department]]="IT",TBL_Employees3[[#This Row],[Gender]]="Female"),"Yes","No")</f>
        <v>No</v>
      </c>
      <c r="Q69" t="str">
        <f>IF(AND(TBL_Employees3[[#This Row],[Gender]]="Female",TBL_Employees3[[#This Row],[Ethnicity]]="Black"), "Female_Black", "Others")</f>
        <v>Others</v>
      </c>
      <c r="T69" t="str">
        <v>E04000</v>
      </c>
    </row>
    <row r="70" spans="1:20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7">
        <v>40029</v>
      </c>
      <c r="J70" s="1">
        <v>208415</v>
      </c>
      <c r="K70" s="2">
        <v>0.35</v>
      </c>
      <c r="L70" t="s">
        <v>19</v>
      </c>
      <c r="M70" t="s">
        <v>63</v>
      </c>
      <c r="N70" s="7" t="s">
        <v>21</v>
      </c>
      <c r="O70" s="1">
        <f>TBL_Employees3[[#This Row],[Annual Salary]]+TBL_Employees3[[#This Row],[Bonus %]]*TBL_Employees3[[#This Row],[Annual Salary]]</f>
        <v>281360.25</v>
      </c>
      <c r="P70" t="str">
        <f>IF(AND(TBL_Employees3[[#This Row],[Department]]="IT",TBL_Employees3[[#This Row],[Gender]]="Female"),"Yes","No")</f>
        <v>Yes</v>
      </c>
      <c r="Q70" t="str">
        <f>IF(AND(TBL_Employees3[[#This Row],[Gender]]="Female",TBL_Employees3[[#This Row],[Ethnicity]]="Black"), "Female_Black", "Others")</f>
        <v>Others</v>
      </c>
      <c r="T70" t="str">
        <v>E02112</v>
      </c>
    </row>
    <row r="71" spans="1:20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t="s">
        <v>19</v>
      </c>
      <c r="M71" t="s">
        <v>63</v>
      </c>
      <c r="N71" s="7" t="s">
        <v>21</v>
      </c>
      <c r="O71" s="1">
        <f>TBL_Employees3[[#This Row],[Annual Salary]]+TBL_Employees3[[#This Row],[Bonus %]]*TBL_Employees3[[#This Row],[Annual Salary]]</f>
        <v>78844</v>
      </c>
      <c r="P71" t="str">
        <f>IF(AND(TBL_Employees3[[#This Row],[Department]]="IT",TBL_Employees3[[#This Row],[Gender]]="Female"),"Yes","No")</f>
        <v>Yes</v>
      </c>
      <c r="Q71" t="str">
        <f>IF(AND(TBL_Employees3[[#This Row],[Gender]]="Female",TBL_Employees3[[#This Row],[Ethnicity]]="Black"), "Female_Black", "Others")</f>
        <v>Others</v>
      </c>
      <c r="T71" t="str">
        <v>E03824</v>
      </c>
    </row>
    <row r="72" spans="1:20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7">
        <v>37399</v>
      </c>
      <c r="J72" s="1">
        <v>76354</v>
      </c>
      <c r="K72" s="2">
        <v>0</v>
      </c>
      <c r="L72" t="s">
        <v>19</v>
      </c>
      <c r="M72" t="s">
        <v>39</v>
      </c>
      <c r="N72" s="7">
        <v>44465</v>
      </c>
      <c r="O72" s="1">
        <f>TBL_Employees3[[#This Row],[Annual Salary]]+TBL_Employees3[[#This Row],[Bonus %]]*TBL_Employees3[[#This Row],[Annual Salary]]</f>
        <v>76354</v>
      </c>
      <c r="P72" t="str">
        <f>IF(AND(TBL_Employees3[[#This Row],[Department]]="IT",TBL_Employees3[[#This Row],[Gender]]="Female"),"Yes","No")</f>
        <v>No</v>
      </c>
      <c r="Q72" t="str">
        <f>IF(AND(TBL_Employees3[[#This Row],[Gender]]="Female",TBL_Employees3[[#This Row],[Ethnicity]]="Black"), "Female_Black", "Others")</f>
        <v>Others</v>
      </c>
      <c r="T72" t="str">
        <v>E03906</v>
      </c>
    </row>
    <row r="73" spans="1:20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7">
        <v>43493</v>
      </c>
      <c r="J73" s="1">
        <v>165927</v>
      </c>
      <c r="K73" s="2">
        <v>0.2</v>
      </c>
      <c r="L73" t="s">
        <v>19</v>
      </c>
      <c r="M73" t="s">
        <v>39</v>
      </c>
      <c r="N73" s="7" t="s">
        <v>21</v>
      </c>
      <c r="O73" s="1">
        <f>TBL_Employees3[[#This Row],[Annual Salary]]+TBL_Employees3[[#This Row],[Bonus %]]*TBL_Employees3[[#This Row],[Annual Salary]]</f>
        <v>199112.4</v>
      </c>
      <c r="P73" t="str">
        <f>IF(AND(TBL_Employees3[[#This Row],[Department]]="IT",TBL_Employees3[[#This Row],[Gender]]="Female"),"Yes","No")</f>
        <v>No</v>
      </c>
      <c r="Q73" t="str">
        <f>IF(AND(TBL_Employees3[[#This Row],[Gender]]="Female",TBL_Employees3[[#This Row],[Ethnicity]]="Black"), "Female_Black", "Others")</f>
        <v>Others</v>
      </c>
      <c r="T73" t="str">
        <v>E00436</v>
      </c>
    </row>
    <row r="74" spans="1:20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7">
        <v>44516</v>
      </c>
      <c r="J74" s="1">
        <v>109812</v>
      </c>
      <c r="K74" s="2">
        <v>0.09</v>
      </c>
      <c r="L74" t="s">
        <v>52</v>
      </c>
      <c r="M74" t="s">
        <v>81</v>
      </c>
      <c r="N74" s="7" t="s">
        <v>21</v>
      </c>
      <c r="O74" s="1">
        <f>TBL_Employees3[[#This Row],[Annual Salary]]+TBL_Employees3[[#This Row],[Bonus %]]*TBL_Employees3[[#This Row],[Annual Salary]]</f>
        <v>119695.08</v>
      </c>
      <c r="P74" t="str">
        <f>IF(AND(TBL_Employees3[[#This Row],[Department]]="IT",TBL_Employees3[[#This Row],[Gender]]="Female"),"Yes","No")</f>
        <v>No</v>
      </c>
      <c r="Q74" t="str">
        <f>IF(AND(TBL_Employees3[[#This Row],[Gender]]="Female",TBL_Employees3[[#This Row],[Ethnicity]]="Black"), "Female_Black", "Others")</f>
        <v>Others</v>
      </c>
      <c r="T74" t="str">
        <v>E04798</v>
      </c>
    </row>
    <row r="75" spans="1:20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7">
        <v>36041</v>
      </c>
      <c r="J75" s="1">
        <v>86299</v>
      </c>
      <c r="K75" s="2">
        <v>0</v>
      </c>
      <c r="L75" t="s">
        <v>19</v>
      </c>
      <c r="M75" t="s">
        <v>63</v>
      </c>
      <c r="N75" s="7" t="s">
        <v>21</v>
      </c>
      <c r="O75" s="1">
        <f>TBL_Employees3[[#This Row],[Annual Salary]]+TBL_Employees3[[#This Row],[Bonus %]]*TBL_Employees3[[#This Row],[Annual Salary]]</f>
        <v>86299</v>
      </c>
      <c r="P75" t="str">
        <f>IF(AND(TBL_Employees3[[#This Row],[Department]]="IT",TBL_Employees3[[#This Row],[Gender]]="Female"),"Yes","No")</f>
        <v>No</v>
      </c>
      <c r="Q75" t="str">
        <f>IF(AND(TBL_Employees3[[#This Row],[Gender]]="Female",TBL_Employees3[[#This Row],[Ethnicity]]="Black"), "Female_Black", "Others")</f>
        <v>Others</v>
      </c>
      <c r="T75" t="str">
        <v>E01249</v>
      </c>
    </row>
    <row r="76" spans="1:20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7">
        <v>37828</v>
      </c>
      <c r="J76" s="1">
        <v>206624</v>
      </c>
      <c r="K76" s="2">
        <v>0.4</v>
      </c>
      <c r="L76" t="s">
        <v>52</v>
      </c>
      <c r="M76" t="s">
        <v>53</v>
      </c>
      <c r="N76" s="7" t="s">
        <v>21</v>
      </c>
      <c r="O76" s="1">
        <f>TBL_Employees3[[#This Row],[Annual Salary]]+TBL_Employees3[[#This Row],[Bonus %]]*TBL_Employees3[[#This Row],[Annual Salary]]</f>
        <v>289273.59999999998</v>
      </c>
      <c r="P76" t="str">
        <f>IF(AND(TBL_Employees3[[#This Row],[Department]]="IT",TBL_Employees3[[#This Row],[Gender]]="Female"),"Yes","No")</f>
        <v>No</v>
      </c>
      <c r="Q76" t="str">
        <f>IF(AND(TBL_Employees3[[#This Row],[Gender]]="Female",TBL_Employees3[[#This Row],[Ethnicity]]="Black"), "Female_Black", "Others")</f>
        <v>Others</v>
      </c>
      <c r="T76" t="str">
        <v>E03349</v>
      </c>
    </row>
    <row r="77" spans="1:20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7">
        <v>40535</v>
      </c>
      <c r="J77" s="1">
        <v>53215</v>
      </c>
      <c r="K77" s="2">
        <v>0</v>
      </c>
      <c r="L77" t="s">
        <v>52</v>
      </c>
      <c r="M77" t="s">
        <v>53</v>
      </c>
      <c r="N77" s="7">
        <v>41725</v>
      </c>
      <c r="O77" s="1">
        <f>TBL_Employees3[[#This Row],[Annual Salary]]+TBL_Employees3[[#This Row],[Bonus %]]*TBL_Employees3[[#This Row],[Annual Salary]]</f>
        <v>53215</v>
      </c>
      <c r="P77" t="str">
        <f>IF(AND(TBL_Employees3[[#This Row],[Department]]="IT",TBL_Employees3[[#This Row],[Gender]]="Female"),"Yes","No")</f>
        <v>No</v>
      </c>
      <c r="Q77" t="str">
        <f>IF(AND(TBL_Employees3[[#This Row],[Gender]]="Female",TBL_Employees3[[#This Row],[Ethnicity]]="Black"), "Female_Black", "Others")</f>
        <v>Others</v>
      </c>
      <c r="T77" t="str">
        <v>E02966</v>
      </c>
    </row>
    <row r="78" spans="1:20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7">
        <v>42877</v>
      </c>
      <c r="J78" s="1">
        <v>86858</v>
      </c>
      <c r="K78" s="2">
        <v>0</v>
      </c>
      <c r="L78" t="s">
        <v>33</v>
      </c>
      <c r="M78" t="s">
        <v>80</v>
      </c>
      <c r="N78" s="7">
        <v>43016</v>
      </c>
      <c r="O78" s="1">
        <f>TBL_Employees3[[#This Row],[Annual Salary]]+TBL_Employees3[[#This Row],[Bonus %]]*TBL_Employees3[[#This Row],[Annual Salary]]</f>
        <v>86858</v>
      </c>
      <c r="P78" t="str">
        <f>IF(AND(TBL_Employees3[[#This Row],[Department]]="IT",TBL_Employees3[[#This Row],[Gender]]="Female"),"Yes","No")</f>
        <v>No</v>
      </c>
      <c r="Q78" t="str">
        <f>IF(AND(TBL_Employees3[[#This Row],[Gender]]="Female",TBL_Employees3[[#This Row],[Ethnicity]]="Black"), "Female_Black", "Others")</f>
        <v>Others</v>
      </c>
      <c r="T78" t="str">
        <v>E01499</v>
      </c>
    </row>
    <row r="79" spans="1:20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7">
        <v>39265</v>
      </c>
      <c r="J79" s="1">
        <v>93971</v>
      </c>
      <c r="K79" s="2">
        <v>0.08</v>
      </c>
      <c r="L79" t="s">
        <v>33</v>
      </c>
      <c r="M79" t="s">
        <v>80</v>
      </c>
      <c r="N79" s="7" t="s">
        <v>21</v>
      </c>
      <c r="O79" s="1">
        <f>TBL_Employees3[[#This Row],[Annual Salary]]+TBL_Employees3[[#This Row],[Bonus %]]*TBL_Employees3[[#This Row],[Annual Salary]]</f>
        <v>101488.68</v>
      </c>
      <c r="P79" t="str">
        <f>IF(AND(TBL_Employees3[[#This Row],[Department]]="IT",TBL_Employees3[[#This Row],[Gender]]="Female"),"Yes","No")</f>
        <v>No</v>
      </c>
      <c r="Q79" t="str">
        <f>IF(AND(TBL_Employees3[[#This Row],[Gender]]="Female",TBL_Employees3[[#This Row],[Ethnicity]]="Black"), "Female_Black", "Others")</f>
        <v>Others</v>
      </c>
      <c r="T79" t="str">
        <v>E00105</v>
      </c>
    </row>
    <row r="80" spans="1:20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7">
        <v>42182</v>
      </c>
      <c r="J80" s="1">
        <v>57008</v>
      </c>
      <c r="K80" s="2">
        <v>0</v>
      </c>
      <c r="L80" t="s">
        <v>19</v>
      </c>
      <c r="M80" t="s">
        <v>39</v>
      </c>
      <c r="N80" s="7" t="s">
        <v>21</v>
      </c>
      <c r="O80" s="1">
        <f>TBL_Employees3[[#This Row],[Annual Salary]]+TBL_Employees3[[#This Row],[Bonus %]]*TBL_Employees3[[#This Row],[Annual Salary]]</f>
        <v>57008</v>
      </c>
      <c r="P80" t="str">
        <f>IF(AND(TBL_Employees3[[#This Row],[Department]]="IT",TBL_Employees3[[#This Row],[Gender]]="Female"),"Yes","No")</f>
        <v>No</v>
      </c>
      <c r="Q80" t="str">
        <f>IF(AND(TBL_Employees3[[#This Row],[Gender]]="Female",TBL_Employees3[[#This Row],[Ethnicity]]="Black"), "Female_Black", "Others")</f>
        <v>Others</v>
      </c>
      <c r="T80" t="str">
        <v>E00665</v>
      </c>
    </row>
    <row r="81" spans="1:20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7">
        <v>42270</v>
      </c>
      <c r="J81" s="1">
        <v>141899</v>
      </c>
      <c r="K81" s="2">
        <v>0.15</v>
      </c>
      <c r="L81" t="s">
        <v>19</v>
      </c>
      <c r="M81" t="s">
        <v>39</v>
      </c>
      <c r="N81" s="7" t="s">
        <v>21</v>
      </c>
      <c r="O81" s="1">
        <f>TBL_Employees3[[#This Row],[Annual Salary]]+TBL_Employees3[[#This Row],[Bonus %]]*TBL_Employees3[[#This Row],[Annual Salary]]</f>
        <v>163183.85</v>
      </c>
      <c r="P81" t="str">
        <f>IF(AND(TBL_Employees3[[#This Row],[Department]]="IT",TBL_Employees3[[#This Row],[Gender]]="Female"),"Yes","No")</f>
        <v>No</v>
      </c>
      <c r="Q81" t="str">
        <f>IF(AND(TBL_Employees3[[#This Row],[Gender]]="Female",TBL_Employees3[[#This Row],[Ethnicity]]="Black"), "Female_Black", "Others")</f>
        <v>Others</v>
      </c>
      <c r="T81" t="str">
        <v>E00791</v>
      </c>
    </row>
    <row r="82" spans="1:20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7">
        <v>42626</v>
      </c>
      <c r="J82" s="1">
        <v>64847</v>
      </c>
      <c r="K82" s="2">
        <v>0</v>
      </c>
      <c r="L82" t="s">
        <v>19</v>
      </c>
      <c r="M82" t="s">
        <v>45</v>
      </c>
      <c r="N82" s="7" t="s">
        <v>21</v>
      </c>
      <c r="O82" s="1">
        <f>TBL_Employees3[[#This Row],[Annual Salary]]+TBL_Employees3[[#This Row],[Bonus %]]*TBL_Employees3[[#This Row],[Annual Salary]]</f>
        <v>64847</v>
      </c>
      <c r="P82" t="str">
        <f>IF(AND(TBL_Employees3[[#This Row],[Department]]="IT",TBL_Employees3[[#This Row],[Gender]]="Female"),"Yes","No")</f>
        <v>No</v>
      </c>
      <c r="Q82" t="str">
        <f>IF(AND(TBL_Employees3[[#This Row],[Gender]]="Female",TBL_Employees3[[#This Row],[Ethnicity]]="Black"), "Female_Black", "Others")</f>
        <v>Others</v>
      </c>
      <c r="T82" t="str">
        <v>E01540</v>
      </c>
    </row>
    <row r="83" spans="1:20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7">
        <v>33702</v>
      </c>
      <c r="J83" s="1">
        <v>116878</v>
      </c>
      <c r="K83" s="2">
        <v>0.11</v>
      </c>
      <c r="L83" t="s">
        <v>19</v>
      </c>
      <c r="M83" t="s">
        <v>45</v>
      </c>
      <c r="N83" s="7" t="s">
        <v>21</v>
      </c>
      <c r="O83" s="1">
        <f>TBL_Employees3[[#This Row],[Annual Salary]]+TBL_Employees3[[#This Row],[Bonus %]]*TBL_Employees3[[#This Row],[Annual Salary]]</f>
        <v>129734.58</v>
      </c>
      <c r="P83" t="str">
        <f>IF(AND(TBL_Employees3[[#This Row],[Department]]="IT",TBL_Employees3[[#This Row],[Gender]]="Female"),"Yes","No")</f>
        <v>No</v>
      </c>
      <c r="Q83" t="str">
        <f>IF(AND(TBL_Employees3[[#This Row],[Gender]]="Female",TBL_Employees3[[#This Row],[Ethnicity]]="Black"), "Female_Black", "Others")</f>
        <v>Others</v>
      </c>
      <c r="T83" t="str">
        <v>E04474</v>
      </c>
    </row>
    <row r="84" spans="1:20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7">
        <v>38388</v>
      </c>
      <c r="J84" s="1">
        <v>70505</v>
      </c>
      <c r="K84" s="2">
        <v>0</v>
      </c>
      <c r="L84" t="s">
        <v>19</v>
      </c>
      <c r="M84" t="s">
        <v>25</v>
      </c>
      <c r="N84" s="7" t="s">
        <v>21</v>
      </c>
      <c r="O84" s="1">
        <f>TBL_Employees3[[#This Row],[Annual Salary]]+TBL_Employees3[[#This Row],[Bonus %]]*TBL_Employees3[[#This Row],[Annual Salary]]</f>
        <v>70505</v>
      </c>
      <c r="P84" t="str">
        <f>IF(AND(TBL_Employees3[[#This Row],[Department]]="IT",TBL_Employees3[[#This Row],[Gender]]="Female"),"Yes","No")</f>
        <v>No</v>
      </c>
      <c r="Q84" t="str">
        <f>IF(AND(TBL_Employees3[[#This Row],[Gender]]="Female",TBL_Employees3[[#This Row],[Ethnicity]]="Black"), "Female_Black", "Others")</f>
        <v>Others</v>
      </c>
      <c r="T84" t="str">
        <v>E03417</v>
      </c>
    </row>
    <row r="85" spans="1:20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7">
        <v>42512</v>
      </c>
      <c r="J85" s="1">
        <v>189702</v>
      </c>
      <c r="K85" s="2">
        <v>0.28000000000000003</v>
      </c>
      <c r="L85" t="s">
        <v>52</v>
      </c>
      <c r="M85" t="s">
        <v>81</v>
      </c>
      <c r="N85" s="7">
        <v>44186</v>
      </c>
      <c r="O85" s="1">
        <f>TBL_Employees3[[#This Row],[Annual Salary]]+TBL_Employees3[[#This Row],[Bonus %]]*TBL_Employees3[[#This Row],[Annual Salary]]</f>
        <v>242818.56</v>
      </c>
      <c r="P85" t="str">
        <f>IF(AND(TBL_Employees3[[#This Row],[Department]]="IT",TBL_Employees3[[#This Row],[Gender]]="Female"),"Yes","No")</f>
        <v>No</v>
      </c>
      <c r="Q85" t="str">
        <f>IF(AND(TBL_Employees3[[#This Row],[Gender]]="Female",TBL_Employees3[[#This Row],[Ethnicity]]="Black"), "Female_Black", "Others")</f>
        <v>Others</v>
      </c>
      <c r="T85" t="str">
        <v>E00254</v>
      </c>
    </row>
    <row r="86" spans="1:20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7">
        <v>44040</v>
      </c>
      <c r="J86" s="1">
        <v>180664</v>
      </c>
      <c r="K86" s="2">
        <v>0.27</v>
      </c>
      <c r="L86" t="s">
        <v>19</v>
      </c>
      <c r="M86" t="s">
        <v>20</v>
      </c>
      <c r="N86" s="7" t="s">
        <v>21</v>
      </c>
      <c r="O86" s="1">
        <f>TBL_Employees3[[#This Row],[Annual Salary]]+TBL_Employees3[[#This Row],[Bonus %]]*TBL_Employees3[[#This Row],[Annual Salary]]</f>
        <v>229443.28</v>
      </c>
      <c r="P86" t="str">
        <f>IF(AND(TBL_Employees3[[#This Row],[Department]]="IT",TBL_Employees3[[#This Row],[Gender]]="Female"),"Yes","No")</f>
        <v>No</v>
      </c>
      <c r="Q86" t="str">
        <f>IF(AND(TBL_Employees3[[#This Row],[Gender]]="Female",TBL_Employees3[[#This Row],[Ethnicity]]="Black"), "Female_Black", "Others")</f>
        <v>Others</v>
      </c>
      <c r="T86" t="str">
        <v>E02166</v>
      </c>
    </row>
    <row r="87" spans="1:20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7">
        <v>37972</v>
      </c>
      <c r="J87" s="1">
        <v>48345</v>
      </c>
      <c r="K87" s="2">
        <v>0</v>
      </c>
      <c r="L87" t="s">
        <v>33</v>
      </c>
      <c r="M87" t="s">
        <v>34</v>
      </c>
      <c r="N87" s="7" t="s">
        <v>21</v>
      </c>
      <c r="O87" s="1">
        <f>TBL_Employees3[[#This Row],[Annual Salary]]+TBL_Employees3[[#This Row],[Bonus %]]*TBL_Employees3[[#This Row],[Annual Salary]]</f>
        <v>48345</v>
      </c>
      <c r="P87" t="str">
        <f>IF(AND(TBL_Employees3[[#This Row],[Department]]="IT",TBL_Employees3[[#This Row],[Gender]]="Female"),"Yes","No")</f>
        <v>No</v>
      </c>
      <c r="Q87" t="str">
        <f>IF(AND(TBL_Employees3[[#This Row],[Gender]]="Female",TBL_Employees3[[#This Row],[Ethnicity]]="Black"), "Female_Black", "Others")</f>
        <v>Others</v>
      </c>
      <c r="T87" t="str">
        <v>E00935</v>
      </c>
    </row>
    <row r="88" spans="1:20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7">
        <v>41655</v>
      </c>
      <c r="J88" s="1">
        <v>152214</v>
      </c>
      <c r="K88" s="2">
        <v>0.3</v>
      </c>
      <c r="L88" t="s">
        <v>33</v>
      </c>
      <c r="M88" t="s">
        <v>60</v>
      </c>
      <c r="N88" s="7" t="s">
        <v>21</v>
      </c>
      <c r="O88" s="1">
        <f>TBL_Employees3[[#This Row],[Annual Salary]]+TBL_Employees3[[#This Row],[Bonus %]]*TBL_Employees3[[#This Row],[Annual Salary]]</f>
        <v>197878.2</v>
      </c>
      <c r="P88" t="str">
        <f>IF(AND(TBL_Employees3[[#This Row],[Department]]="IT",TBL_Employees3[[#This Row],[Gender]]="Female"),"Yes","No")</f>
        <v>No</v>
      </c>
      <c r="Q88" t="str">
        <f>IF(AND(TBL_Employees3[[#This Row],[Gender]]="Female",TBL_Employees3[[#This Row],[Ethnicity]]="Black"), "Female_Black", "Others")</f>
        <v>Others</v>
      </c>
      <c r="T88" t="str">
        <v>E01525</v>
      </c>
    </row>
    <row r="89" spans="1:20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7">
        <v>39931</v>
      </c>
      <c r="J89" s="1">
        <v>69803</v>
      </c>
      <c r="K89" s="2">
        <v>0</v>
      </c>
      <c r="L89" t="s">
        <v>52</v>
      </c>
      <c r="M89" t="s">
        <v>81</v>
      </c>
      <c r="N89" s="7" t="s">
        <v>21</v>
      </c>
      <c r="O89" s="1">
        <f>TBL_Employees3[[#This Row],[Annual Salary]]+TBL_Employees3[[#This Row],[Bonus %]]*TBL_Employees3[[#This Row],[Annual Salary]]</f>
        <v>69803</v>
      </c>
      <c r="P89" t="str">
        <f>IF(AND(TBL_Employees3[[#This Row],[Department]]="IT",TBL_Employees3[[#This Row],[Gender]]="Female"),"Yes","No")</f>
        <v>Yes</v>
      </c>
      <c r="Q89" t="str">
        <f>IF(AND(TBL_Employees3[[#This Row],[Gender]]="Female",TBL_Employees3[[#This Row],[Ethnicity]]="Black"), "Female_Black", "Others")</f>
        <v>Others</v>
      </c>
      <c r="T89" t="str">
        <v>E00386</v>
      </c>
    </row>
    <row r="90" spans="1:20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7">
        <v>43650</v>
      </c>
      <c r="J90" s="1">
        <v>76588</v>
      </c>
      <c r="K90" s="2">
        <v>0</v>
      </c>
      <c r="L90" t="s">
        <v>52</v>
      </c>
      <c r="M90" t="s">
        <v>66</v>
      </c>
      <c r="N90" s="7" t="s">
        <v>21</v>
      </c>
      <c r="O90" s="1">
        <f>TBL_Employees3[[#This Row],[Annual Salary]]+TBL_Employees3[[#This Row],[Bonus %]]*TBL_Employees3[[#This Row],[Annual Salary]]</f>
        <v>76588</v>
      </c>
      <c r="P90" t="str">
        <f>IF(AND(TBL_Employees3[[#This Row],[Department]]="IT",TBL_Employees3[[#This Row],[Gender]]="Female"),"Yes","No")</f>
        <v>Yes</v>
      </c>
      <c r="Q90" t="str">
        <f>IF(AND(TBL_Employees3[[#This Row],[Gender]]="Female",TBL_Employees3[[#This Row],[Ethnicity]]="Black"), "Female_Black", "Others")</f>
        <v>Others</v>
      </c>
      <c r="T90" t="str">
        <v>E00416</v>
      </c>
    </row>
    <row r="91" spans="1:20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7">
        <v>43444</v>
      </c>
      <c r="J91" s="1">
        <v>84596</v>
      </c>
      <c r="K91" s="2">
        <v>0</v>
      </c>
      <c r="L91" t="s">
        <v>19</v>
      </c>
      <c r="M91" t="s">
        <v>45</v>
      </c>
      <c r="N91" s="7" t="s">
        <v>21</v>
      </c>
      <c r="O91" s="1">
        <f>TBL_Employees3[[#This Row],[Annual Salary]]+TBL_Employees3[[#This Row],[Bonus %]]*TBL_Employees3[[#This Row],[Annual Salary]]</f>
        <v>84596</v>
      </c>
      <c r="P91" t="str">
        <f>IF(AND(TBL_Employees3[[#This Row],[Department]]="IT",TBL_Employees3[[#This Row],[Gender]]="Female"),"Yes","No")</f>
        <v>No</v>
      </c>
      <c r="Q91" t="str">
        <f>IF(AND(TBL_Employees3[[#This Row],[Gender]]="Female",TBL_Employees3[[#This Row],[Ethnicity]]="Black"), "Female_Black", "Others")</f>
        <v>Others</v>
      </c>
      <c r="T91" t="str">
        <v>E03383</v>
      </c>
    </row>
    <row r="92" spans="1:20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7">
        <v>43368</v>
      </c>
      <c r="J92" s="1">
        <v>114441</v>
      </c>
      <c r="K92" s="2">
        <v>0.1</v>
      </c>
      <c r="L92" t="s">
        <v>33</v>
      </c>
      <c r="M92" t="s">
        <v>80</v>
      </c>
      <c r="N92" s="7">
        <v>43821</v>
      </c>
      <c r="O92" s="1">
        <f>TBL_Employees3[[#This Row],[Annual Salary]]+TBL_Employees3[[#This Row],[Bonus %]]*TBL_Employees3[[#This Row],[Annual Salary]]</f>
        <v>125885.1</v>
      </c>
      <c r="P92" t="str">
        <f>IF(AND(TBL_Employees3[[#This Row],[Department]]="IT",TBL_Employees3[[#This Row],[Gender]]="Female"),"Yes","No")</f>
        <v>No</v>
      </c>
      <c r="Q92" t="str">
        <f>IF(AND(TBL_Employees3[[#This Row],[Gender]]="Female",TBL_Employees3[[#This Row],[Ethnicity]]="Black"), "Female_Black", "Others")</f>
        <v>Others</v>
      </c>
      <c r="T92" t="str">
        <v>E01516</v>
      </c>
    </row>
    <row r="93" spans="1:20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7">
        <v>43211</v>
      </c>
      <c r="J93" s="1">
        <v>140402</v>
      </c>
      <c r="K93" s="2">
        <v>0.15</v>
      </c>
      <c r="L93" t="s">
        <v>33</v>
      </c>
      <c r="M93" t="s">
        <v>60</v>
      </c>
      <c r="N93" s="7" t="s">
        <v>21</v>
      </c>
      <c r="O93" s="1">
        <f>TBL_Employees3[[#This Row],[Annual Salary]]+TBL_Employees3[[#This Row],[Bonus %]]*TBL_Employees3[[#This Row],[Annual Salary]]</f>
        <v>161462.29999999999</v>
      </c>
      <c r="P93" t="str">
        <f>IF(AND(TBL_Employees3[[#This Row],[Department]]="IT",TBL_Employees3[[#This Row],[Gender]]="Female"),"Yes","No")</f>
        <v>No</v>
      </c>
      <c r="Q93" t="str">
        <f>IF(AND(TBL_Employees3[[#This Row],[Gender]]="Female",TBL_Employees3[[#This Row],[Ethnicity]]="Black"), "Female_Black", "Others")</f>
        <v>Others</v>
      </c>
      <c r="T93" t="str">
        <v>E01234</v>
      </c>
    </row>
    <row r="94" spans="1:20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7">
        <v>43578</v>
      </c>
      <c r="J94" s="1">
        <v>59817</v>
      </c>
      <c r="K94" s="2">
        <v>0</v>
      </c>
      <c r="L94" t="s">
        <v>52</v>
      </c>
      <c r="M94" t="s">
        <v>53</v>
      </c>
      <c r="N94" s="7" t="s">
        <v>21</v>
      </c>
      <c r="O94" s="1">
        <f>TBL_Employees3[[#This Row],[Annual Salary]]+TBL_Employees3[[#This Row],[Bonus %]]*TBL_Employees3[[#This Row],[Annual Salary]]</f>
        <v>59817</v>
      </c>
      <c r="P94" t="str">
        <f>IF(AND(TBL_Employees3[[#This Row],[Department]]="IT",TBL_Employees3[[#This Row],[Gender]]="Female"),"Yes","No")</f>
        <v>No</v>
      </c>
      <c r="Q94" t="str">
        <f>IF(AND(TBL_Employees3[[#This Row],[Gender]]="Female",TBL_Employees3[[#This Row],[Ethnicity]]="Black"), "Female_Black", "Others")</f>
        <v>Others</v>
      </c>
      <c r="T94" t="str">
        <v>E03440</v>
      </c>
    </row>
    <row r="95" spans="1:20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7">
        <v>42938</v>
      </c>
      <c r="J95" s="1">
        <v>55854</v>
      </c>
      <c r="K95" s="2">
        <v>0</v>
      </c>
      <c r="L95" t="s">
        <v>19</v>
      </c>
      <c r="M95" t="s">
        <v>25</v>
      </c>
      <c r="N95" s="7" t="s">
        <v>21</v>
      </c>
      <c r="O95" s="1">
        <f>TBL_Employees3[[#This Row],[Annual Salary]]+TBL_Employees3[[#This Row],[Bonus %]]*TBL_Employees3[[#This Row],[Annual Salary]]</f>
        <v>55854</v>
      </c>
      <c r="P95" t="str">
        <f>IF(AND(TBL_Employees3[[#This Row],[Department]]="IT",TBL_Employees3[[#This Row],[Gender]]="Female"),"Yes","No")</f>
        <v>No</v>
      </c>
      <c r="Q95" t="str">
        <f>IF(AND(TBL_Employees3[[#This Row],[Gender]]="Female",TBL_Employees3[[#This Row],[Ethnicity]]="Black"), "Female_Black", "Others")</f>
        <v>Others</v>
      </c>
      <c r="T95" t="str">
        <v>E00431</v>
      </c>
    </row>
    <row r="96" spans="1:20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7">
        <v>37576</v>
      </c>
      <c r="J96" s="1">
        <v>95998</v>
      </c>
      <c r="K96" s="2">
        <v>0</v>
      </c>
      <c r="L96" t="s">
        <v>19</v>
      </c>
      <c r="M96" t="s">
        <v>63</v>
      </c>
      <c r="N96" s="7" t="s">
        <v>21</v>
      </c>
      <c r="O96" s="1">
        <f>TBL_Employees3[[#This Row],[Annual Salary]]+TBL_Employees3[[#This Row],[Bonus %]]*TBL_Employees3[[#This Row],[Annual Salary]]</f>
        <v>95998</v>
      </c>
      <c r="P96" t="str">
        <f>IF(AND(TBL_Employees3[[#This Row],[Department]]="IT",TBL_Employees3[[#This Row],[Gender]]="Female"),"Yes","No")</f>
        <v>No</v>
      </c>
      <c r="Q96" t="str">
        <f>IF(AND(TBL_Employees3[[#This Row],[Gender]]="Female",TBL_Employees3[[#This Row],[Ethnicity]]="Black"), "Female_Black", "Others")</f>
        <v>Others</v>
      </c>
      <c r="T96" t="str">
        <v>E01258</v>
      </c>
    </row>
    <row r="97" spans="1:20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7">
        <v>42116</v>
      </c>
      <c r="J97" s="1">
        <v>154941</v>
      </c>
      <c r="K97" s="2">
        <v>0.13</v>
      </c>
      <c r="L97" t="s">
        <v>19</v>
      </c>
      <c r="M97" t="s">
        <v>39</v>
      </c>
      <c r="N97" s="7" t="s">
        <v>21</v>
      </c>
      <c r="O97" s="1">
        <f>TBL_Employees3[[#This Row],[Annual Salary]]+TBL_Employees3[[#This Row],[Bonus %]]*TBL_Employees3[[#This Row],[Annual Salary]]</f>
        <v>175083.33000000002</v>
      </c>
      <c r="P97" t="str">
        <f>IF(AND(TBL_Employees3[[#This Row],[Department]]="IT",TBL_Employees3[[#This Row],[Gender]]="Female"),"Yes","No")</f>
        <v>No</v>
      </c>
      <c r="Q97" t="str">
        <f>IF(AND(TBL_Employees3[[#This Row],[Gender]]="Female",TBL_Employees3[[#This Row],[Ethnicity]]="Black"), "Female_Black", "Others")</f>
        <v>Others</v>
      </c>
      <c r="T97" t="str">
        <v>E00440</v>
      </c>
    </row>
    <row r="98" spans="1:20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7">
        <v>40734</v>
      </c>
      <c r="J98" s="1">
        <v>247022</v>
      </c>
      <c r="K98" s="2">
        <v>0.3</v>
      </c>
      <c r="L98" t="s">
        <v>33</v>
      </c>
      <c r="M98" t="s">
        <v>60</v>
      </c>
      <c r="N98" s="7" t="s">
        <v>21</v>
      </c>
      <c r="O98" s="1">
        <f>TBL_Employees3[[#This Row],[Annual Salary]]+TBL_Employees3[[#This Row],[Bonus %]]*TBL_Employees3[[#This Row],[Annual Salary]]</f>
        <v>321128.59999999998</v>
      </c>
      <c r="P98" t="str">
        <f>IF(AND(TBL_Employees3[[#This Row],[Department]]="IT",TBL_Employees3[[#This Row],[Gender]]="Female"),"Yes","No")</f>
        <v>No</v>
      </c>
      <c r="Q98" t="str">
        <f>IF(AND(TBL_Employees3[[#This Row],[Gender]]="Female",TBL_Employees3[[#This Row],[Ethnicity]]="Black"), "Female_Black", "Others")</f>
        <v>Others</v>
      </c>
      <c r="T98" t="str">
        <v>E00595</v>
      </c>
    </row>
    <row r="99" spans="1:20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7">
        <v>44474</v>
      </c>
      <c r="J99" s="1">
        <v>88072</v>
      </c>
      <c r="K99" s="2">
        <v>0</v>
      </c>
      <c r="L99" t="s">
        <v>52</v>
      </c>
      <c r="M99" t="s">
        <v>53</v>
      </c>
      <c r="N99" s="7" t="s">
        <v>21</v>
      </c>
      <c r="O99" s="1">
        <f>TBL_Employees3[[#This Row],[Annual Salary]]+TBL_Employees3[[#This Row],[Bonus %]]*TBL_Employees3[[#This Row],[Annual Salary]]</f>
        <v>88072</v>
      </c>
      <c r="P99" t="str">
        <f>IF(AND(TBL_Employees3[[#This Row],[Department]]="IT",TBL_Employees3[[#This Row],[Gender]]="Female"),"Yes","No")</f>
        <v>Yes</v>
      </c>
      <c r="Q99" t="str">
        <f>IF(AND(TBL_Employees3[[#This Row],[Gender]]="Female",TBL_Employees3[[#This Row],[Ethnicity]]="Black"), "Female_Black", "Others")</f>
        <v>Others</v>
      </c>
      <c r="T99" t="str">
        <v>E00972</v>
      </c>
    </row>
    <row r="100" spans="1:20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7">
        <v>43977</v>
      </c>
      <c r="J100" s="1">
        <v>67925</v>
      </c>
      <c r="K100" s="2">
        <v>0.08</v>
      </c>
      <c r="L100" t="s">
        <v>33</v>
      </c>
      <c r="M100" t="s">
        <v>74</v>
      </c>
      <c r="N100" s="7" t="s">
        <v>21</v>
      </c>
      <c r="O100" s="1">
        <f>TBL_Employees3[[#This Row],[Annual Salary]]+TBL_Employees3[[#This Row],[Bonus %]]*TBL_Employees3[[#This Row],[Annual Salary]]</f>
        <v>73359</v>
      </c>
      <c r="P100" t="str">
        <f>IF(AND(TBL_Employees3[[#This Row],[Department]]="IT",TBL_Employees3[[#This Row],[Gender]]="Female"),"Yes","No")</f>
        <v>No</v>
      </c>
      <c r="Q100" t="str">
        <f>IF(AND(TBL_Employees3[[#This Row],[Gender]]="Female",TBL_Employees3[[#This Row],[Ethnicity]]="Black"), "Female_Black", "Others")</f>
        <v>Others</v>
      </c>
      <c r="T100" t="str">
        <v>E04562</v>
      </c>
    </row>
    <row r="101" spans="1:20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7">
        <v>44063</v>
      </c>
      <c r="J101" s="1">
        <v>219693</v>
      </c>
      <c r="K101" s="2">
        <v>0.3</v>
      </c>
      <c r="L101" t="s">
        <v>19</v>
      </c>
      <c r="M101" t="s">
        <v>25</v>
      </c>
      <c r="N101" s="7" t="s">
        <v>21</v>
      </c>
      <c r="O101" s="1">
        <f>TBL_Employees3[[#This Row],[Annual Salary]]+TBL_Employees3[[#This Row],[Bonus %]]*TBL_Employees3[[#This Row],[Annual Salary]]</f>
        <v>285600.90000000002</v>
      </c>
      <c r="P101" t="str">
        <f>IF(AND(TBL_Employees3[[#This Row],[Department]]="IT",TBL_Employees3[[#This Row],[Gender]]="Female"),"Yes","No")</f>
        <v>No</v>
      </c>
      <c r="Q101" t="str">
        <f>IF(AND(TBL_Employees3[[#This Row],[Gender]]="Female",TBL_Employees3[[#This Row],[Ethnicity]]="Black"), "Female_Black", "Others")</f>
        <v>Others</v>
      </c>
      <c r="T101" t="str">
        <v>E02802</v>
      </c>
    </row>
    <row r="102" spans="1:20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7">
        <v>41386</v>
      </c>
      <c r="J102" s="1">
        <v>61773</v>
      </c>
      <c r="K102" s="2">
        <v>0</v>
      </c>
      <c r="L102" t="s">
        <v>19</v>
      </c>
      <c r="M102" t="s">
        <v>63</v>
      </c>
      <c r="N102" s="7" t="s">
        <v>21</v>
      </c>
      <c r="O102" s="1">
        <f>TBL_Employees3[[#This Row],[Annual Salary]]+TBL_Employees3[[#This Row],[Bonus %]]*TBL_Employees3[[#This Row],[Annual Salary]]</f>
        <v>61773</v>
      </c>
      <c r="P102" t="str">
        <f>IF(AND(TBL_Employees3[[#This Row],[Department]]="IT",TBL_Employees3[[#This Row],[Gender]]="Female"),"Yes","No")</f>
        <v>No</v>
      </c>
      <c r="Q102" t="str">
        <f>IF(AND(TBL_Employees3[[#This Row],[Gender]]="Female",TBL_Employees3[[#This Row],[Ethnicity]]="Black"), "Female_Black", "Others")</f>
        <v>Others</v>
      </c>
      <c r="T102" t="str">
        <v>E01427</v>
      </c>
    </row>
    <row r="103" spans="1:20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7">
        <v>39091</v>
      </c>
      <c r="J103" s="1">
        <v>74546</v>
      </c>
      <c r="K103" s="2">
        <v>0.09</v>
      </c>
      <c r="L103" t="s">
        <v>19</v>
      </c>
      <c r="M103" t="s">
        <v>63</v>
      </c>
      <c r="N103" s="7" t="s">
        <v>21</v>
      </c>
      <c r="O103" s="1">
        <f>TBL_Employees3[[#This Row],[Annual Salary]]+TBL_Employees3[[#This Row],[Bonus %]]*TBL_Employees3[[#This Row],[Annual Salary]]</f>
        <v>81255.14</v>
      </c>
      <c r="P103" t="str">
        <f>IF(AND(TBL_Employees3[[#This Row],[Department]]="IT",TBL_Employees3[[#This Row],[Gender]]="Female"),"Yes","No")</f>
        <v>Yes</v>
      </c>
      <c r="Q103" t="str">
        <f>IF(AND(TBL_Employees3[[#This Row],[Gender]]="Female",TBL_Employees3[[#This Row],[Ethnicity]]="Black"), "Female_Black", "Others")</f>
        <v>Others</v>
      </c>
      <c r="T103" t="str">
        <v>E04568</v>
      </c>
    </row>
    <row r="104" spans="1:20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7">
        <v>42031</v>
      </c>
      <c r="J104" s="1">
        <v>62575</v>
      </c>
      <c r="K104" s="2">
        <v>0</v>
      </c>
      <c r="L104" t="s">
        <v>19</v>
      </c>
      <c r="M104" t="s">
        <v>45</v>
      </c>
      <c r="N104" s="7" t="s">
        <v>21</v>
      </c>
      <c r="O104" s="1">
        <f>TBL_Employees3[[#This Row],[Annual Salary]]+TBL_Employees3[[#This Row],[Bonus %]]*TBL_Employees3[[#This Row],[Annual Salary]]</f>
        <v>62575</v>
      </c>
      <c r="P104" t="str">
        <f>IF(AND(TBL_Employees3[[#This Row],[Department]]="IT",TBL_Employees3[[#This Row],[Gender]]="Female"),"Yes","No")</f>
        <v>No</v>
      </c>
      <c r="Q104" t="str">
        <f>IF(AND(TBL_Employees3[[#This Row],[Gender]]="Female",TBL_Employees3[[#This Row],[Ethnicity]]="Black"), "Female_Black", "Others")</f>
        <v>Others</v>
      </c>
      <c r="T104" t="str">
        <v>E04931</v>
      </c>
    </row>
    <row r="105" spans="1:20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7">
        <v>44250</v>
      </c>
      <c r="J105" s="1">
        <v>199041</v>
      </c>
      <c r="K105" s="2">
        <v>0.16</v>
      </c>
      <c r="L105" t="s">
        <v>33</v>
      </c>
      <c r="M105" t="s">
        <v>60</v>
      </c>
      <c r="N105" s="7" t="s">
        <v>21</v>
      </c>
      <c r="O105" s="1">
        <f>TBL_Employees3[[#This Row],[Annual Salary]]+TBL_Employees3[[#This Row],[Bonus %]]*TBL_Employees3[[#This Row],[Annual Salary]]</f>
        <v>230887.56</v>
      </c>
      <c r="P105" t="str">
        <f>IF(AND(TBL_Employees3[[#This Row],[Department]]="IT",TBL_Employees3[[#This Row],[Gender]]="Female"),"Yes","No")</f>
        <v>No</v>
      </c>
      <c r="Q105" t="str">
        <f>IF(AND(TBL_Employees3[[#This Row],[Gender]]="Female",TBL_Employees3[[#This Row],[Ethnicity]]="Black"), "Female_Black", "Others")</f>
        <v>Others</v>
      </c>
      <c r="T105" t="str">
        <v>E00443</v>
      </c>
    </row>
    <row r="106" spans="1:20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7">
        <v>39177</v>
      </c>
      <c r="J106" s="1">
        <v>52310</v>
      </c>
      <c r="K106" s="2">
        <v>0</v>
      </c>
      <c r="L106" t="s">
        <v>19</v>
      </c>
      <c r="M106" t="s">
        <v>45</v>
      </c>
      <c r="N106" s="7">
        <v>43385</v>
      </c>
      <c r="O106" s="1">
        <f>TBL_Employees3[[#This Row],[Annual Salary]]+TBL_Employees3[[#This Row],[Bonus %]]*TBL_Employees3[[#This Row],[Annual Salary]]</f>
        <v>52310</v>
      </c>
      <c r="P106" t="str">
        <f>IF(AND(TBL_Employees3[[#This Row],[Department]]="IT",TBL_Employees3[[#This Row],[Gender]]="Female"),"Yes","No")</f>
        <v>No</v>
      </c>
      <c r="Q106" t="str">
        <f>IF(AND(TBL_Employees3[[#This Row],[Gender]]="Female",TBL_Employees3[[#This Row],[Ethnicity]]="Black"), "Female_Black", "Others")</f>
        <v>Others</v>
      </c>
      <c r="T106" t="str">
        <v>E03890</v>
      </c>
    </row>
    <row r="107" spans="1:20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7">
        <v>41454</v>
      </c>
      <c r="J107" s="1">
        <v>159571</v>
      </c>
      <c r="K107" s="2">
        <v>0.1</v>
      </c>
      <c r="L107" t="s">
        <v>19</v>
      </c>
      <c r="M107" t="s">
        <v>29</v>
      </c>
      <c r="N107" s="7" t="s">
        <v>21</v>
      </c>
      <c r="O107" s="1">
        <f>TBL_Employees3[[#This Row],[Annual Salary]]+TBL_Employees3[[#This Row],[Bonus %]]*TBL_Employees3[[#This Row],[Annual Salary]]</f>
        <v>175528.1</v>
      </c>
      <c r="P107" t="str">
        <f>IF(AND(TBL_Employees3[[#This Row],[Department]]="IT",TBL_Employees3[[#This Row],[Gender]]="Female"),"Yes","No")</f>
        <v>No</v>
      </c>
      <c r="Q107" t="str">
        <f>IF(AND(TBL_Employees3[[#This Row],[Gender]]="Female",TBL_Employees3[[#This Row],[Ethnicity]]="Black"), "Female_Black", "Others")</f>
        <v>Others</v>
      </c>
      <c r="T107" t="str">
        <v>E01194</v>
      </c>
    </row>
    <row r="108" spans="1:20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7">
        <v>35726</v>
      </c>
      <c r="J108" s="1">
        <v>91763</v>
      </c>
      <c r="K108" s="2">
        <v>0</v>
      </c>
      <c r="L108" t="s">
        <v>19</v>
      </c>
      <c r="M108" t="s">
        <v>25</v>
      </c>
      <c r="N108" s="7" t="s">
        <v>21</v>
      </c>
      <c r="O108" s="1">
        <f>TBL_Employees3[[#This Row],[Annual Salary]]+TBL_Employees3[[#This Row],[Bonus %]]*TBL_Employees3[[#This Row],[Annual Salary]]</f>
        <v>91763</v>
      </c>
      <c r="P108" t="str">
        <f>IF(AND(TBL_Employees3[[#This Row],[Department]]="IT",TBL_Employees3[[#This Row],[Gender]]="Female"),"Yes","No")</f>
        <v>No</v>
      </c>
      <c r="Q108" t="str">
        <f>IF(AND(TBL_Employees3[[#This Row],[Gender]]="Female",TBL_Employees3[[#This Row],[Ethnicity]]="Black"), "Female_Black", "Others")</f>
        <v>Others</v>
      </c>
      <c r="T108" t="str">
        <v>E02875</v>
      </c>
    </row>
    <row r="109" spans="1:20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7">
        <v>35055</v>
      </c>
      <c r="J109" s="1">
        <v>96475</v>
      </c>
      <c r="K109" s="2">
        <v>0</v>
      </c>
      <c r="L109" t="s">
        <v>19</v>
      </c>
      <c r="M109" t="s">
        <v>25</v>
      </c>
      <c r="N109" s="7" t="s">
        <v>21</v>
      </c>
      <c r="O109" s="1">
        <f>TBL_Employees3[[#This Row],[Annual Salary]]+TBL_Employees3[[#This Row],[Bonus %]]*TBL_Employees3[[#This Row],[Annual Salary]]</f>
        <v>96475</v>
      </c>
      <c r="P109" t="str">
        <f>IF(AND(TBL_Employees3[[#This Row],[Department]]="IT",TBL_Employees3[[#This Row],[Gender]]="Female"),"Yes","No")</f>
        <v>No</v>
      </c>
      <c r="Q109" t="str">
        <f>IF(AND(TBL_Employees3[[#This Row],[Gender]]="Female",TBL_Employees3[[#This Row],[Ethnicity]]="Black"), "Female_Black", "Others")</f>
        <v>Others</v>
      </c>
      <c r="T109" t="str">
        <v>E04959</v>
      </c>
    </row>
    <row r="110" spans="1:20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7">
        <v>42706</v>
      </c>
      <c r="J110" s="1">
        <v>113781</v>
      </c>
      <c r="K110" s="2">
        <v>0</v>
      </c>
      <c r="L110" t="s">
        <v>19</v>
      </c>
      <c r="M110" t="s">
        <v>29</v>
      </c>
      <c r="N110" s="7" t="s">
        <v>21</v>
      </c>
      <c r="O110" s="1">
        <f>TBL_Employees3[[#This Row],[Annual Salary]]+TBL_Employees3[[#This Row],[Bonus %]]*TBL_Employees3[[#This Row],[Annual Salary]]</f>
        <v>113781</v>
      </c>
      <c r="P110" t="str">
        <f>IF(AND(TBL_Employees3[[#This Row],[Department]]="IT",TBL_Employees3[[#This Row],[Gender]]="Female"),"Yes","No")</f>
        <v>No</v>
      </c>
      <c r="Q110" t="str">
        <f>IF(AND(TBL_Employees3[[#This Row],[Gender]]="Female",TBL_Employees3[[#This Row],[Ethnicity]]="Black"), "Female_Black", "Others")</f>
        <v>Others</v>
      </c>
      <c r="T110" t="str">
        <v>E03816</v>
      </c>
    </row>
    <row r="111" spans="1:20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7">
        <v>37636</v>
      </c>
      <c r="J111" s="1">
        <v>166599</v>
      </c>
      <c r="K111" s="2">
        <v>0.26</v>
      </c>
      <c r="L111" t="s">
        <v>19</v>
      </c>
      <c r="M111" t="s">
        <v>63</v>
      </c>
      <c r="N111" s="7" t="s">
        <v>21</v>
      </c>
      <c r="O111" s="1">
        <f>TBL_Employees3[[#This Row],[Annual Salary]]+TBL_Employees3[[#This Row],[Bonus %]]*TBL_Employees3[[#This Row],[Annual Salary]]</f>
        <v>209914.74</v>
      </c>
      <c r="P111" t="str">
        <f>IF(AND(TBL_Employees3[[#This Row],[Department]]="IT",TBL_Employees3[[#This Row],[Gender]]="Female"),"Yes","No")</f>
        <v>No</v>
      </c>
      <c r="Q111" t="str">
        <f>IF(AND(TBL_Employees3[[#This Row],[Gender]]="Female",TBL_Employees3[[#This Row],[Ethnicity]]="Black"), "Female_Black", "Others")</f>
        <v>Others</v>
      </c>
      <c r="T111" t="str">
        <v>E01261</v>
      </c>
    </row>
    <row r="112" spans="1:20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7">
        <v>38398</v>
      </c>
      <c r="J112" s="1">
        <v>95372</v>
      </c>
      <c r="K112" s="2">
        <v>0</v>
      </c>
      <c r="L112" t="s">
        <v>33</v>
      </c>
      <c r="M112" t="s">
        <v>74</v>
      </c>
      <c r="N112" s="7" t="s">
        <v>21</v>
      </c>
      <c r="O112" s="1">
        <f>TBL_Employees3[[#This Row],[Annual Salary]]+TBL_Employees3[[#This Row],[Bonus %]]*TBL_Employees3[[#This Row],[Annual Salary]]</f>
        <v>95372</v>
      </c>
      <c r="P112" t="str">
        <f>IF(AND(TBL_Employees3[[#This Row],[Department]]="IT",TBL_Employees3[[#This Row],[Gender]]="Female"),"Yes","No")</f>
        <v>No</v>
      </c>
      <c r="Q112" t="str">
        <f>IF(AND(TBL_Employees3[[#This Row],[Gender]]="Female",TBL_Employees3[[#This Row],[Ethnicity]]="Black"), "Female_Black", "Others")</f>
        <v>Others</v>
      </c>
      <c r="T112" t="str">
        <v>E03612</v>
      </c>
    </row>
    <row r="113" spans="1:20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7">
        <v>44052</v>
      </c>
      <c r="J113" s="1">
        <v>161203</v>
      </c>
      <c r="K113" s="2">
        <v>0.15</v>
      </c>
      <c r="L113" t="s">
        <v>33</v>
      </c>
      <c r="M113" t="s">
        <v>34</v>
      </c>
      <c r="N113" s="7" t="s">
        <v>21</v>
      </c>
      <c r="O113" s="1">
        <f>TBL_Employees3[[#This Row],[Annual Salary]]+TBL_Employees3[[#This Row],[Bonus %]]*TBL_Employees3[[#This Row],[Annual Salary]]</f>
        <v>185383.45</v>
      </c>
      <c r="P113" t="str">
        <f>IF(AND(TBL_Employees3[[#This Row],[Department]]="IT",TBL_Employees3[[#This Row],[Gender]]="Female"),"Yes","No")</f>
        <v>Yes</v>
      </c>
      <c r="Q113" t="str">
        <f>IF(AND(TBL_Employees3[[#This Row],[Gender]]="Female",TBL_Employees3[[#This Row],[Ethnicity]]="Black"), "Female_Black", "Others")</f>
        <v>Others</v>
      </c>
      <c r="T113" t="str">
        <v>E01388</v>
      </c>
    </row>
    <row r="114" spans="1:20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7">
        <v>39064</v>
      </c>
      <c r="J114" s="1">
        <v>74738</v>
      </c>
      <c r="K114" s="2">
        <v>0</v>
      </c>
      <c r="L114" t="s">
        <v>19</v>
      </c>
      <c r="M114" t="s">
        <v>45</v>
      </c>
      <c r="N114" s="7" t="s">
        <v>21</v>
      </c>
      <c r="O114" s="1">
        <f>TBL_Employees3[[#This Row],[Annual Salary]]+TBL_Employees3[[#This Row],[Bonus %]]*TBL_Employees3[[#This Row],[Annual Salary]]</f>
        <v>74738</v>
      </c>
      <c r="P114" t="str">
        <f>IF(AND(TBL_Employees3[[#This Row],[Department]]="IT",TBL_Employees3[[#This Row],[Gender]]="Female"),"Yes","No")</f>
        <v>Yes</v>
      </c>
      <c r="Q114" t="str">
        <f>IF(AND(TBL_Employees3[[#This Row],[Gender]]="Female",TBL_Employees3[[#This Row],[Ethnicity]]="Black"), "Female_Black", "Others")</f>
        <v>Others</v>
      </c>
      <c r="T114" t="str">
        <v>E03875</v>
      </c>
    </row>
    <row r="115" spans="1:20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7">
        <v>43322</v>
      </c>
      <c r="J115" s="1">
        <v>171173</v>
      </c>
      <c r="K115" s="2">
        <v>0.21</v>
      </c>
      <c r="L115" t="s">
        <v>19</v>
      </c>
      <c r="M115" t="s">
        <v>29</v>
      </c>
      <c r="N115" s="7" t="s">
        <v>21</v>
      </c>
      <c r="O115" s="1">
        <f>TBL_Employees3[[#This Row],[Annual Salary]]+TBL_Employees3[[#This Row],[Bonus %]]*TBL_Employees3[[#This Row],[Annual Salary]]</f>
        <v>207119.33000000002</v>
      </c>
      <c r="P115" t="str">
        <f>IF(AND(TBL_Employees3[[#This Row],[Department]]="IT",TBL_Employees3[[#This Row],[Gender]]="Female"),"Yes","No")</f>
        <v>No</v>
      </c>
      <c r="Q115" t="str">
        <f>IF(AND(TBL_Employees3[[#This Row],[Gender]]="Female",TBL_Employees3[[#This Row],[Ethnicity]]="Black"), "Female_Black", "Others")</f>
        <v>Others</v>
      </c>
      <c r="T115" t="str">
        <v>E04413</v>
      </c>
    </row>
    <row r="116" spans="1:20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7">
        <v>43732</v>
      </c>
      <c r="J116" s="1">
        <v>201464</v>
      </c>
      <c r="K116" s="2">
        <v>0.37</v>
      </c>
      <c r="L116" t="s">
        <v>19</v>
      </c>
      <c r="M116" t="s">
        <v>20</v>
      </c>
      <c r="N116" s="7" t="s">
        <v>21</v>
      </c>
      <c r="O116" s="1">
        <f>TBL_Employees3[[#This Row],[Annual Salary]]+TBL_Employees3[[#This Row],[Bonus %]]*TBL_Employees3[[#This Row],[Annual Salary]]</f>
        <v>276005.68</v>
      </c>
      <c r="P116" t="str">
        <f>IF(AND(TBL_Employees3[[#This Row],[Department]]="IT",TBL_Employees3[[#This Row],[Gender]]="Female"),"Yes","No")</f>
        <v>No</v>
      </c>
      <c r="Q116" t="str">
        <f>IF(AND(TBL_Employees3[[#This Row],[Gender]]="Female",TBL_Employees3[[#This Row],[Ethnicity]]="Black"), "Female_Black", "Others")</f>
        <v>Others</v>
      </c>
      <c r="T116" t="str">
        <v>E00691</v>
      </c>
    </row>
    <row r="117" spans="1:20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7">
        <v>35998</v>
      </c>
      <c r="J117" s="1">
        <v>174895</v>
      </c>
      <c r="K117" s="2">
        <v>0.15</v>
      </c>
      <c r="L117" t="s">
        <v>19</v>
      </c>
      <c r="M117" t="s">
        <v>20</v>
      </c>
      <c r="N117" s="7" t="s">
        <v>21</v>
      </c>
      <c r="O117" s="1">
        <f>TBL_Employees3[[#This Row],[Annual Salary]]+TBL_Employees3[[#This Row],[Bonus %]]*TBL_Employees3[[#This Row],[Annual Salary]]</f>
        <v>201129.25</v>
      </c>
      <c r="P117" t="str">
        <f>IF(AND(TBL_Employees3[[#This Row],[Department]]="IT",TBL_Employees3[[#This Row],[Gender]]="Female"),"Yes","No")</f>
        <v>No</v>
      </c>
      <c r="Q117" t="str">
        <f>IF(AND(TBL_Employees3[[#This Row],[Gender]]="Female",TBL_Employees3[[#This Row],[Ethnicity]]="Black"), "Female_Black", "Others")</f>
        <v>Others</v>
      </c>
      <c r="T117" t="str">
        <v>E03047</v>
      </c>
    </row>
    <row r="118" spans="1:20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7">
        <v>38825</v>
      </c>
      <c r="J118" s="1">
        <v>134486</v>
      </c>
      <c r="K118" s="2">
        <v>0.14000000000000001</v>
      </c>
      <c r="L118" t="s">
        <v>19</v>
      </c>
      <c r="M118" t="s">
        <v>25</v>
      </c>
      <c r="N118" s="7" t="s">
        <v>21</v>
      </c>
      <c r="O118" s="1">
        <f>TBL_Employees3[[#This Row],[Annual Salary]]+TBL_Employees3[[#This Row],[Bonus %]]*TBL_Employees3[[#This Row],[Annual Salary]]</f>
        <v>153314.04</v>
      </c>
      <c r="P118" t="str">
        <f>IF(AND(TBL_Employees3[[#This Row],[Department]]="IT",TBL_Employees3[[#This Row],[Gender]]="Female"),"Yes","No")</f>
        <v>Yes</v>
      </c>
      <c r="Q118" t="str">
        <f>IF(AND(TBL_Employees3[[#This Row],[Gender]]="Female",TBL_Employees3[[#This Row],[Ethnicity]]="Black"), "Female_Black", "Others")</f>
        <v>Others</v>
      </c>
      <c r="T118" t="str">
        <v>E04903</v>
      </c>
    </row>
    <row r="119" spans="1:20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7">
        <v>39137</v>
      </c>
      <c r="J119" s="1">
        <v>71699</v>
      </c>
      <c r="K119" s="2">
        <v>0</v>
      </c>
      <c r="L119" t="s">
        <v>52</v>
      </c>
      <c r="M119" t="s">
        <v>81</v>
      </c>
      <c r="N119" s="7" t="s">
        <v>21</v>
      </c>
      <c r="O119" s="1">
        <f>TBL_Employees3[[#This Row],[Annual Salary]]+TBL_Employees3[[#This Row],[Bonus %]]*TBL_Employees3[[#This Row],[Annual Salary]]</f>
        <v>71699</v>
      </c>
      <c r="P119" t="str">
        <f>IF(AND(TBL_Employees3[[#This Row],[Department]]="IT",TBL_Employees3[[#This Row],[Gender]]="Female"),"Yes","No")</f>
        <v>No</v>
      </c>
      <c r="Q119" t="str">
        <f>IF(AND(TBL_Employees3[[#This Row],[Gender]]="Female",TBL_Employees3[[#This Row],[Ethnicity]]="Black"), "Female_Black", "Others")</f>
        <v>Others</v>
      </c>
      <c r="T119" t="str">
        <v>E04735</v>
      </c>
    </row>
    <row r="120" spans="1:20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7">
        <v>44198</v>
      </c>
      <c r="J120" s="1">
        <v>94430</v>
      </c>
      <c r="K120" s="2">
        <v>0</v>
      </c>
      <c r="L120" t="s">
        <v>19</v>
      </c>
      <c r="M120" t="s">
        <v>63</v>
      </c>
      <c r="N120" s="7" t="s">
        <v>21</v>
      </c>
      <c r="O120" s="1">
        <f>TBL_Employees3[[#This Row],[Annual Salary]]+TBL_Employees3[[#This Row],[Bonus %]]*TBL_Employees3[[#This Row],[Annual Salary]]</f>
        <v>94430</v>
      </c>
      <c r="P120" t="str">
        <f>IF(AND(TBL_Employees3[[#This Row],[Department]]="IT",TBL_Employees3[[#This Row],[Gender]]="Female"),"Yes","No")</f>
        <v>No</v>
      </c>
      <c r="Q120" t="str">
        <f>IF(AND(TBL_Employees3[[#This Row],[Gender]]="Female",TBL_Employees3[[#This Row],[Ethnicity]]="Black"), "Female_Black", "Others")</f>
        <v>Others</v>
      </c>
      <c r="T120" t="str">
        <v>E02850</v>
      </c>
    </row>
    <row r="121" spans="1:20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7">
        <v>40192</v>
      </c>
      <c r="J121" s="1">
        <v>103504</v>
      </c>
      <c r="K121" s="2">
        <v>7.0000000000000007E-2</v>
      </c>
      <c r="L121" t="s">
        <v>33</v>
      </c>
      <c r="M121" t="s">
        <v>34</v>
      </c>
      <c r="N121" s="7" t="s">
        <v>21</v>
      </c>
      <c r="O121" s="1">
        <f>TBL_Employees3[[#This Row],[Annual Salary]]+TBL_Employees3[[#This Row],[Bonus %]]*TBL_Employees3[[#This Row],[Annual Salary]]</f>
        <v>110749.28</v>
      </c>
      <c r="P121" t="str">
        <f>IF(AND(TBL_Employees3[[#This Row],[Department]]="IT",TBL_Employees3[[#This Row],[Gender]]="Female"),"Yes","No")</f>
        <v>No</v>
      </c>
      <c r="Q121" t="str">
        <f>IF(AND(TBL_Employees3[[#This Row],[Gender]]="Female",TBL_Employees3[[#This Row],[Ethnicity]]="Black"), "Female_Black", "Others")</f>
        <v>Others</v>
      </c>
      <c r="T121" t="str">
        <v>E03583</v>
      </c>
    </row>
    <row r="122" spans="1:20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7">
        <v>38573</v>
      </c>
      <c r="J122" s="1">
        <v>92771</v>
      </c>
      <c r="K122" s="2">
        <v>0</v>
      </c>
      <c r="L122" t="s">
        <v>19</v>
      </c>
      <c r="M122" t="s">
        <v>45</v>
      </c>
      <c r="N122" s="7" t="s">
        <v>21</v>
      </c>
      <c r="O122" s="1">
        <f>TBL_Employees3[[#This Row],[Annual Salary]]+TBL_Employees3[[#This Row],[Bonus %]]*TBL_Employees3[[#This Row],[Annual Salary]]</f>
        <v>92771</v>
      </c>
      <c r="P122" t="str">
        <f>IF(AND(TBL_Employees3[[#This Row],[Department]]="IT",TBL_Employees3[[#This Row],[Gender]]="Female"),"Yes","No")</f>
        <v>Yes</v>
      </c>
      <c r="Q122" t="str">
        <f>IF(AND(TBL_Employees3[[#This Row],[Gender]]="Female",TBL_Employees3[[#This Row],[Ethnicity]]="Black"), "Female_Black", "Others")</f>
        <v>Others</v>
      </c>
      <c r="T122" t="str">
        <v>E02017</v>
      </c>
    </row>
    <row r="123" spans="1:20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7">
        <v>38813</v>
      </c>
      <c r="J123" s="1">
        <v>71531</v>
      </c>
      <c r="K123" s="2">
        <v>0</v>
      </c>
      <c r="L123" t="s">
        <v>19</v>
      </c>
      <c r="M123" t="s">
        <v>29</v>
      </c>
      <c r="N123" s="7" t="s">
        <v>21</v>
      </c>
      <c r="O123" s="1">
        <f>TBL_Employees3[[#This Row],[Annual Salary]]+TBL_Employees3[[#This Row],[Bonus %]]*TBL_Employees3[[#This Row],[Annual Salary]]</f>
        <v>71531</v>
      </c>
      <c r="P123" t="str">
        <f>IF(AND(TBL_Employees3[[#This Row],[Department]]="IT",TBL_Employees3[[#This Row],[Gender]]="Female"),"Yes","No")</f>
        <v>No</v>
      </c>
      <c r="Q123" t="str">
        <f>IF(AND(TBL_Employees3[[#This Row],[Gender]]="Female",TBL_Employees3[[#This Row],[Ethnicity]]="Black"), "Female_Black", "Others")</f>
        <v>Others</v>
      </c>
      <c r="T123" t="str">
        <v>E01642</v>
      </c>
    </row>
    <row r="124" spans="1:20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7">
        <v>43530</v>
      </c>
      <c r="J124" s="1">
        <v>90304</v>
      </c>
      <c r="K124" s="2">
        <v>0</v>
      </c>
      <c r="L124" t="s">
        <v>19</v>
      </c>
      <c r="M124" t="s">
        <v>20</v>
      </c>
      <c r="N124" s="7" t="s">
        <v>21</v>
      </c>
      <c r="O124" s="1">
        <f>TBL_Employees3[[#This Row],[Annual Salary]]+TBL_Employees3[[#This Row],[Bonus %]]*TBL_Employees3[[#This Row],[Annual Salary]]</f>
        <v>90304</v>
      </c>
      <c r="P124" t="str">
        <f>IF(AND(TBL_Employees3[[#This Row],[Department]]="IT",TBL_Employees3[[#This Row],[Gender]]="Female"),"Yes","No")</f>
        <v>No</v>
      </c>
      <c r="Q124" t="str">
        <f>IF(AND(TBL_Employees3[[#This Row],[Gender]]="Female",TBL_Employees3[[#This Row],[Ethnicity]]="Black"), "Female_Black", "Others")</f>
        <v>Others</v>
      </c>
      <c r="T124" t="str">
        <v>E04379</v>
      </c>
    </row>
    <row r="125" spans="1:20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7">
        <v>40793</v>
      </c>
      <c r="J125" s="1">
        <v>104903</v>
      </c>
      <c r="K125" s="2">
        <v>0.1</v>
      </c>
      <c r="L125" t="s">
        <v>19</v>
      </c>
      <c r="M125" t="s">
        <v>29</v>
      </c>
      <c r="N125" s="7" t="s">
        <v>21</v>
      </c>
      <c r="O125" s="1">
        <f>TBL_Employees3[[#This Row],[Annual Salary]]+TBL_Employees3[[#This Row],[Bonus %]]*TBL_Employees3[[#This Row],[Annual Salary]]</f>
        <v>115393.3</v>
      </c>
      <c r="P125" t="str">
        <f>IF(AND(TBL_Employees3[[#This Row],[Department]]="IT",TBL_Employees3[[#This Row],[Gender]]="Female"),"Yes","No")</f>
        <v>No</v>
      </c>
      <c r="Q125" t="str">
        <f>IF(AND(TBL_Employees3[[#This Row],[Gender]]="Female",TBL_Employees3[[#This Row],[Ethnicity]]="Black"), "Female_Black", "Others")</f>
        <v>Others</v>
      </c>
      <c r="T125" t="str">
        <v>E04131</v>
      </c>
    </row>
    <row r="126" spans="1:20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7">
        <v>43515</v>
      </c>
      <c r="J126" s="1">
        <v>55859</v>
      </c>
      <c r="K126" s="2">
        <v>0</v>
      </c>
      <c r="L126" t="s">
        <v>33</v>
      </c>
      <c r="M126" t="s">
        <v>60</v>
      </c>
      <c r="N126" s="7" t="s">
        <v>21</v>
      </c>
      <c r="O126" s="1">
        <f>TBL_Employees3[[#This Row],[Annual Salary]]+TBL_Employees3[[#This Row],[Bonus %]]*TBL_Employees3[[#This Row],[Annual Salary]]</f>
        <v>55859</v>
      </c>
      <c r="P126" t="str">
        <f>IF(AND(TBL_Employees3[[#This Row],[Department]]="IT",TBL_Employees3[[#This Row],[Gender]]="Female"),"Yes","No")</f>
        <v>No</v>
      </c>
      <c r="Q126" t="str">
        <f>IF(AND(TBL_Employees3[[#This Row],[Gender]]="Female",TBL_Employees3[[#This Row],[Ethnicity]]="Black"), "Female_Black", "Others")</f>
        <v>Others</v>
      </c>
      <c r="T126" t="str">
        <v>E02872</v>
      </c>
    </row>
    <row r="127" spans="1:20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7">
        <v>39002</v>
      </c>
      <c r="J127" s="1">
        <v>79785</v>
      </c>
      <c r="K127" s="2">
        <v>0</v>
      </c>
      <c r="L127" t="s">
        <v>19</v>
      </c>
      <c r="M127" t="s">
        <v>25</v>
      </c>
      <c r="N127" s="7" t="s">
        <v>21</v>
      </c>
      <c r="O127" s="1">
        <f>TBL_Employees3[[#This Row],[Annual Salary]]+TBL_Employees3[[#This Row],[Bonus %]]*TBL_Employees3[[#This Row],[Annual Salary]]</f>
        <v>79785</v>
      </c>
      <c r="P127" t="str">
        <f>IF(AND(TBL_Employees3[[#This Row],[Department]]="IT",TBL_Employees3[[#This Row],[Gender]]="Female"),"Yes","No")</f>
        <v>No</v>
      </c>
      <c r="Q127" t="str">
        <f>IF(AND(TBL_Employees3[[#This Row],[Gender]]="Female",TBL_Employees3[[#This Row],[Ethnicity]]="Black"), "Female_Black", "Others")</f>
        <v>Others</v>
      </c>
      <c r="T127" t="str">
        <v>E02331</v>
      </c>
    </row>
    <row r="128" spans="1:20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7">
        <v>39391</v>
      </c>
      <c r="J128" s="1">
        <v>99017</v>
      </c>
      <c r="K128" s="2">
        <v>0</v>
      </c>
      <c r="L128" t="s">
        <v>33</v>
      </c>
      <c r="M128" t="s">
        <v>60</v>
      </c>
      <c r="N128" s="7" t="s">
        <v>21</v>
      </c>
      <c r="O128" s="1">
        <f>TBL_Employees3[[#This Row],[Annual Salary]]+TBL_Employees3[[#This Row],[Bonus %]]*TBL_Employees3[[#This Row],[Annual Salary]]</f>
        <v>99017</v>
      </c>
      <c r="P128" t="str">
        <f>IF(AND(TBL_Employees3[[#This Row],[Department]]="IT",TBL_Employees3[[#This Row],[Gender]]="Female"),"Yes","No")</f>
        <v>No</v>
      </c>
      <c r="Q128" t="str">
        <f>IF(AND(TBL_Employees3[[#This Row],[Gender]]="Female",TBL_Employees3[[#This Row],[Ethnicity]]="Black"), "Female_Black", "Others")</f>
        <v>Others</v>
      </c>
      <c r="T128" t="str">
        <v>E00417</v>
      </c>
    </row>
    <row r="129" spans="1:20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7">
        <v>33695</v>
      </c>
      <c r="J129" s="1">
        <v>53809</v>
      </c>
      <c r="K129" s="2">
        <v>0</v>
      </c>
      <c r="L129" t="s">
        <v>19</v>
      </c>
      <c r="M129" t="s">
        <v>39</v>
      </c>
      <c r="N129" s="7" t="s">
        <v>21</v>
      </c>
      <c r="O129" s="1">
        <f>TBL_Employees3[[#This Row],[Annual Salary]]+TBL_Employees3[[#This Row],[Bonus %]]*TBL_Employees3[[#This Row],[Annual Salary]]</f>
        <v>53809</v>
      </c>
      <c r="P129" t="str">
        <f>IF(AND(TBL_Employees3[[#This Row],[Department]]="IT",TBL_Employees3[[#This Row],[Gender]]="Female"),"Yes","No")</f>
        <v>Yes</v>
      </c>
      <c r="Q129" t="str">
        <f>IF(AND(TBL_Employees3[[#This Row],[Gender]]="Female",TBL_Employees3[[#This Row],[Ethnicity]]="Black"), "Female_Black", "Others")</f>
        <v>Others</v>
      </c>
      <c r="T129" t="str">
        <v>E04267</v>
      </c>
    </row>
    <row r="130" spans="1:20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7">
        <v>43937</v>
      </c>
      <c r="J130" s="1">
        <v>71864</v>
      </c>
      <c r="K130" s="2">
        <v>0</v>
      </c>
      <c r="L130" t="s">
        <v>33</v>
      </c>
      <c r="M130" t="s">
        <v>34</v>
      </c>
      <c r="N130" s="7" t="s">
        <v>21</v>
      </c>
      <c r="O130" s="1">
        <f>TBL_Employees3[[#This Row],[Annual Salary]]+TBL_Employees3[[#This Row],[Bonus %]]*TBL_Employees3[[#This Row],[Annual Salary]]</f>
        <v>71864</v>
      </c>
      <c r="P130" t="str">
        <f>IF(AND(TBL_Employees3[[#This Row],[Department]]="IT",TBL_Employees3[[#This Row],[Gender]]="Female"),"Yes","No")</f>
        <v>No</v>
      </c>
      <c r="Q130" t="str">
        <f>IF(AND(TBL_Employees3[[#This Row],[Gender]]="Female",TBL_Employees3[[#This Row],[Ethnicity]]="Black"), "Female_Black", "Others")</f>
        <v>Others</v>
      </c>
      <c r="T130" t="str">
        <v>E03061</v>
      </c>
    </row>
    <row r="131" spans="1:20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7">
        <v>40883</v>
      </c>
      <c r="J131" s="1">
        <v>225558</v>
      </c>
      <c r="K131" s="2">
        <v>0.33</v>
      </c>
      <c r="L131" t="s">
        <v>33</v>
      </c>
      <c r="M131" t="s">
        <v>74</v>
      </c>
      <c r="N131" s="7" t="s">
        <v>21</v>
      </c>
      <c r="O131" s="1">
        <f>TBL_Employees3[[#This Row],[Annual Salary]]+TBL_Employees3[[#This Row],[Bonus %]]*TBL_Employees3[[#This Row],[Annual Salary]]</f>
        <v>299992.14</v>
      </c>
      <c r="P131" t="str">
        <f>IF(AND(TBL_Employees3[[#This Row],[Department]]="IT",TBL_Employees3[[#This Row],[Gender]]="Female"),"Yes","No")</f>
        <v>No</v>
      </c>
      <c r="Q131" t="str">
        <f>IF(AND(TBL_Employees3[[#This Row],[Gender]]="Female",TBL_Employees3[[#This Row],[Ethnicity]]="Black"), "Female_Black", "Others")</f>
        <v>Others</v>
      </c>
      <c r="T131" t="str">
        <v>E00013</v>
      </c>
    </row>
    <row r="132" spans="1:20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7">
        <v>41695</v>
      </c>
      <c r="J132" s="1">
        <v>128984</v>
      </c>
      <c r="K132" s="2">
        <v>0.12</v>
      </c>
      <c r="L132" t="s">
        <v>19</v>
      </c>
      <c r="M132" t="s">
        <v>45</v>
      </c>
      <c r="N132" s="7">
        <v>44317</v>
      </c>
      <c r="O132" s="1">
        <f>TBL_Employees3[[#This Row],[Annual Salary]]+TBL_Employees3[[#This Row],[Bonus %]]*TBL_Employees3[[#This Row],[Annual Salary]]</f>
        <v>144462.07999999999</v>
      </c>
      <c r="P132" t="str">
        <f>IF(AND(TBL_Employees3[[#This Row],[Department]]="IT",TBL_Employees3[[#This Row],[Gender]]="Female"),"Yes","No")</f>
        <v>No</v>
      </c>
      <c r="Q132" t="str">
        <f>IF(AND(TBL_Employees3[[#This Row],[Gender]]="Female",TBL_Employees3[[#This Row],[Ethnicity]]="Black"), "Female_Black", "Others")</f>
        <v>Others</v>
      </c>
      <c r="T132" t="str">
        <v>E04265</v>
      </c>
    </row>
    <row r="133" spans="1:20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7">
        <v>36331</v>
      </c>
      <c r="J133" s="1">
        <v>96997</v>
      </c>
      <c r="K133" s="2">
        <v>0</v>
      </c>
      <c r="L133" t="s">
        <v>52</v>
      </c>
      <c r="M133" t="s">
        <v>53</v>
      </c>
      <c r="N133" s="7" t="s">
        <v>21</v>
      </c>
      <c r="O133" s="1">
        <f>TBL_Employees3[[#This Row],[Annual Salary]]+TBL_Employees3[[#This Row],[Bonus %]]*TBL_Employees3[[#This Row],[Annual Salary]]</f>
        <v>96997</v>
      </c>
      <c r="P133" t="str">
        <f>IF(AND(TBL_Employees3[[#This Row],[Department]]="IT",TBL_Employees3[[#This Row],[Gender]]="Female"),"Yes","No")</f>
        <v>No</v>
      </c>
      <c r="Q133" t="str">
        <f>IF(AND(TBL_Employees3[[#This Row],[Gender]]="Female",TBL_Employees3[[#This Row],[Ethnicity]]="Black"), "Female_Black", "Others")</f>
        <v>Others</v>
      </c>
      <c r="T133" t="str">
        <v>E04769</v>
      </c>
    </row>
    <row r="134" spans="1:20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7">
        <v>43122</v>
      </c>
      <c r="J134" s="1">
        <v>176294</v>
      </c>
      <c r="K134" s="2">
        <v>0.28000000000000003</v>
      </c>
      <c r="L134" t="s">
        <v>19</v>
      </c>
      <c r="M134" t="s">
        <v>25</v>
      </c>
      <c r="N134" s="7" t="s">
        <v>21</v>
      </c>
      <c r="O134" s="1">
        <f>TBL_Employees3[[#This Row],[Annual Salary]]+TBL_Employees3[[#This Row],[Bonus %]]*TBL_Employees3[[#This Row],[Annual Salary]]</f>
        <v>225656.32000000001</v>
      </c>
      <c r="P134" t="str">
        <f>IF(AND(TBL_Employees3[[#This Row],[Department]]="IT",TBL_Employees3[[#This Row],[Gender]]="Female"),"Yes","No")</f>
        <v>No</v>
      </c>
      <c r="Q134" t="str">
        <f>IF(AND(TBL_Employees3[[#This Row],[Gender]]="Female",TBL_Employees3[[#This Row],[Ethnicity]]="Black"), "Female_Black", "Others")</f>
        <v>Others</v>
      </c>
      <c r="T134" t="str">
        <v>E03042</v>
      </c>
    </row>
    <row r="135" spans="1:20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7">
        <v>44241</v>
      </c>
      <c r="J135" s="1">
        <v>48340</v>
      </c>
      <c r="K135" s="2">
        <v>0</v>
      </c>
      <c r="L135" t="s">
        <v>33</v>
      </c>
      <c r="M135" t="s">
        <v>60</v>
      </c>
      <c r="N135" s="7" t="s">
        <v>21</v>
      </c>
      <c r="O135" s="1">
        <f>TBL_Employees3[[#This Row],[Annual Salary]]+TBL_Employees3[[#This Row],[Bonus %]]*TBL_Employees3[[#This Row],[Annual Salary]]</f>
        <v>48340</v>
      </c>
      <c r="P135" t="str">
        <f>IF(AND(TBL_Employees3[[#This Row],[Department]]="IT",TBL_Employees3[[#This Row],[Gender]]="Female"),"Yes","No")</f>
        <v>No</v>
      </c>
      <c r="Q135" t="str">
        <f>IF(AND(TBL_Employees3[[#This Row],[Gender]]="Female",TBL_Employees3[[#This Row],[Ethnicity]]="Black"), "Female_Black", "Others")</f>
        <v>Others</v>
      </c>
      <c r="T135" t="str">
        <v>E00527</v>
      </c>
    </row>
    <row r="136" spans="1:20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7">
        <v>42922</v>
      </c>
      <c r="J136" s="1">
        <v>240488</v>
      </c>
      <c r="K136" s="2">
        <v>0.4</v>
      </c>
      <c r="L136" t="s">
        <v>52</v>
      </c>
      <c r="M136" t="s">
        <v>66</v>
      </c>
      <c r="N136" s="7" t="s">
        <v>21</v>
      </c>
      <c r="O136" s="1">
        <f>TBL_Employees3[[#This Row],[Annual Salary]]+TBL_Employees3[[#This Row],[Bonus %]]*TBL_Employees3[[#This Row],[Annual Salary]]</f>
        <v>336683.2</v>
      </c>
      <c r="P136" t="str">
        <f>IF(AND(TBL_Employees3[[#This Row],[Department]]="IT",TBL_Employees3[[#This Row],[Gender]]="Female"),"Yes","No")</f>
        <v>No</v>
      </c>
      <c r="Q136" t="str">
        <f>IF(AND(TBL_Employees3[[#This Row],[Gender]]="Female",TBL_Employees3[[#This Row],[Ethnicity]]="Black"), "Female_Black", "Others")</f>
        <v>Others</v>
      </c>
      <c r="T136" t="str">
        <v>E01095</v>
      </c>
    </row>
    <row r="137" spans="1:20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7">
        <v>40565</v>
      </c>
      <c r="J137" s="1">
        <v>97339</v>
      </c>
      <c r="K137" s="2">
        <v>0</v>
      </c>
      <c r="L137" t="s">
        <v>19</v>
      </c>
      <c r="M137" t="s">
        <v>25</v>
      </c>
      <c r="N137" s="7" t="s">
        <v>21</v>
      </c>
      <c r="O137" s="1">
        <f>TBL_Employees3[[#This Row],[Annual Salary]]+TBL_Employees3[[#This Row],[Bonus %]]*TBL_Employees3[[#This Row],[Annual Salary]]</f>
        <v>97339</v>
      </c>
      <c r="P137" t="str">
        <f>IF(AND(TBL_Employees3[[#This Row],[Department]]="IT",TBL_Employees3[[#This Row],[Gender]]="Female"),"Yes","No")</f>
        <v>No</v>
      </c>
      <c r="Q137" t="str">
        <f>IF(AND(TBL_Employees3[[#This Row],[Gender]]="Female",TBL_Employees3[[#This Row],[Ethnicity]]="Black"), "Female_Black", "Others")</f>
        <v>Others</v>
      </c>
      <c r="T137" t="str">
        <v>E03131</v>
      </c>
    </row>
    <row r="138" spans="1:20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7">
        <v>37680</v>
      </c>
      <c r="J138" s="1">
        <v>211291</v>
      </c>
      <c r="K138" s="2">
        <v>0.37</v>
      </c>
      <c r="L138" t="s">
        <v>33</v>
      </c>
      <c r="M138" t="s">
        <v>80</v>
      </c>
      <c r="N138" s="7" t="s">
        <v>21</v>
      </c>
      <c r="O138" s="1">
        <f>TBL_Employees3[[#This Row],[Annual Salary]]+TBL_Employees3[[#This Row],[Bonus %]]*TBL_Employees3[[#This Row],[Annual Salary]]</f>
        <v>289468.67</v>
      </c>
      <c r="P138" t="str">
        <f>IF(AND(TBL_Employees3[[#This Row],[Department]]="IT",TBL_Employees3[[#This Row],[Gender]]="Female"),"Yes","No")</f>
        <v>No</v>
      </c>
      <c r="Q138" t="str">
        <f>IF(AND(TBL_Employees3[[#This Row],[Gender]]="Female",TBL_Employees3[[#This Row],[Ethnicity]]="Black"), "Female_Black", "Others")</f>
        <v>Others</v>
      </c>
      <c r="T138" t="str">
        <v>E01713</v>
      </c>
    </row>
    <row r="139" spans="1:20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7">
        <v>40778</v>
      </c>
      <c r="J139" s="1">
        <v>249506</v>
      </c>
      <c r="K139" s="2">
        <v>0.3</v>
      </c>
      <c r="L139" t="s">
        <v>52</v>
      </c>
      <c r="M139" t="s">
        <v>66</v>
      </c>
      <c r="N139" s="7" t="s">
        <v>21</v>
      </c>
      <c r="O139" s="1">
        <f>TBL_Employees3[[#This Row],[Annual Salary]]+TBL_Employees3[[#This Row],[Bonus %]]*TBL_Employees3[[#This Row],[Annual Salary]]</f>
        <v>324357.8</v>
      </c>
      <c r="P139" t="str">
        <f>IF(AND(TBL_Employees3[[#This Row],[Department]]="IT",TBL_Employees3[[#This Row],[Gender]]="Female"),"Yes","No")</f>
        <v>No</v>
      </c>
      <c r="Q139" t="str">
        <f>IF(AND(TBL_Employees3[[#This Row],[Gender]]="Female",TBL_Employees3[[#This Row],[Ethnicity]]="Black"), "Female_Black", "Others")</f>
        <v>Others</v>
      </c>
      <c r="T139" t="str">
        <v>E00128</v>
      </c>
    </row>
    <row r="140" spans="1:20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7">
        <v>37582</v>
      </c>
      <c r="J140" s="1">
        <v>80950</v>
      </c>
      <c r="K140" s="2">
        <v>0</v>
      </c>
      <c r="L140" t="s">
        <v>33</v>
      </c>
      <c r="M140" t="s">
        <v>80</v>
      </c>
      <c r="N140" s="7" t="s">
        <v>21</v>
      </c>
      <c r="O140" s="1">
        <f>TBL_Employees3[[#This Row],[Annual Salary]]+TBL_Employees3[[#This Row],[Bonus %]]*TBL_Employees3[[#This Row],[Annual Salary]]</f>
        <v>80950</v>
      </c>
      <c r="P140" t="str">
        <f>IF(AND(TBL_Employees3[[#This Row],[Department]]="IT",TBL_Employees3[[#This Row],[Gender]]="Female"),"Yes","No")</f>
        <v>No</v>
      </c>
      <c r="Q140" t="str">
        <f>IF(AND(TBL_Employees3[[#This Row],[Gender]]="Female",TBL_Employees3[[#This Row],[Ethnicity]]="Black"), "Female_Black", "Others")</f>
        <v>Others</v>
      </c>
      <c r="T140" t="str">
        <v>E03849</v>
      </c>
    </row>
    <row r="141" spans="1:20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7">
        <v>44206</v>
      </c>
      <c r="J141" s="1">
        <v>86538</v>
      </c>
      <c r="K141" s="2">
        <v>0</v>
      </c>
      <c r="L141" t="s">
        <v>33</v>
      </c>
      <c r="M141" t="s">
        <v>34</v>
      </c>
      <c r="N141" s="7" t="s">
        <v>21</v>
      </c>
      <c r="O141" s="1">
        <f>TBL_Employees3[[#This Row],[Annual Salary]]+TBL_Employees3[[#This Row],[Bonus %]]*TBL_Employees3[[#This Row],[Annual Salary]]</f>
        <v>86538</v>
      </c>
      <c r="P141" t="str">
        <f>IF(AND(TBL_Employees3[[#This Row],[Department]]="IT",TBL_Employees3[[#This Row],[Gender]]="Female"),"Yes","No")</f>
        <v>No</v>
      </c>
      <c r="Q141" t="str">
        <f>IF(AND(TBL_Employees3[[#This Row],[Gender]]="Female",TBL_Employees3[[#This Row],[Ethnicity]]="Black"), "Female_Black", "Others")</f>
        <v>Others</v>
      </c>
      <c r="T141" t="str">
        <v>E02464</v>
      </c>
    </row>
    <row r="142" spans="1:20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7">
        <v>43715</v>
      </c>
      <c r="J142" s="1">
        <v>70992</v>
      </c>
      <c r="K142" s="2">
        <v>0</v>
      </c>
      <c r="L142" t="s">
        <v>19</v>
      </c>
      <c r="M142" t="s">
        <v>25</v>
      </c>
      <c r="N142" s="7" t="s">
        <v>21</v>
      </c>
      <c r="O142" s="1">
        <f>TBL_Employees3[[#This Row],[Annual Salary]]+TBL_Employees3[[#This Row],[Bonus %]]*TBL_Employees3[[#This Row],[Annual Salary]]</f>
        <v>70992</v>
      </c>
      <c r="P142" t="str">
        <f>IF(AND(TBL_Employees3[[#This Row],[Department]]="IT",TBL_Employees3[[#This Row],[Gender]]="Female"),"Yes","No")</f>
        <v>No</v>
      </c>
      <c r="Q142" t="str">
        <f>IF(AND(TBL_Employees3[[#This Row],[Gender]]="Female",TBL_Employees3[[#This Row],[Ethnicity]]="Black"), "Female_Black", "Others")</f>
        <v>Others</v>
      </c>
      <c r="T142" t="str">
        <v>E00306</v>
      </c>
    </row>
    <row r="143" spans="1:20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7">
        <v>42173</v>
      </c>
      <c r="J143" s="1">
        <v>205314</v>
      </c>
      <c r="K143" s="2">
        <v>0.3</v>
      </c>
      <c r="L143" t="s">
        <v>19</v>
      </c>
      <c r="M143" t="s">
        <v>29</v>
      </c>
      <c r="N143" s="7" t="s">
        <v>21</v>
      </c>
      <c r="O143" s="1">
        <f>TBL_Employees3[[#This Row],[Annual Salary]]+TBL_Employees3[[#This Row],[Bonus %]]*TBL_Employees3[[#This Row],[Annual Salary]]</f>
        <v>266908.2</v>
      </c>
      <c r="P143" t="str">
        <f>IF(AND(TBL_Employees3[[#This Row],[Department]]="IT",TBL_Employees3[[#This Row],[Gender]]="Female"),"Yes","No")</f>
        <v>No</v>
      </c>
      <c r="Q143" t="str">
        <f>IF(AND(TBL_Employees3[[#This Row],[Gender]]="Female",TBL_Employees3[[#This Row],[Ethnicity]]="Black"), "Female_Black", "Others")</f>
        <v>Others</v>
      </c>
      <c r="T143" t="str">
        <v>E03737</v>
      </c>
    </row>
    <row r="144" spans="1:20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7">
        <v>42804</v>
      </c>
      <c r="J144" s="1">
        <v>196951</v>
      </c>
      <c r="K144" s="2">
        <v>0.33</v>
      </c>
      <c r="L144" t="s">
        <v>33</v>
      </c>
      <c r="M144" t="s">
        <v>60</v>
      </c>
      <c r="N144" s="7" t="s">
        <v>21</v>
      </c>
      <c r="O144" s="1">
        <f>TBL_Employees3[[#This Row],[Annual Salary]]+TBL_Employees3[[#This Row],[Bonus %]]*TBL_Employees3[[#This Row],[Annual Salary]]</f>
        <v>261944.83000000002</v>
      </c>
      <c r="P144" t="str">
        <f>IF(AND(TBL_Employees3[[#This Row],[Department]]="IT",TBL_Employees3[[#This Row],[Gender]]="Female"),"Yes","No")</f>
        <v>No</v>
      </c>
      <c r="Q144" t="str">
        <f>IF(AND(TBL_Employees3[[#This Row],[Gender]]="Female",TBL_Employees3[[#This Row],[Ethnicity]]="Black"), "Female_Black", "Others")</f>
        <v>Others</v>
      </c>
      <c r="T144" t="str">
        <v>E02783</v>
      </c>
    </row>
    <row r="145" spans="1:20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7">
        <v>38613</v>
      </c>
      <c r="J145" s="1">
        <v>67686</v>
      </c>
      <c r="K145" s="2">
        <v>0</v>
      </c>
      <c r="L145" t="s">
        <v>33</v>
      </c>
      <c r="M145" t="s">
        <v>60</v>
      </c>
      <c r="N145" s="7" t="s">
        <v>21</v>
      </c>
      <c r="O145" s="1">
        <f>TBL_Employees3[[#This Row],[Annual Salary]]+TBL_Employees3[[#This Row],[Bonus %]]*TBL_Employees3[[#This Row],[Annual Salary]]</f>
        <v>67686</v>
      </c>
      <c r="P145" t="str">
        <f>IF(AND(TBL_Employees3[[#This Row],[Department]]="IT",TBL_Employees3[[#This Row],[Gender]]="Female"),"Yes","No")</f>
        <v>No</v>
      </c>
      <c r="Q145" t="str">
        <f>IF(AND(TBL_Employees3[[#This Row],[Gender]]="Female",TBL_Employees3[[#This Row],[Ethnicity]]="Black"), "Female_Black", "Others")</f>
        <v>Others</v>
      </c>
      <c r="T145" t="str">
        <v>E02939</v>
      </c>
    </row>
    <row r="146" spans="1:20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7">
        <v>39553</v>
      </c>
      <c r="J146" s="1">
        <v>86431</v>
      </c>
      <c r="K146" s="2">
        <v>0</v>
      </c>
      <c r="L146" t="s">
        <v>19</v>
      </c>
      <c r="M146" t="s">
        <v>29</v>
      </c>
      <c r="N146" s="7" t="s">
        <v>21</v>
      </c>
      <c r="O146" s="1">
        <f>TBL_Employees3[[#This Row],[Annual Salary]]+TBL_Employees3[[#This Row],[Bonus %]]*TBL_Employees3[[#This Row],[Annual Salary]]</f>
        <v>86431</v>
      </c>
      <c r="P146" t="str">
        <f>IF(AND(TBL_Employees3[[#This Row],[Department]]="IT",TBL_Employees3[[#This Row],[Gender]]="Female"),"Yes","No")</f>
        <v>No</v>
      </c>
      <c r="Q146" t="str">
        <f>IF(AND(TBL_Employees3[[#This Row],[Gender]]="Female",TBL_Employees3[[#This Row],[Ethnicity]]="Black"), "Female_Black", "Others")</f>
        <v>Others</v>
      </c>
      <c r="T146" t="str">
        <v>E02706</v>
      </c>
    </row>
    <row r="147" spans="1:20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7">
        <v>35019</v>
      </c>
      <c r="J147" s="1">
        <v>125936</v>
      </c>
      <c r="K147" s="2">
        <v>0.08</v>
      </c>
      <c r="L147" t="s">
        <v>33</v>
      </c>
      <c r="M147" t="s">
        <v>80</v>
      </c>
      <c r="N147" s="7" t="s">
        <v>21</v>
      </c>
      <c r="O147" s="1">
        <f>TBL_Employees3[[#This Row],[Annual Salary]]+TBL_Employees3[[#This Row],[Bonus %]]*TBL_Employees3[[#This Row],[Annual Salary]]</f>
        <v>136010.88</v>
      </c>
      <c r="P147" t="str">
        <f>IF(AND(TBL_Employees3[[#This Row],[Department]]="IT",TBL_Employees3[[#This Row],[Gender]]="Female"),"Yes","No")</f>
        <v>No</v>
      </c>
      <c r="Q147" t="str">
        <f>IF(AND(TBL_Employees3[[#This Row],[Gender]]="Female",TBL_Employees3[[#This Row],[Ethnicity]]="Black"), "Female_Black", "Others")</f>
        <v>Others</v>
      </c>
      <c r="T147" t="str">
        <v>E00170</v>
      </c>
    </row>
    <row r="148" spans="1:20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7">
        <v>41473</v>
      </c>
      <c r="J148" s="1">
        <v>149712</v>
      </c>
      <c r="K148" s="2">
        <v>0.14000000000000001</v>
      </c>
      <c r="L148" t="s">
        <v>19</v>
      </c>
      <c r="M148" t="s">
        <v>29</v>
      </c>
      <c r="N148" s="7" t="s">
        <v>21</v>
      </c>
      <c r="O148" s="1">
        <f>TBL_Employees3[[#This Row],[Annual Salary]]+TBL_Employees3[[#This Row],[Bonus %]]*TBL_Employees3[[#This Row],[Annual Salary]]</f>
        <v>170671.68</v>
      </c>
      <c r="P148" t="str">
        <f>IF(AND(TBL_Employees3[[#This Row],[Department]]="IT",TBL_Employees3[[#This Row],[Gender]]="Female"),"Yes","No")</f>
        <v>No</v>
      </c>
      <c r="Q148" t="str">
        <f>IF(AND(TBL_Employees3[[#This Row],[Gender]]="Female",TBL_Employees3[[#This Row],[Ethnicity]]="Black"), "Female_Black", "Others")</f>
        <v>Others</v>
      </c>
      <c r="T148" t="str">
        <v>E01425</v>
      </c>
    </row>
    <row r="149" spans="1:20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7">
        <v>44471</v>
      </c>
      <c r="J149" s="1">
        <v>88758</v>
      </c>
      <c r="K149" s="2">
        <v>0</v>
      </c>
      <c r="L149" t="s">
        <v>19</v>
      </c>
      <c r="M149" t="s">
        <v>63</v>
      </c>
      <c r="N149" s="7" t="s">
        <v>21</v>
      </c>
      <c r="O149" s="1">
        <f>TBL_Employees3[[#This Row],[Annual Salary]]+TBL_Employees3[[#This Row],[Bonus %]]*TBL_Employees3[[#This Row],[Annual Salary]]</f>
        <v>88758</v>
      </c>
      <c r="P149" t="str">
        <f>IF(AND(TBL_Employees3[[#This Row],[Department]]="IT",TBL_Employees3[[#This Row],[Gender]]="Female"),"Yes","No")</f>
        <v>No</v>
      </c>
      <c r="Q149" t="str">
        <f>IF(AND(TBL_Employees3[[#This Row],[Gender]]="Female",TBL_Employees3[[#This Row],[Ethnicity]]="Black"), "Female_Black", "Others")</f>
        <v>Others</v>
      </c>
      <c r="T149" t="str">
        <v>E00130</v>
      </c>
    </row>
    <row r="150" spans="1:20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7">
        <v>41468</v>
      </c>
      <c r="J150" s="1">
        <v>83639</v>
      </c>
      <c r="K150" s="2">
        <v>0</v>
      </c>
      <c r="L150" t="s">
        <v>33</v>
      </c>
      <c r="M150" t="s">
        <v>60</v>
      </c>
      <c r="N150" s="7" t="s">
        <v>21</v>
      </c>
      <c r="O150" s="1">
        <f>TBL_Employees3[[#This Row],[Annual Salary]]+TBL_Employees3[[#This Row],[Bonus %]]*TBL_Employees3[[#This Row],[Annual Salary]]</f>
        <v>83639</v>
      </c>
      <c r="P150" t="str">
        <f>IF(AND(TBL_Employees3[[#This Row],[Department]]="IT",TBL_Employees3[[#This Row],[Gender]]="Female"),"Yes","No")</f>
        <v>No</v>
      </c>
      <c r="Q150" t="str">
        <f>IF(AND(TBL_Employees3[[#This Row],[Gender]]="Female",TBL_Employees3[[#This Row],[Ethnicity]]="Black"), "Female_Black", "Others")</f>
        <v>Others</v>
      </c>
      <c r="T150" t="str">
        <v>E02094</v>
      </c>
    </row>
    <row r="151" spans="1:20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7">
        <v>35933</v>
      </c>
      <c r="J151" s="1">
        <v>68268</v>
      </c>
      <c r="K151" s="2">
        <v>0</v>
      </c>
      <c r="L151" t="s">
        <v>19</v>
      </c>
      <c r="M151" t="s">
        <v>39</v>
      </c>
      <c r="N151" s="7" t="s">
        <v>21</v>
      </c>
      <c r="O151" s="1">
        <f>TBL_Employees3[[#This Row],[Annual Salary]]+TBL_Employees3[[#This Row],[Bonus %]]*TBL_Employees3[[#This Row],[Annual Salary]]</f>
        <v>68268</v>
      </c>
      <c r="P151" t="str">
        <f>IF(AND(TBL_Employees3[[#This Row],[Department]]="IT",TBL_Employees3[[#This Row],[Gender]]="Female"),"Yes","No")</f>
        <v>Yes</v>
      </c>
      <c r="Q151" t="str">
        <f>IF(AND(TBL_Employees3[[#This Row],[Gender]]="Female",TBL_Employees3[[#This Row],[Ethnicity]]="Black"), "Female_Black", "Others")</f>
        <v>Others</v>
      </c>
      <c r="T151" t="str">
        <v>E03567</v>
      </c>
    </row>
    <row r="152" spans="1:20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7">
        <v>37313</v>
      </c>
      <c r="J152" s="1">
        <v>75819</v>
      </c>
      <c r="K152" s="2">
        <v>0</v>
      </c>
      <c r="L152" t="s">
        <v>52</v>
      </c>
      <c r="M152" t="s">
        <v>53</v>
      </c>
      <c r="N152" s="7" t="s">
        <v>21</v>
      </c>
      <c r="O152" s="1">
        <f>TBL_Employees3[[#This Row],[Annual Salary]]+TBL_Employees3[[#This Row],[Bonus %]]*TBL_Employees3[[#This Row],[Annual Salary]]</f>
        <v>75819</v>
      </c>
      <c r="P152" t="str">
        <f>IF(AND(TBL_Employees3[[#This Row],[Department]]="IT",TBL_Employees3[[#This Row],[Gender]]="Female"),"Yes","No")</f>
        <v>No</v>
      </c>
      <c r="Q152" t="str">
        <f>IF(AND(TBL_Employees3[[#This Row],[Gender]]="Female",TBL_Employees3[[#This Row],[Ethnicity]]="Black"), "Female_Black", "Others")</f>
        <v>Others</v>
      </c>
      <c r="T152" t="str">
        <v>E04682</v>
      </c>
    </row>
    <row r="153" spans="1:20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7">
        <v>35200</v>
      </c>
      <c r="J153" s="1">
        <v>86658</v>
      </c>
      <c r="K153" s="2">
        <v>0</v>
      </c>
      <c r="L153" t="s">
        <v>19</v>
      </c>
      <c r="M153" t="s">
        <v>39</v>
      </c>
      <c r="N153" s="7" t="s">
        <v>21</v>
      </c>
      <c r="O153" s="1">
        <f>TBL_Employees3[[#This Row],[Annual Salary]]+TBL_Employees3[[#This Row],[Bonus %]]*TBL_Employees3[[#This Row],[Annual Salary]]</f>
        <v>86658</v>
      </c>
      <c r="P153" t="str">
        <f>IF(AND(TBL_Employees3[[#This Row],[Department]]="IT",TBL_Employees3[[#This Row],[Gender]]="Female"),"Yes","No")</f>
        <v>No</v>
      </c>
      <c r="Q153" t="str">
        <f>IF(AND(TBL_Employees3[[#This Row],[Gender]]="Female",TBL_Employees3[[#This Row],[Ethnicity]]="Black"), "Female_Black", "Others")</f>
        <v>Others</v>
      </c>
      <c r="T153" t="str">
        <v>E00957</v>
      </c>
    </row>
    <row r="154" spans="1:20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7">
        <v>41714</v>
      </c>
      <c r="J154" s="1">
        <v>74552</v>
      </c>
      <c r="K154" s="2">
        <v>0</v>
      </c>
      <c r="L154" t="s">
        <v>33</v>
      </c>
      <c r="M154" t="s">
        <v>34</v>
      </c>
      <c r="N154" s="7" t="s">
        <v>21</v>
      </c>
      <c r="O154" s="1">
        <f>TBL_Employees3[[#This Row],[Annual Salary]]+TBL_Employees3[[#This Row],[Bonus %]]*TBL_Employees3[[#This Row],[Annual Salary]]</f>
        <v>74552</v>
      </c>
      <c r="P154" t="str">
        <f>IF(AND(TBL_Employees3[[#This Row],[Department]]="IT",TBL_Employees3[[#This Row],[Gender]]="Female"),"Yes","No")</f>
        <v>No</v>
      </c>
      <c r="Q154" t="str">
        <f>IF(AND(TBL_Employees3[[#This Row],[Gender]]="Female",TBL_Employees3[[#This Row],[Ethnicity]]="Black"), "Female_Black", "Others")</f>
        <v>Others</v>
      </c>
      <c r="T154" t="str">
        <v>E04458</v>
      </c>
    </row>
    <row r="155" spans="1:20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7">
        <v>39887</v>
      </c>
      <c r="J155" s="1">
        <v>82839</v>
      </c>
      <c r="K155" s="2">
        <v>0</v>
      </c>
      <c r="L155" t="s">
        <v>19</v>
      </c>
      <c r="M155" t="s">
        <v>45</v>
      </c>
      <c r="N155" s="7" t="s">
        <v>21</v>
      </c>
      <c r="O155" s="1">
        <f>TBL_Employees3[[#This Row],[Annual Salary]]+TBL_Employees3[[#This Row],[Bonus %]]*TBL_Employees3[[#This Row],[Annual Salary]]</f>
        <v>82839</v>
      </c>
      <c r="P155" t="str">
        <f>IF(AND(TBL_Employees3[[#This Row],[Department]]="IT",TBL_Employees3[[#This Row],[Gender]]="Female"),"Yes","No")</f>
        <v>Yes</v>
      </c>
      <c r="Q155" t="str">
        <f>IF(AND(TBL_Employees3[[#This Row],[Gender]]="Female",TBL_Employees3[[#This Row],[Ethnicity]]="Black"), "Female_Black", "Others")</f>
        <v>Others</v>
      </c>
      <c r="T155" t="str">
        <v>E00521</v>
      </c>
    </row>
    <row r="156" spans="1:20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7">
        <v>44477</v>
      </c>
      <c r="J156" s="1">
        <v>64475</v>
      </c>
      <c r="K156" s="2">
        <v>0</v>
      </c>
      <c r="L156" t="s">
        <v>19</v>
      </c>
      <c r="M156" t="s">
        <v>39</v>
      </c>
      <c r="N156" s="7" t="s">
        <v>21</v>
      </c>
      <c r="O156" s="1">
        <f>TBL_Employees3[[#This Row],[Annual Salary]]+TBL_Employees3[[#This Row],[Bonus %]]*TBL_Employees3[[#This Row],[Annual Salary]]</f>
        <v>64475</v>
      </c>
      <c r="P156" t="str">
        <f>IF(AND(TBL_Employees3[[#This Row],[Department]]="IT",TBL_Employees3[[#This Row],[Gender]]="Female"),"Yes","No")</f>
        <v>Yes</v>
      </c>
      <c r="Q156" t="str">
        <f>IF(AND(TBL_Employees3[[#This Row],[Gender]]="Female",TBL_Employees3[[#This Row],[Ethnicity]]="Black"), "Female_Black", "Others")</f>
        <v>Others</v>
      </c>
      <c r="T156" t="str">
        <v>E03717</v>
      </c>
    </row>
    <row r="157" spans="1:20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7">
        <v>44036</v>
      </c>
      <c r="J157" s="1">
        <v>69453</v>
      </c>
      <c r="K157" s="2">
        <v>0</v>
      </c>
      <c r="L157" t="s">
        <v>33</v>
      </c>
      <c r="M157" t="s">
        <v>34</v>
      </c>
      <c r="N157" s="7" t="s">
        <v>21</v>
      </c>
      <c r="O157" s="1">
        <f>TBL_Employees3[[#This Row],[Annual Salary]]+TBL_Employees3[[#This Row],[Bonus %]]*TBL_Employees3[[#This Row],[Annual Salary]]</f>
        <v>69453</v>
      </c>
      <c r="P157" t="str">
        <f>IF(AND(TBL_Employees3[[#This Row],[Department]]="IT",TBL_Employees3[[#This Row],[Gender]]="Female"),"Yes","No")</f>
        <v>No</v>
      </c>
      <c r="Q157" t="str">
        <f>IF(AND(TBL_Employees3[[#This Row],[Gender]]="Female",TBL_Employees3[[#This Row],[Ethnicity]]="Black"), "Female_Black", "Others")</f>
        <v>Others</v>
      </c>
      <c r="T157" t="str">
        <v>E01533</v>
      </c>
    </row>
    <row r="158" spans="1:20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7">
        <v>41642</v>
      </c>
      <c r="J158" s="1">
        <v>127148</v>
      </c>
      <c r="K158" s="2">
        <v>0.1</v>
      </c>
      <c r="L158" t="s">
        <v>19</v>
      </c>
      <c r="M158" t="s">
        <v>45</v>
      </c>
      <c r="N158" s="7" t="s">
        <v>21</v>
      </c>
      <c r="O158" s="1">
        <f>TBL_Employees3[[#This Row],[Annual Salary]]+TBL_Employees3[[#This Row],[Bonus %]]*TBL_Employees3[[#This Row],[Annual Salary]]</f>
        <v>139862.79999999999</v>
      </c>
      <c r="P158" t="str">
        <f>IF(AND(TBL_Employees3[[#This Row],[Department]]="IT",TBL_Employees3[[#This Row],[Gender]]="Female"),"Yes","No")</f>
        <v>No</v>
      </c>
      <c r="Q158" t="str">
        <f>IF(AND(TBL_Employees3[[#This Row],[Gender]]="Female",TBL_Employees3[[#This Row],[Ethnicity]]="Black"), "Female_Black", "Others")</f>
        <v>Others</v>
      </c>
      <c r="T158" t="str">
        <v>E04449</v>
      </c>
    </row>
    <row r="159" spans="1:20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7">
        <v>43102</v>
      </c>
      <c r="J159" s="1">
        <v>190253</v>
      </c>
      <c r="K159" s="2">
        <v>0.33</v>
      </c>
      <c r="L159" t="s">
        <v>19</v>
      </c>
      <c r="M159" t="s">
        <v>25</v>
      </c>
      <c r="N159" s="7" t="s">
        <v>21</v>
      </c>
      <c r="O159" s="1">
        <f>TBL_Employees3[[#This Row],[Annual Salary]]+TBL_Employees3[[#This Row],[Bonus %]]*TBL_Employees3[[#This Row],[Annual Salary]]</f>
        <v>253036.49</v>
      </c>
      <c r="P159" t="str">
        <f>IF(AND(TBL_Employees3[[#This Row],[Department]]="IT",TBL_Employees3[[#This Row],[Gender]]="Female"),"Yes","No")</f>
        <v>No</v>
      </c>
      <c r="Q159" t="str">
        <f>IF(AND(TBL_Employees3[[#This Row],[Gender]]="Female",TBL_Employees3[[#This Row],[Ethnicity]]="Black"), "Female_Black", "Others")</f>
        <v>Others</v>
      </c>
      <c r="T159" t="str">
        <v>E02855</v>
      </c>
    </row>
    <row r="160" spans="1:20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7">
        <v>36644</v>
      </c>
      <c r="J160" s="1">
        <v>115798</v>
      </c>
      <c r="K160" s="2">
        <v>0.05</v>
      </c>
      <c r="L160" t="s">
        <v>19</v>
      </c>
      <c r="M160" t="s">
        <v>45</v>
      </c>
      <c r="N160" s="7" t="s">
        <v>21</v>
      </c>
      <c r="O160" s="1">
        <f>TBL_Employees3[[#This Row],[Annual Salary]]+TBL_Employees3[[#This Row],[Bonus %]]*TBL_Employees3[[#This Row],[Annual Salary]]</f>
        <v>121587.9</v>
      </c>
      <c r="P160" t="str">
        <f>IF(AND(TBL_Employees3[[#This Row],[Department]]="IT",TBL_Employees3[[#This Row],[Gender]]="Female"),"Yes","No")</f>
        <v>No</v>
      </c>
      <c r="Q160" t="str">
        <f>IF(AND(TBL_Employees3[[#This Row],[Gender]]="Female",TBL_Employees3[[#This Row],[Ethnicity]]="Black"), "Female_Black", "Others")</f>
        <v>Others</v>
      </c>
      <c r="T160" t="str">
        <v>E00816</v>
      </c>
    </row>
    <row r="161" spans="1:20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7">
        <v>34567</v>
      </c>
      <c r="J161" s="1">
        <v>93102</v>
      </c>
      <c r="K161" s="2">
        <v>0</v>
      </c>
      <c r="L161" t="s">
        <v>19</v>
      </c>
      <c r="M161" t="s">
        <v>63</v>
      </c>
      <c r="N161" s="7">
        <v>41621</v>
      </c>
      <c r="O161" s="1">
        <f>TBL_Employees3[[#This Row],[Annual Salary]]+TBL_Employees3[[#This Row],[Bonus %]]*TBL_Employees3[[#This Row],[Annual Salary]]</f>
        <v>93102</v>
      </c>
      <c r="P161" t="str">
        <f>IF(AND(TBL_Employees3[[#This Row],[Department]]="IT",TBL_Employees3[[#This Row],[Gender]]="Female"),"Yes","No")</f>
        <v>No</v>
      </c>
      <c r="Q161" t="str">
        <f>IF(AND(TBL_Employees3[[#This Row],[Gender]]="Female",TBL_Employees3[[#This Row],[Ethnicity]]="Black"), "Female_Black", "Others")</f>
        <v>Others</v>
      </c>
      <c r="T161" t="str">
        <v>E02283</v>
      </c>
    </row>
    <row r="162" spans="1:20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7">
        <v>43055</v>
      </c>
      <c r="J162" s="1">
        <v>110054</v>
      </c>
      <c r="K162" s="2">
        <v>0.15</v>
      </c>
      <c r="L162" t="s">
        <v>19</v>
      </c>
      <c r="M162" t="s">
        <v>45</v>
      </c>
      <c r="N162" s="7" t="s">
        <v>21</v>
      </c>
      <c r="O162" s="1">
        <f>TBL_Employees3[[#This Row],[Annual Salary]]+TBL_Employees3[[#This Row],[Bonus %]]*TBL_Employees3[[#This Row],[Annual Salary]]</f>
        <v>126562.1</v>
      </c>
      <c r="P162" t="str">
        <f>IF(AND(TBL_Employees3[[#This Row],[Department]]="IT",TBL_Employees3[[#This Row],[Gender]]="Female"),"Yes","No")</f>
        <v>No</v>
      </c>
      <c r="Q162" t="str">
        <f>IF(AND(TBL_Employees3[[#This Row],[Gender]]="Female",TBL_Employees3[[#This Row],[Ethnicity]]="Black"), "Female_Black", "Others")</f>
        <v>Others</v>
      </c>
      <c r="T162" t="str">
        <v>E04888</v>
      </c>
    </row>
    <row r="163" spans="1:20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7">
        <v>44224</v>
      </c>
      <c r="J163" s="1">
        <v>95786</v>
      </c>
      <c r="K163" s="2">
        <v>0</v>
      </c>
      <c r="L163" t="s">
        <v>19</v>
      </c>
      <c r="M163" t="s">
        <v>20</v>
      </c>
      <c r="N163" s="7" t="s">
        <v>21</v>
      </c>
      <c r="O163" s="1">
        <f>TBL_Employees3[[#This Row],[Annual Salary]]+TBL_Employees3[[#This Row],[Bonus %]]*TBL_Employees3[[#This Row],[Annual Salary]]</f>
        <v>95786</v>
      </c>
      <c r="P163" t="str">
        <f>IF(AND(TBL_Employees3[[#This Row],[Department]]="IT",TBL_Employees3[[#This Row],[Gender]]="Female"),"Yes","No")</f>
        <v>No</v>
      </c>
      <c r="Q163" t="str">
        <f>IF(AND(TBL_Employees3[[#This Row],[Gender]]="Female",TBL_Employees3[[#This Row],[Ethnicity]]="Black"), "Female_Black", "Others")</f>
        <v>Female_Black</v>
      </c>
      <c r="T163" t="str">
        <v>E03907</v>
      </c>
    </row>
    <row r="164" spans="1:20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7">
        <v>42858</v>
      </c>
      <c r="J164" s="1">
        <v>90855</v>
      </c>
      <c r="K164" s="2">
        <v>0</v>
      </c>
      <c r="L164" t="s">
        <v>52</v>
      </c>
      <c r="M164" t="s">
        <v>53</v>
      </c>
      <c r="N164" s="7" t="s">
        <v>21</v>
      </c>
      <c r="O164" s="1">
        <f>TBL_Employees3[[#This Row],[Annual Salary]]+TBL_Employees3[[#This Row],[Bonus %]]*TBL_Employees3[[#This Row],[Annual Salary]]</f>
        <v>90855</v>
      </c>
      <c r="P164" t="str">
        <f>IF(AND(TBL_Employees3[[#This Row],[Department]]="IT",TBL_Employees3[[#This Row],[Gender]]="Female"),"Yes","No")</f>
        <v>No</v>
      </c>
      <c r="Q164" t="str">
        <f>IF(AND(TBL_Employees3[[#This Row],[Gender]]="Female",TBL_Employees3[[#This Row],[Ethnicity]]="Black"), "Female_Black", "Others")</f>
        <v>Others</v>
      </c>
      <c r="T164" t="str">
        <v>E01501</v>
      </c>
    </row>
    <row r="165" spans="1:20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7">
        <v>36233</v>
      </c>
      <c r="J165" s="1">
        <v>92897</v>
      </c>
      <c r="K165" s="2">
        <v>0</v>
      </c>
      <c r="L165" t="s">
        <v>52</v>
      </c>
      <c r="M165" t="s">
        <v>53</v>
      </c>
      <c r="N165" s="7" t="s">
        <v>21</v>
      </c>
      <c r="O165" s="1">
        <f>TBL_Employees3[[#This Row],[Annual Salary]]+TBL_Employees3[[#This Row],[Bonus %]]*TBL_Employees3[[#This Row],[Annual Salary]]</f>
        <v>92897</v>
      </c>
      <c r="P165" t="str">
        <f>IF(AND(TBL_Employees3[[#This Row],[Department]]="IT",TBL_Employees3[[#This Row],[Gender]]="Female"),"Yes","No")</f>
        <v>No</v>
      </c>
      <c r="Q165" t="str">
        <f>IF(AND(TBL_Employees3[[#This Row],[Gender]]="Female",TBL_Employees3[[#This Row],[Ethnicity]]="Black"), "Female_Black", "Others")</f>
        <v>Others</v>
      </c>
      <c r="T165" t="str">
        <v>E01141</v>
      </c>
    </row>
    <row r="166" spans="1:20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7">
        <v>39872</v>
      </c>
      <c r="J166" s="1">
        <v>242919</v>
      </c>
      <c r="K166" s="2">
        <v>0.31</v>
      </c>
      <c r="L166" t="s">
        <v>33</v>
      </c>
      <c r="M166" t="s">
        <v>80</v>
      </c>
      <c r="N166" s="7" t="s">
        <v>21</v>
      </c>
      <c r="O166" s="1">
        <f>TBL_Employees3[[#This Row],[Annual Salary]]+TBL_Employees3[[#This Row],[Bonus %]]*TBL_Employees3[[#This Row],[Annual Salary]]</f>
        <v>318223.89</v>
      </c>
      <c r="P166" t="str">
        <f>IF(AND(TBL_Employees3[[#This Row],[Department]]="IT",TBL_Employees3[[#This Row],[Gender]]="Female"),"Yes","No")</f>
        <v>No</v>
      </c>
      <c r="Q166" t="str">
        <f>IF(AND(TBL_Employees3[[#This Row],[Gender]]="Female",TBL_Employees3[[#This Row],[Ethnicity]]="Black"), "Female_Black", "Others")</f>
        <v>Others</v>
      </c>
      <c r="T166" t="str">
        <v>E02254</v>
      </c>
    </row>
    <row r="167" spans="1:20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7">
        <v>43240</v>
      </c>
      <c r="J167" s="1">
        <v>184368</v>
      </c>
      <c r="K167" s="2">
        <v>0.28999999999999998</v>
      </c>
      <c r="L167" t="s">
        <v>19</v>
      </c>
      <c r="M167" t="s">
        <v>25</v>
      </c>
      <c r="N167" s="7" t="s">
        <v>21</v>
      </c>
      <c r="O167" s="1">
        <f>TBL_Employees3[[#This Row],[Annual Salary]]+TBL_Employees3[[#This Row],[Bonus %]]*TBL_Employees3[[#This Row],[Annual Salary]]</f>
        <v>237834.72</v>
      </c>
      <c r="P167" t="str">
        <f>IF(AND(TBL_Employees3[[#This Row],[Department]]="IT",TBL_Employees3[[#This Row],[Gender]]="Female"),"Yes","No")</f>
        <v>No</v>
      </c>
      <c r="Q167" t="str">
        <f>IF(AND(TBL_Employees3[[#This Row],[Gender]]="Female",TBL_Employees3[[#This Row],[Ethnicity]]="Black"), "Female_Black", "Others")</f>
        <v>Others</v>
      </c>
      <c r="T167" t="str">
        <v>E04504</v>
      </c>
    </row>
    <row r="168" spans="1:20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7">
        <v>44554</v>
      </c>
      <c r="J168" s="1">
        <v>144754</v>
      </c>
      <c r="K168" s="2">
        <v>0.15</v>
      </c>
      <c r="L168" t="s">
        <v>19</v>
      </c>
      <c r="M168" t="s">
        <v>39</v>
      </c>
      <c r="N168" s="7" t="s">
        <v>21</v>
      </c>
      <c r="O168" s="1">
        <f>TBL_Employees3[[#This Row],[Annual Salary]]+TBL_Employees3[[#This Row],[Bonus %]]*TBL_Employees3[[#This Row],[Annual Salary]]</f>
        <v>166467.1</v>
      </c>
      <c r="P168" t="str">
        <f>IF(AND(TBL_Employees3[[#This Row],[Department]]="IT",TBL_Employees3[[#This Row],[Gender]]="Female"),"Yes","No")</f>
        <v>No</v>
      </c>
      <c r="Q168" t="str">
        <f>IF(AND(TBL_Employees3[[#This Row],[Gender]]="Female",TBL_Employees3[[#This Row],[Ethnicity]]="Black"), "Female_Black", "Others")</f>
        <v>Others</v>
      </c>
      <c r="T168" t="str">
        <v>E03394</v>
      </c>
    </row>
    <row r="169" spans="1:20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7">
        <v>42722</v>
      </c>
      <c r="J169" s="1">
        <v>89458</v>
      </c>
      <c r="K169" s="2">
        <v>0</v>
      </c>
      <c r="L169" t="s">
        <v>19</v>
      </c>
      <c r="M169" t="s">
        <v>25</v>
      </c>
      <c r="N169" s="7" t="s">
        <v>21</v>
      </c>
      <c r="O169" s="1">
        <f>TBL_Employees3[[#This Row],[Annual Salary]]+TBL_Employees3[[#This Row],[Bonus %]]*TBL_Employees3[[#This Row],[Annual Salary]]</f>
        <v>89458</v>
      </c>
      <c r="P169" t="str">
        <f>IF(AND(TBL_Employees3[[#This Row],[Department]]="IT",TBL_Employees3[[#This Row],[Gender]]="Female"),"Yes","No")</f>
        <v>No</v>
      </c>
      <c r="Q169" t="str">
        <f>IF(AND(TBL_Employees3[[#This Row],[Gender]]="Female",TBL_Employees3[[#This Row],[Ethnicity]]="Black"), "Female_Black", "Others")</f>
        <v>Others</v>
      </c>
      <c r="T169" t="str">
        <v>E02942</v>
      </c>
    </row>
    <row r="170" spans="1:20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7">
        <v>41714</v>
      </c>
      <c r="J170" s="1">
        <v>190815</v>
      </c>
      <c r="K170" s="2">
        <v>0.4</v>
      </c>
      <c r="L170" t="s">
        <v>19</v>
      </c>
      <c r="M170" t="s">
        <v>25</v>
      </c>
      <c r="N170" s="7" t="s">
        <v>21</v>
      </c>
      <c r="O170" s="1">
        <f>TBL_Employees3[[#This Row],[Annual Salary]]+TBL_Employees3[[#This Row],[Bonus %]]*TBL_Employees3[[#This Row],[Annual Salary]]</f>
        <v>267141</v>
      </c>
      <c r="P170" t="str">
        <f>IF(AND(TBL_Employees3[[#This Row],[Department]]="IT",TBL_Employees3[[#This Row],[Gender]]="Female"),"Yes","No")</f>
        <v>No</v>
      </c>
      <c r="Q170" t="str">
        <f>IF(AND(TBL_Employees3[[#This Row],[Gender]]="Female",TBL_Employees3[[#This Row],[Ethnicity]]="Black"), "Female_Black", "Others")</f>
        <v>Others</v>
      </c>
      <c r="T170" t="str">
        <v>E04130</v>
      </c>
    </row>
    <row r="171" spans="1:20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7">
        <v>36374</v>
      </c>
      <c r="J171" s="1">
        <v>137995</v>
      </c>
      <c r="K171" s="2">
        <v>0.14000000000000001</v>
      </c>
      <c r="L171" t="s">
        <v>19</v>
      </c>
      <c r="M171" t="s">
        <v>25</v>
      </c>
      <c r="N171" s="7" t="s">
        <v>21</v>
      </c>
      <c r="O171" s="1">
        <f>TBL_Employees3[[#This Row],[Annual Salary]]+TBL_Employees3[[#This Row],[Bonus %]]*TBL_Employees3[[#This Row],[Annual Salary]]</f>
        <v>157314.29999999999</v>
      </c>
      <c r="P171" t="str">
        <f>IF(AND(TBL_Employees3[[#This Row],[Department]]="IT",TBL_Employees3[[#This Row],[Gender]]="Female"),"Yes","No")</f>
        <v>No</v>
      </c>
      <c r="Q171" t="str">
        <f>IF(AND(TBL_Employees3[[#This Row],[Gender]]="Female",TBL_Employees3[[#This Row],[Ethnicity]]="Black"), "Female_Black", "Others")</f>
        <v>Others</v>
      </c>
      <c r="T171" t="str">
        <v>E02848</v>
      </c>
    </row>
    <row r="172" spans="1:20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7">
        <v>39437</v>
      </c>
      <c r="J172" s="1">
        <v>93840</v>
      </c>
      <c r="K172" s="2">
        <v>0</v>
      </c>
      <c r="L172" t="s">
        <v>52</v>
      </c>
      <c r="M172" t="s">
        <v>81</v>
      </c>
      <c r="N172" s="7" t="s">
        <v>21</v>
      </c>
      <c r="O172" s="1">
        <f>TBL_Employees3[[#This Row],[Annual Salary]]+TBL_Employees3[[#This Row],[Bonus %]]*TBL_Employees3[[#This Row],[Annual Salary]]</f>
        <v>93840</v>
      </c>
      <c r="P172" t="str">
        <f>IF(AND(TBL_Employees3[[#This Row],[Department]]="IT",TBL_Employees3[[#This Row],[Gender]]="Female"),"Yes","No")</f>
        <v>No</v>
      </c>
      <c r="Q172" t="str">
        <f>IF(AND(TBL_Employees3[[#This Row],[Gender]]="Female",TBL_Employees3[[#This Row],[Ethnicity]]="Black"), "Female_Black", "Others")</f>
        <v>Others</v>
      </c>
      <c r="T172" t="str">
        <v>E00085</v>
      </c>
    </row>
    <row r="173" spans="1:20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7">
        <v>44495</v>
      </c>
      <c r="J173" s="1">
        <v>94790</v>
      </c>
      <c r="K173" s="2">
        <v>0</v>
      </c>
      <c r="L173" t="s">
        <v>33</v>
      </c>
      <c r="M173" t="s">
        <v>80</v>
      </c>
      <c r="N173" s="7" t="s">
        <v>21</v>
      </c>
      <c r="O173" s="1">
        <f>TBL_Employees3[[#This Row],[Annual Salary]]+TBL_Employees3[[#This Row],[Bonus %]]*TBL_Employees3[[#This Row],[Annual Salary]]</f>
        <v>94790</v>
      </c>
      <c r="P173" t="str">
        <f>IF(AND(TBL_Employees3[[#This Row],[Department]]="IT",TBL_Employees3[[#This Row],[Gender]]="Female"),"Yes","No")</f>
        <v>No</v>
      </c>
      <c r="Q173" t="str">
        <f>IF(AND(TBL_Employees3[[#This Row],[Gender]]="Female",TBL_Employees3[[#This Row],[Ethnicity]]="Black"), "Female_Black", "Others")</f>
        <v>Others</v>
      </c>
      <c r="T173" t="str">
        <v>E03956</v>
      </c>
    </row>
    <row r="174" spans="1:20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7">
        <v>41706</v>
      </c>
      <c r="J174" s="1">
        <v>197367</v>
      </c>
      <c r="K174" s="2">
        <v>0.39</v>
      </c>
      <c r="L174" t="s">
        <v>19</v>
      </c>
      <c r="M174" t="s">
        <v>25</v>
      </c>
      <c r="N174" s="7" t="s">
        <v>21</v>
      </c>
      <c r="O174" s="1">
        <f>TBL_Employees3[[#This Row],[Annual Salary]]+TBL_Employees3[[#This Row],[Bonus %]]*TBL_Employees3[[#This Row],[Annual Salary]]</f>
        <v>274340.13</v>
      </c>
      <c r="P174" t="str">
        <f>IF(AND(TBL_Employees3[[#This Row],[Department]]="IT",TBL_Employees3[[#This Row],[Gender]]="Female"),"Yes","No")</f>
        <v>No</v>
      </c>
      <c r="Q174" t="str">
        <f>IF(AND(TBL_Employees3[[#This Row],[Gender]]="Female",TBL_Employees3[[#This Row],[Ethnicity]]="Black"), "Female_Black", "Others")</f>
        <v>Others</v>
      </c>
      <c r="T174" t="str">
        <v>E00672</v>
      </c>
    </row>
    <row r="175" spans="1:20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7">
        <v>43276</v>
      </c>
      <c r="J175" s="1">
        <v>174097</v>
      </c>
      <c r="K175" s="2">
        <v>0.21</v>
      </c>
      <c r="L175" t="s">
        <v>19</v>
      </c>
      <c r="M175" t="s">
        <v>39</v>
      </c>
      <c r="N175" s="7" t="s">
        <v>21</v>
      </c>
      <c r="O175" s="1">
        <f>TBL_Employees3[[#This Row],[Annual Salary]]+TBL_Employees3[[#This Row],[Bonus %]]*TBL_Employees3[[#This Row],[Annual Salary]]</f>
        <v>210657.37</v>
      </c>
      <c r="P175" t="str">
        <f>IF(AND(TBL_Employees3[[#This Row],[Department]]="IT",TBL_Employees3[[#This Row],[Gender]]="Female"),"Yes","No")</f>
        <v>No</v>
      </c>
      <c r="Q175" t="str">
        <f>IF(AND(TBL_Employees3[[#This Row],[Gender]]="Female",TBL_Employees3[[#This Row],[Ethnicity]]="Black"), "Female_Black", "Others")</f>
        <v>Others</v>
      </c>
      <c r="T175" t="str">
        <v>E04618</v>
      </c>
    </row>
    <row r="176" spans="1:20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7">
        <v>39021</v>
      </c>
      <c r="J176" s="1">
        <v>120128</v>
      </c>
      <c r="K176" s="2">
        <v>0.1</v>
      </c>
      <c r="L176" t="s">
        <v>19</v>
      </c>
      <c r="M176" t="s">
        <v>25</v>
      </c>
      <c r="N176" s="7" t="s">
        <v>21</v>
      </c>
      <c r="O176" s="1">
        <f>TBL_Employees3[[#This Row],[Annual Salary]]+TBL_Employees3[[#This Row],[Bonus %]]*TBL_Employees3[[#This Row],[Annual Salary]]</f>
        <v>132140.79999999999</v>
      </c>
      <c r="P176" t="str">
        <f>IF(AND(TBL_Employees3[[#This Row],[Department]]="IT",TBL_Employees3[[#This Row],[Gender]]="Female"),"Yes","No")</f>
        <v>No</v>
      </c>
      <c r="Q176" t="str">
        <f>IF(AND(TBL_Employees3[[#This Row],[Gender]]="Female",TBL_Employees3[[#This Row],[Ethnicity]]="Black"), "Female_Black", "Others")</f>
        <v>Others</v>
      </c>
      <c r="T176" t="str">
        <v>E03506</v>
      </c>
    </row>
    <row r="177" spans="1:20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7">
        <v>39197</v>
      </c>
      <c r="J177" s="1">
        <v>129708</v>
      </c>
      <c r="K177" s="2">
        <v>0.05</v>
      </c>
      <c r="L177" t="s">
        <v>19</v>
      </c>
      <c r="M177" t="s">
        <v>45</v>
      </c>
      <c r="N177" s="7" t="s">
        <v>21</v>
      </c>
      <c r="O177" s="1">
        <f>TBL_Employees3[[#This Row],[Annual Salary]]+TBL_Employees3[[#This Row],[Bonus %]]*TBL_Employees3[[#This Row],[Annual Salary]]</f>
        <v>136193.4</v>
      </c>
      <c r="P177" t="str">
        <f>IF(AND(TBL_Employees3[[#This Row],[Department]]="IT",TBL_Employees3[[#This Row],[Gender]]="Female"),"Yes","No")</f>
        <v>No</v>
      </c>
      <c r="Q177" t="str">
        <f>IF(AND(TBL_Employees3[[#This Row],[Gender]]="Female",TBL_Employees3[[#This Row],[Ethnicity]]="Black"), "Female_Black", "Others")</f>
        <v>Others</v>
      </c>
      <c r="T177" t="str">
        <v>E00568</v>
      </c>
    </row>
    <row r="178" spans="1:20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7">
        <v>34595</v>
      </c>
      <c r="J178" s="1">
        <v>102270</v>
      </c>
      <c r="K178" s="2">
        <v>0.1</v>
      </c>
      <c r="L178" t="s">
        <v>19</v>
      </c>
      <c r="M178" t="s">
        <v>20</v>
      </c>
      <c r="N178" s="7" t="s">
        <v>21</v>
      </c>
      <c r="O178" s="1">
        <f>TBL_Employees3[[#This Row],[Annual Salary]]+TBL_Employees3[[#This Row],[Bonus %]]*TBL_Employees3[[#This Row],[Annual Salary]]</f>
        <v>112497</v>
      </c>
      <c r="P178" t="str">
        <f>IF(AND(TBL_Employees3[[#This Row],[Department]]="IT",TBL_Employees3[[#This Row],[Gender]]="Female"),"Yes","No")</f>
        <v>No</v>
      </c>
      <c r="Q178" t="str">
        <f>IF(AND(TBL_Employees3[[#This Row],[Gender]]="Female",TBL_Employees3[[#This Row],[Ethnicity]]="Black"), "Female_Black", "Others")</f>
        <v>Others</v>
      </c>
      <c r="T178" t="str">
        <v>E00535</v>
      </c>
    </row>
    <row r="179" spans="1:20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7">
        <v>38564</v>
      </c>
      <c r="J179" s="1">
        <v>249686</v>
      </c>
      <c r="K179" s="2">
        <v>0.31</v>
      </c>
      <c r="L179" t="s">
        <v>33</v>
      </c>
      <c r="M179" t="s">
        <v>80</v>
      </c>
      <c r="N179" s="7" t="s">
        <v>21</v>
      </c>
      <c r="O179" s="1">
        <f>TBL_Employees3[[#This Row],[Annual Salary]]+TBL_Employees3[[#This Row],[Bonus %]]*TBL_Employees3[[#This Row],[Annual Salary]]</f>
        <v>327088.66000000003</v>
      </c>
      <c r="P179" t="str">
        <f>IF(AND(TBL_Employees3[[#This Row],[Department]]="IT",TBL_Employees3[[#This Row],[Gender]]="Female"),"Yes","No")</f>
        <v>No</v>
      </c>
      <c r="Q179" t="str">
        <f>IF(AND(TBL_Employees3[[#This Row],[Gender]]="Female",TBL_Employees3[[#This Row],[Ethnicity]]="Black"), "Female_Black", "Others")</f>
        <v>Others</v>
      </c>
      <c r="T179" t="str">
        <v>E04630</v>
      </c>
    </row>
    <row r="180" spans="1:20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7">
        <v>37343</v>
      </c>
      <c r="J180" s="1">
        <v>50475</v>
      </c>
      <c r="K180" s="2">
        <v>0</v>
      </c>
      <c r="L180" t="s">
        <v>19</v>
      </c>
      <c r="M180" t="s">
        <v>29</v>
      </c>
      <c r="N180" s="7" t="s">
        <v>21</v>
      </c>
      <c r="O180" s="1">
        <f>TBL_Employees3[[#This Row],[Annual Salary]]+TBL_Employees3[[#This Row],[Bonus %]]*TBL_Employees3[[#This Row],[Annual Salary]]</f>
        <v>50475</v>
      </c>
      <c r="P180" t="str">
        <f>IF(AND(TBL_Employees3[[#This Row],[Department]]="IT",TBL_Employees3[[#This Row],[Gender]]="Female"),"Yes","No")</f>
        <v>No</v>
      </c>
      <c r="Q180" t="str">
        <f>IF(AND(TBL_Employees3[[#This Row],[Gender]]="Female",TBL_Employees3[[#This Row],[Ethnicity]]="Black"), "Female_Black", "Others")</f>
        <v>Others</v>
      </c>
      <c r="T180" t="str">
        <v>E00874</v>
      </c>
    </row>
    <row r="181" spans="1:20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7">
        <v>44014</v>
      </c>
      <c r="J181" s="1">
        <v>100099</v>
      </c>
      <c r="K181" s="2">
        <v>0.08</v>
      </c>
      <c r="L181" t="s">
        <v>19</v>
      </c>
      <c r="M181" t="s">
        <v>45</v>
      </c>
      <c r="N181" s="7" t="s">
        <v>21</v>
      </c>
      <c r="O181" s="1">
        <f>TBL_Employees3[[#This Row],[Annual Salary]]+TBL_Employees3[[#This Row],[Bonus %]]*TBL_Employees3[[#This Row],[Annual Salary]]</f>
        <v>108106.92</v>
      </c>
      <c r="P181" t="str">
        <f>IF(AND(TBL_Employees3[[#This Row],[Department]]="IT",TBL_Employees3[[#This Row],[Gender]]="Female"),"Yes","No")</f>
        <v>No</v>
      </c>
      <c r="Q181" t="str">
        <f>IF(AND(TBL_Employees3[[#This Row],[Gender]]="Female",TBL_Employees3[[#This Row],[Ethnicity]]="Black"), "Female_Black", "Others")</f>
        <v>Others</v>
      </c>
      <c r="T181" t="str">
        <v>E01546</v>
      </c>
    </row>
    <row r="182" spans="1:20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7">
        <v>42731</v>
      </c>
      <c r="J182" s="1">
        <v>41673</v>
      </c>
      <c r="K182" s="2">
        <v>0</v>
      </c>
      <c r="L182" t="s">
        <v>19</v>
      </c>
      <c r="M182" t="s">
        <v>45</v>
      </c>
      <c r="N182" s="7" t="s">
        <v>21</v>
      </c>
      <c r="O182" s="1">
        <f>TBL_Employees3[[#This Row],[Annual Salary]]+TBL_Employees3[[#This Row],[Bonus %]]*TBL_Employees3[[#This Row],[Annual Salary]]</f>
        <v>41673</v>
      </c>
      <c r="P182" t="str">
        <f>IF(AND(TBL_Employees3[[#This Row],[Department]]="IT",TBL_Employees3[[#This Row],[Gender]]="Female"),"Yes","No")</f>
        <v>Yes</v>
      </c>
      <c r="Q182" t="str">
        <f>IF(AND(TBL_Employees3[[#This Row],[Gender]]="Female",TBL_Employees3[[#This Row],[Ethnicity]]="Black"), "Female_Black", "Others")</f>
        <v>Others</v>
      </c>
      <c r="T182" t="str">
        <v>E00941</v>
      </c>
    </row>
    <row r="183" spans="1:20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7">
        <v>42928</v>
      </c>
      <c r="J183" s="1">
        <v>70996</v>
      </c>
      <c r="K183" s="2">
        <v>0</v>
      </c>
      <c r="L183" t="s">
        <v>33</v>
      </c>
      <c r="M183" t="s">
        <v>34</v>
      </c>
      <c r="N183" s="7" t="s">
        <v>21</v>
      </c>
      <c r="O183" s="1">
        <f>TBL_Employees3[[#This Row],[Annual Salary]]+TBL_Employees3[[#This Row],[Bonus %]]*TBL_Employees3[[#This Row],[Annual Salary]]</f>
        <v>70996</v>
      </c>
      <c r="P183" t="str">
        <f>IF(AND(TBL_Employees3[[#This Row],[Department]]="IT",TBL_Employees3[[#This Row],[Gender]]="Female"),"Yes","No")</f>
        <v>No</v>
      </c>
      <c r="Q183" t="str">
        <f>IF(AND(TBL_Employees3[[#This Row],[Gender]]="Female",TBL_Employees3[[#This Row],[Ethnicity]]="Black"), "Female_Black", "Others")</f>
        <v>Others</v>
      </c>
      <c r="T183" t="str">
        <v>E03446</v>
      </c>
    </row>
    <row r="184" spans="1:20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7">
        <v>38328</v>
      </c>
      <c r="J184" s="1">
        <v>40752</v>
      </c>
      <c r="K184" s="2">
        <v>0</v>
      </c>
      <c r="L184" t="s">
        <v>19</v>
      </c>
      <c r="M184" t="s">
        <v>39</v>
      </c>
      <c r="N184" s="7" t="s">
        <v>21</v>
      </c>
      <c r="O184" s="1">
        <f>TBL_Employees3[[#This Row],[Annual Salary]]+TBL_Employees3[[#This Row],[Bonus %]]*TBL_Employees3[[#This Row],[Annual Salary]]</f>
        <v>40752</v>
      </c>
      <c r="P184" t="str">
        <f>IF(AND(TBL_Employees3[[#This Row],[Department]]="IT",TBL_Employees3[[#This Row],[Gender]]="Female"),"Yes","No")</f>
        <v>No</v>
      </c>
      <c r="Q184" t="str">
        <f>IF(AND(TBL_Employees3[[#This Row],[Gender]]="Female",TBL_Employees3[[#This Row],[Ethnicity]]="Black"), "Female_Black", "Others")</f>
        <v>Others</v>
      </c>
      <c r="T184" t="str">
        <v>E01361</v>
      </c>
    </row>
    <row r="185" spans="1:20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7">
        <v>36914</v>
      </c>
      <c r="J185" s="1">
        <v>97537</v>
      </c>
      <c r="K185" s="2">
        <v>0</v>
      </c>
      <c r="L185" t="s">
        <v>33</v>
      </c>
      <c r="M185" t="s">
        <v>34</v>
      </c>
      <c r="N185" s="7" t="s">
        <v>21</v>
      </c>
      <c r="O185" s="1">
        <f>TBL_Employees3[[#This Row],[Annual Salary]]+TBL_Employees3[[#This Row],[Bonus %]]*TBL_Employees3[[#This Row],[Annual Salary]]</f>
        <v>97537</v>
      </c>
      <c r="P185" t="str">
        <f>IF(AND(TBL_Employees3[[#This Row],[Department]]="IT",TBL_Employees3[[#This Row],[Gender]]="Female"),"Yes","No")</f>
        <v>Yes</v>
      </c>
      <c r="Q185" t="str">
        <f>IF(AND(TBL_Employees3[[#This Row],[Gender]]="Female",TBL_Employees3[[#This Row],[Ethnicity]]="Black"), "Female_Black", "Others")</f>
        <v>Others</v>
      </c>
      <c r="T185" t="str">
        <v>E01631</v>
      </c>
    </row>
    <row r="186" spans="1:20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7">
        <v>44086</v>
      </c>
      <c r="J186" s="1">
        <v>96567</v>
      </c>
      <c r="K186" s="2">
        <v>0</v>
      </c>
      <c r="L186" t="s">
        <v>33</v>
      </c>
      <c r="M186" t="s">
        <v>74</v>
      </c>
      <c r="N186" s="7" t="s">
        <v>21</v>
      </c>
      <c r="O186" s="1">
        <f>TBL_Employees3[[#This Row],[Annual Salary]]+TBL_Employees3[[#This Row],[Bonus %]]*TBL_Employees3[[#This Row],[Annual Salary]]</f>
        <v>96567</v>
      </c>
      <c r="P186" t="str">
        <f>IF(AND(TBL_Employees3[[#This Row],[Department]]="IT",TBL_Employees3[[#This Row],[Gender]]="Female"),"Yes","No")</f>
        <v>No</v>
      </c>
      <c r="Q186" t="str">
        <f>IF(AND(TBL_Employees3[[#This Row],[Gender]]="Female",TBL_Employees3[[#This Row],[Ethnicity]]="Black"), "Female_Black", "Others")</f>
        <v>Others</v>
      </c>
      <c r="T186" t="str">
        <v>E03719</v>
      </c>
    </row>
    <row r="187" spans="1:20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7">
        <v>36229</v>
      </c>
      <c r="J187" s="1">
        <v>49404</v>
      </c>
      <c r="K187" s="2">
        <v>0</v>
      </c>
      <c r="L187" t="s">
        <v>33</v>
      </c>
      <c r="M187" t="s">
        <v>60</v>
      </c>
      <c r="N187" s="7" t="s">
        <v>21</v>
      </c>
      <c r="O187" s="1">
        <f>TBL_Employees3[[#This Row],[Annual Salary]]+TBL_Employees3[[#This Row],[Bonus %]]*TBL_Employees3[[#This Row],[Annual Salary]]</f>
        <v>49404</v>
      </c>
      <c r="P187" t="str">
        <f>IF(AND(TBL_Employees3[[#This Row],[Department]]="IT",TBL_Employees3[[#This Row],[Gender]]="Female"),"Yes","No")</f>
        <v>No</v>
      </c>
      <c r="Q187" t="str">
        <f>IF(AND(TBL_Employees3[[#This Row],[Gender]]="Female",TBL_Employees3[[#This Row],[Ethnicity]]="Black"), "Female_Black", "Others")</f>
        <v>Others</v>
      </c>
      <c r="T187" t="str">
        <v>E03269</v>
      </c>
    </row>
    <row r="188" spans="1:20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7">
        <v>43753</v>
      </c>
      <c r="J188" s="1">
        <v>66819</v>
      </c>
      <c r="K188" s="2">
        <v>0</v>
      </c>
      <c r="L188" t="s">
        <v>52</v>
      </c>
      <c r="M188" t="s">
        <v>66</v>
      </c>
      <c r="N188" s="7" t="s">
        <v>21</v>
      </c>
      <c r="O188" s="1">
        <f>TBL_Employees3[[#This Row],[Annual Salary]]+TBL_Employees3[[#This Row],[Bonus %]]*TBL_Employees3[[#This Row],[Annual Salary]]</f>
        <v>66819</v>
      </c>
      <c r="P188" t="str">
        <f>IF(AND(TBL_Employees3[[#This Row],[Department]]="IT",TBL_Employees3[[#This Row],[Gender]]="Female"),"Yes","No")</f>
        <v>No</v>
      </c>
      <c r="Q188" t="str">
        <f>IF(AND(TBL_Employees3[[#This Row],[Gender]]="Female",TBL_Employees3[[#This Row],[Ethnicity]]="Black"), "Female_Black", "Others")</f>
        <v>Others</v>
      </c>
      <c r="T188" t="str">
        <v>E01037</v>
      </c>
    </row>
    <row r="189" spans="1:20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7">
        <v>42492</v>
      </c>
      <c r="J189" s="1">
        <v>50784</v>
      </c>
      <c r="K189" s="2">
        <v>0</v>
      </c>
      <c r="L189" t="s">
        <v>52</v>
      </c>
      <c r="M189" t="s">
        <v>66</v>
      </c>
      <c r="N189" s="7" t="s">
        <v>21</v>
      </c>
      <c r="O189" s="1">
        <f>TBL_Employees3[[#This Row],[Annual Salary]]+TBL_Employees3[[#This Row],[Bonus %]]*TBL_Employees3[[#This Row],[Annual Salary]]</f>
        <v>50784</v>
      </c>
      <c r="P189" t="str">
        <f>IF(AND(TBL_Employees3[[#This Row],[Department]]="IT",TBL_Employees3[[#This Row],[Gender]]="Female"),"Yes","No")</f>
        <v>No</v>
      </c>
      <c r="Q189" t="str">
        <f>IF(AND(TBL_Employees3[[#This Row],[Gender]]="Female",TBL_Employees3[[#This Row],[Ethnicity]]="Black"), "Female_Black", "Others")</f>
        <v>Others</v>
      </c>
      <c r="T189" t="str">
        <v>E02216</v>
      </c>
    </row>
    <row r="190" spans="1:20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7">
        <v>43594</v>
      </c>
      <c r="J190" s="1">
        <v>125828</v>
      </c>
      <c r="K190" s="2">
        <v>0.15</v>
      </c>
      <c r="L190" t="s">
        <v>52</v>
      </c>
      <c r="M190" t="s">
        <v>53</v>
      </c>
      <c r="N190" s="7" t="s">
        <v>21</v>
      </c>
      <c r="O190" s="1">
        <f>TBL_Employees3[[#This Row],[Annual Salary]]+TBL_Employees3[[#This Row],[Bonus %]]*TBL_Employees3[[#This Row],[Annual Salary]]</f>
        <v>144702.20000000001</v>
      </c>
      <c r="P190" t="str">
        <f>IF(AND(TBL_Employees3[[#This Row],[Department]]="IT",TBL_Employees3[[#This Row],[Gender]]="Female"),"Yes","No")</f>
        <v>No</v>
      </c>
      <c r="Q190" t="str">
        <f>IF(AND(TBL_Employees3[[#This Row],[Gender]]="Female",TBL_Employees3[[#This Row],[Ethnicity]]="Black"), "Female_Black", "Others")</f>
        <v>Others</v>
      </c>
      <c r="T190" t="str">
        <v>E02803</v>
      </c>
    </row>
    <row r="191" spans="1:20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7">
        <v>42951</v>
      </c>
      <c r="J191" s="1">
        <v>92610</v>
      </c>
      <c r="K191" s="2">
        <v>0</v>
      </c>
      <c r="L191" t="s">
        <v>19</v>
      </c>
      <c r="M191" t="s">
        <v>29</v>
      </c>
      <c r="N191" s="7" t="s">
        <v>21</v>
      </c>
      <c r="O191" s="1">
        <f>TBL_Employees3[[#This Row],[Annual Salary]]+TBL_Employees3[[#This Row],[Bonus %]]*TBL_Employees3[[#This Row],[Annual Salary]]</f>
        <v>92610</v>
      </c>
      <c r="P191" t="str">
        <f>IF(AND(TBL_Employees3[[#This Row],[Department]]="IT",TBL_Employees3[[#This Row],[Gender]]="Female"),"Yes","No")</f>
        <v>No</v>
      </c>
      <c r="Q191" t="str">
        <f>IF(AND(TBL_Employees3[[#This Row],[Gender]]="Female",TBL_Employees3[[#This Row],[Ethnicity]]="Black"), "Female_Black", "Others")</f>
        <v>Others</v>
      </c>
      <c r="T191" t="str">
        <v>E01584</v>
      </c>
    </row>
    <row r="192" spans="1:20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7">
        <v>37705</v>
      </c>
      <c r="J192" s="1">
        <v>123405</v>
      </c>
      <c r="K192" s="2">
        <v>0.13</v>
      </c>
      <c r="L192" t="s">
        <v>19</v>
      </c>
      <c r="M192" t="s">
        <v>29</v>
      </c>
      <c r="N192" s="7" t="s">
        <v>21</v>
      </c>
      <c r="O192" s="1">
        <f>TBL_Employees3[[#This Row],[Annual Salary]]+TBL_Employees3[[#This Row],[Bonus %]]*TBL_Employees3[[#This Row],[Annual Salary]]</f>
        <v>139447.65</v>
      </c>
      <c r="P192" t="str">
        <f>IF(AND(TBL_Employees3[[#This Row],[Department]]="IT",TBL_Employees3[[#This Row],[Gender]]="Female"),"Yes","No")</f>
        <v>No</v>
      </c>
      <c r="Q192" t="str">
        <f>IF(AND(TBL_Employees3[[#This Row],[Gender]]="Female",TBL_Employees3[[#This Row],[Ethnicity]]="Black"), "Female_Black", "Others")</f>
        <v>Others</v>
      </c>
      <c r="T192" t="str">
        <v>E02489</v>
      </c>
    </row>
    <row r="193" spans="1:20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7">
        <v>38066</v>
      </c>
      <c r="J193" s="1">
        <v>73004</v>
      </c>
      <c r="K193" s="2">
        <v>0</v>
      </c>
      <c r="L193" t="s">
        <v>33</v>
      </c>
      <c r="M193" t="s">
        <v>60</v>
      </c>
      <c r="N193" s="7" t="s">
        <v>21</v>
      </c>
      <c r="O193" s="1">
        <f>TBL_Employees3[[#This Row],[Annual Salary]]+TBL_Employees3[[#This Row],[Bonus %]]*TBL_Employees3[[#This Row],[Annual Salary]]</f>
        <v>73004</v>
      </c>
      <c r="P193" t="str">
        <f>IF(AND(TBL_Employees3[[#This Row],[Department]]="IT",TBL_Employees3[[#This Row],[Gender]]="Female"),"Yes","No")</f>
        <v>No</v>
      </c>
      <c r="Q193" t="str">
        <f>IF(AND(TBL_Employees3[[#This Row],[Gender]]="Female",TBL_Employees3[[#This Row],[Ethnicity]]="Black"), "Female_Black", "Others")</f>
        <v>Others</v>
      </c>
      <c r="T193" t="str">
        <v>E03189</v>
      </c>
    </row>
    <row r="194" spans="1:20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7">
        <v>36275</v>
      </c>
      <c r="J194" s="1">
        <v>95061</v>
      </c>
      <c r="K194" s="2">
        <v>0.1</v>
      </c>
      <c r="L194" t="s">
        <v>33</v>
      </c>
      <c r="M194" t="s">
        <v>74</v>
      </c>
      <c r="N194" s="7" t="s">
        <v>21</v>
      </c>
      <c r="O194" s="1">
        <f>TBL_Employees3[[#This Row],[Annual Salary]]+TBL_Employees3[[#This Row],[Bonus %]]*TBL_Employees3[[#This Row],[Annual Salary]]</f>
        <v>104567.1</v>
      </c>
      <c r="P194" t="str">
        <f>IF(AND(TBL_Employees3[[#This Row],[Department]]="IT",TBL_Employees3[[#This Row],[Gender]]="Female"),"Yes","No")</f>
        <v>No</v>
      </c>
      <c r="Q194" t="str">
        <f>IF(AND(TBL_Employees3[[#This Row],[Gender]]="Female",TBL_Employees3[[#This Row],[Ethnicity]]="Black"), "Female_Black", "Others")</f>
        <v>Others</v>
      </c>
      <c r="T194" t="str">
        <v>E03560</v>
      </c>
    </row>
    <row r="195" spans="1:20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7">
        <v>35887</v>
      </c>
      <c r="J195" s="1">
        <v>160832</v>
      </c>
      <c r="K195" s="2">
        <v>0.3</v>
      </c>
      <c r="L195" t="s">
        <v>19</v>
      </c>
      <c r="M195" t="s">
        <v>39</v>
      </c>
      <c r="N195" s="7" t="s">
        <v>21</v>
      </c>
      <c r="O195" s="1">
        <f>TBL_Employees3[[#This Row],[Annual Salary]]+TBL_Employees3[[#This Row],[Bonus %]]*TBL_Employees3[[#This Row],[Annual Salary]]</f>
        <v>209081.60000000001</v>
      </c>
      <c r="P195" t="str">
        <f>IF(AND(TBL_Employees3[[#This Row],[Department]]="IT",TBL_Employees3[[#This Row],[Gender]]="Female"),"Yes","No")</f>
        <v>No</v>
      </c>
      <c r="Q195" t="str">
        <f>IF(AND(TBL_Employees3[[#This Row],[Gender]]="Female",TBL_Employees3[[#This Row],[Ethnicity]]="Black"), "Female_Black", "Others")</f>
        <v>Others</v>
      </c>
      <c r="T195" t="str">
        <v>E00769</v>
      </c>
    </row>
    <row r="196" spans="1:20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7">
        <v>40540</v>
      </c>
      <c r="J196" s="1">
        <v>64417</v>
      </c>
      <c r="K196" s="2">
        <v>0</v>
      </c>
      <c r="L196" t="s">
        <v>19</v>
      </c>
      <c r="M196" t="s">
        <v>29</v>
      </c>
      <c r="N196" s="7" t="s">
        <v>21</v>
      </c>
      <c r="O196" s="1">
        <f>TBL_Employees3[[#This Row],[Annual Salary]]+TBL_Employees3[[#This Row],[Bonus %]]*TBL_Employees3[[#This Row],[Annual Salary]]</f>
        <v>64417</v>
      </c>
      <c r="P196" t="str">
        <f>IF(AND(TBL_Employees3[[#This Row],[Department]]="IT",TBL_Employees3[[#This Row],[Gender]]="Female"),"Yes","No")</f>
        <v>No</v>
      </c>
      <c r="Q196" t="str">
        <f>IF(AND(TBL_Employees3[[#This Row],[Gender]]="Female",TBL_Employees3[[#This Row],[Ethnicity]]="Black"), "Female_Black", "Others")</f>
        <v>Others</v>
      </c>
      <c r="T196" t="str">
        <v>E02791</v>
      </c>
    </row>
    <row r="197" spans="1:20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7">
        <v>44274</v>
      </c>
      <c r="J197" s="1">
        <v>127543</v>
      </c>
      <c r="K197" s="2">
        <v>0.06</v>
      </c>
      <c r="L197" t="s">
        <v>33</v>
      </c>
      <c r="M197" t="s">
        <v>74</v>
      </c>
      <c r="N197" s="7" t="s">
        <v>21</v>
      </c>
      <c r="O197" s="1">
        <f>TBL_Employees3[[#This Row],[Annual Salary]]+TBL_Employees3[[#This Row],[Bonus %]]*TBL_Employees3[[#This Row],[Annual Salary]]</f>
        <v>135195.57999999999</v>
      </c>
      <c r="P197" t="str">
        <f>IF(AND(TBL_Employees3[[#This Row],[Department]]="IT",TBL_Employees3[[#This Row],[Gender]]="Female"),"Yes","No")</f>
        <v>No</v>
      </c>
      <c r="Q197" t="str">
        <f>IF(AND(TBL_Employees3[[#This Row],[Gender]]="Female",TBL_Employees3[[#This Row],[Ethnicity]]="Black"), "Female_Black", "Others")</f>
        <v>Others</v>
      </c>
      <c r="T197" t="str">
        <v>E02333</v>
      </c>
    </row>
    <row r="198" spans="1:20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7">
        <v>43272</v>
      </c>
      <c r="J198" s="1">
        <v>56154</v>
      </c>
      <c r="K198" s="2">
        <v>0</v>
      </c>
      <c r="L198" t="s">
        <v>52</v>
      </c>
      <c r="M198" t="s">
        <v>53</v>
      </c>
      <c r="N198" s="7" t="s">
        <v>21</v>
      </c>
      <c r="O198" s="1">
        <f>TBL_Employees3[[#This Row],[Annual Salary]]+TBL_Employees3[[#This Row],[Bonus %]]*TBL_Employees3[[#This Row],[Annual Salary]]</f>
        <v>56154</v>
      </c>
      <c r="P198" t="str">
        <f>IF(AND(TBL_Employees3[[#This Row],[Department]]="IT",TBL_Employees3[[#This Row],[Gender]]="Female"),"Yes","No")</f>
        <v>No</v>
      </c>
      <c r="Q198" t="str">
        <f>IF(AND(TBL_Employees3[[#This Row],[Gender]]="Female",TBL_Employees3[[#This Row],[Ethnicity]]="Black"), "Female_Black", "Others")</f>
        <v>Others</v>
      </c>
      <c r="T198" t="str">
        <v>E01002</v>
      </c>
    </row>
    <row r="199" spans="1:20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7">
        <v>41692</v>
      </c>
      <c r="J199" s="1">
        <v>218530</v>
      </c>
      <c r="K199" s="2">
        <v>0.3</v>
      </c>
      <c r="L199" t="s">
        <v>33</v>
      </c>
      <c r="M199" t="s">
        <v>74</v>
      </c>
      <c r="N199" s="7" t="s">
        <v>21</v>
      </c>
      <c r="O199" s="1">
        <f>TBL_Employees3[[#This Row],[Annual Salary]]+TBL_Employees3[[#This Row],[Bonus %]]*TBL_Employees3[[#This Row],[Annual Salary]]</f>
        <v>284089</v>
      </c>
      <c r="P199" t="str">
        <f>IF(AND(TBL_Employees3[[#This Row],[Department]]="IT",TBL_Employees3[[#This Row],[Gender]]="Female"),"Yes","No")</f>
        <v>No</v>
      </c>
      <c r="Q199" t="str">
        <f>IF(AND(TBL_Employees3[[#This Row],[Gender]]="Female",TBL_Employees3[[#This Row],[Ethnicity]]="Black"), "Female_Black", "Others")</f>
        <v>Others</v>
      </c>
      <c r="T199" t="str">
        <v>E03520</v>
      </c>
    </row>
    <row r="200" spans="1:20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7">
        <v>43818</v>
      </c>
      <c r="J200" s="1">
        <v>91954</v>
      </c>
      <c r="K200" s="2">
        <v>0</v>
      </c>
      <c r="L200" t="s">
        <v>19</v>
      </c>
      <c r="M200" t="s">
        <v>29</v>
      </c>
      <c r="N200" s="7" t="s">
        <v>21</v>
      </c>
      <c r="O200" s="1">
        <f>TBL_Employees3[[#This Row],[Annual Salary]]+TBL_Employees3[[#This Row],[Bonus %]]*TBL_Employees3[[#This Row],[Annual Salary]]</f>
        <v>91954</v>
      </c>
      <c r="P200" t="str">
        <f>IF(AND(TBL_Employees3[[#This Row],[Department]]="IT",TBL_Employees3[[#This Row],[Gender]]="Female"),"Yes","No")</f>
        <v>Yes</v>
      </c>
      <c r="Q200" t="str">
        <f>IF(AND(TBL_Employees3[[#This Row],[Gender]]="Female",TBL_Employees3[[#This Row],[Ethnicity]]="Black"), "Female_Black", "Others")</f>
        <v>Others</v>
      </c>
      <c r="T200" t="str">
        <v>E00752</v>
      </c>
    </row>
    <row r="201" spans="1:20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7">
        <v>42634</v>
      </c>
      <c r="J201" s="1">
        <v>221217</v>
      </c>
      <c r="K201" s="2">
        <v>0.32</v>
      </c>
      <c r="L201" t="s">
        <v>19</v>
      </c>
      <c r="M201" t="s">
        <v>29</v>
      </c>
      <c r="N201" s="7">
        <v>43003</v>
      </c>
      <c r="O201" s="1">
        <f>TBL_Employees3[[#This Row],[Annual Salary]]+TBL_Employees3[[#This Row],[Bonus %]]*TBL_Employees3[[#This Row],[Annual Salary]]</f>
        <v>292006.44</v>
      </c>
      <c r="P201" t="str">
        <f>IF(AND(TBL_Employees3[[#This Row],[Department]]="IT",TBL_Employees3[[#This Row],[Gender]]="Female"),"Yes","No")</f>
        <v>No</v>
      </c>
      <c r="Q201" t="str">
        <f>IF(AND(TBL_Employees3[[#This Row],[Gender]]="Female",TBL_Employees3[[#This Row],[Ethnicity]]="Black"), "Female_Black", "Others")</f>
        <v>Female_Black</v>
      </c>
      <c r="T201" t="str">
        <v>E00233</v>
      </c>
    </row>
    <row r="202" spans="1:20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7">
        <v>42866</v>
      </c>
      <c r="J202" s="1">
        <v>87536</v>
      </c>
      <c r="K202" s="2">
        <v>0</v>
      </c>
      <c r="L202" t="s">
        <v>19</v>
      </c>
      <c r="M202" t="s">
        <v>63</v>
      </c>
      <c r="N202" s="7" t="s">
        <v>21</v>
      </c>
      <c r="O202" s="1">
        <f>TBL_Employees3[[#This Row],[Annual Salary]]+TBL_Employees3[[#This Row],[Bonus %]]*TBL_Employees3[[#This Row],[Annual Salary]]</f>
        <v>87536</v>
      </c>
      <c r="P202" t="str">
        <f>IF(AND(TBL_Employees3[[#This Row],[Department]]="IT",TBL_Employees3[[#This Row],[Gender]]="Female"),"Yes","No")</f>
        <v>No</v>
      </c>
      <c r="Q202" t="str">
        <f>IF(AND(TBL_Employees3[[#This Row],[Gender]]="Female",TBL_Employees3[[#This Row],[Ethnicity]]="Black"), "Female_Black", "Others")</f>
        <v>Others</v>
      </c>
      <c r="T202" t="str">
        <v>E02639</v>
      </c>
    </row>
    <row r="203" spans="1:20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7">
        <v>42164</v>
      </c>
      <c r="J203" s="1">
        <v>41429</v>
      </c>
      <c r="K203" s="2">
        <v>0</v>
      </c>
      <c r="L203" t="s">
        <v>19</v>
      </c>
      <c r="M203" t="s">
        <v>63</v>
      </c>
      <c r="N203" s="7" t="s">
        <v>21</v>
      </c>
      <c r="O203" s="1">
        <f>TBL_Employees3[[#This Row],[Annual Salary]]+TBL_Employees3[[#This Row],[Bonus %]]*TBL_Employees3[[#This Row],[Annual Salary]]</f>
        <v>41429</v>
      </c>
      <c r="P203" t="str">
        <f>IF(AND(TBL_Employees3[[#This Row],[Department]]="IT",TBL_Employees3[[#This Row],[Gender]]="Female"),"Yes","No")</f>
        <v>No</v>
      </c>
      <c r="Q203" t="str">
        <f>IF(AND(TBL_Employees3[[#This Row],[Gender]]="Female",TBL_Employees3[[#This Row],[Ethnicity]]="Black"), "Female_Black", "Others")</f>
        <v>Others</v>
      </c>
      <c r="T203" t="str">
        <v>E00697</v>
      </c>
    </row>
    <row r="204" spans="1:20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7">
        <v>40826</v>
      </c>
      <c r="J204" s="1">
        <v>245482</v>
      </c>
      <c r="K204" s="2">
        <v>0.39</v>
      </c>
      <c r="L204" t="s">
        <v>19</v>
      </c>
      <c r="M204" t="s">
        <v>63</v>
      </c>
      <c r="N204" s="7" t="s">
        <v>21</v>
      </c>
      <c r="O204" s="1">
        <f>TBL_Employees3[[#This Row],[Annual Salary]]+TBL_Employees3[[#This Row],[Bonus %]]*TBL_Employees3[[#This Row],[Annual Salary]]</f>
        <v>341219.98</v>
      </c>
      <c r="P204" t="str">
        <f>IF(AND(TBL_Employees3[[#This Row],[Department]]="IT",TBL_Employees3[[#This Row],[Gender]]="Female"),"Yes","No")</f>
        <v>No</v>
      </c>
      <c r="Q204" t="str">
        <f>IF(AND(TBL_Employees3[[#This Row],[Gender]]="Female",TBL_Employees3[[#This Row],[Ethnicity]]="Black"), "Female_Black", "Others")</f>
        <v>Others</v>
      </c>
      <c r="T204" t="str">
        <v>E02183</v>
      </c>
    </row>
    <row r="205" spans="1:20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7">
        <v>43850</v>
      </c>
      <c r="J205" s="1">
        <v>71359</v>
      </c>
      <c r="K205" s="2">
        <v>0</v>
      </c>
      <c r="L205" t="s">
        <v>19</v>
      </c>
      <c r="M205" t="s">
        <v>39</v>
      </c>
      <c r="N205" s="7" t="s">
        <v>21</v>
      </c>
      <c r="O205" s="1">
        <f>TBL_Employees3[[#This Row],[Annual Salary]]+TBL_Employees3[[#This Row],[Bonus %]]*TBL_Employees3[[#This Row],[Annual Salary]]</f>
        <v>71359</v>
      </c>
      <c r="P205" t="str">
        <f>IF(AND(TBL_Employees3[[#This Row],[Department]]="IT",TBL_Employees3[[#This Row],[Gender]]="Female"),"Yes","No")</f>
        <v>No</v>
      </c>
      <c r="Q205" t="str">
        <f>IF(AND(TBL_Employees3[[#This Row],[Gender]]="Female",TBL_Employees3[[#This Row],[Ethnicity]]="Black"), "Female_Black", "Others")</f>
        <v>Others</v>
      </c>
      <c r="T205" t="str">
        <v>E00715</v>
      </c>
    </row>
    <row r="206" spans="1:20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7">
        <v>41879</v>
      </c>
      <c r="J206" s="1">
        <v>183161</v>
      </c>
      <c r="K206" s="2">
        <v>0.22</v>
      </c>
      <c r="L206" t="s">
        <v>19</v>
      </c>
      <c r="M206" t="s">
        <v>45</v>
      </c>
      <c r="N206" s="7" t="s">
        <v>21</v>
      </c>
      <c r="O206" s="1">
        <f>TBL_Employees3[[#This Row],[Annual Salary]]+TBL_Employees3[[#This Row],[Bonus %]]*TBL_Employees3[[#This Row],[Annual Salary]]</f>
        <v>223456.41999999998</v>
      </c>
      <c r="P206" t="str">
        <f>IF(AND(TBL_Employees3[[#This Row],[Department]]="IT",TBL_Employees3[[#This Row],[Gender]]="Female"),"Yes","No")</f>
        <v>No</v>
      </c>
      <c r="Q206" t="str">
        <f>IF(AND(TBL_Employees3[[#This Row],[Gender]]="Female",TBL_Employees3[[#This Row],[Ethnicity]]="Black"), "Female_Black", "Others")</f>
        <v>Others</v>
      </c>
      <c r="T206" t="str">
        <v>E04288</v>
      </c>
    </row>
    <row r="207" spans="1:20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7">
        <v>34176</v>
      </c>
      <c r="J207" s="1">
        <v>69260</v>
      </c>
      <c r="K207" s="2">
        <v>0</v>
      </c>
      <c r="L207" t="s">
        <v>19</v>
      </c>
      <c r="M207" t="s">
        <v>39</v>
      </c>
      <c r="N207" s="7" t="s">
        <v>21</v>
      </c>
      <c r="O207" s="1">
        <f>TBL_Employees3[[#This Row],[Annual Salary]]+TBL_Employees3[[#This Row],[Bonus %]]*TBL_Employees3[[#This Row],[Annual Salary]]</f>
        <v>69260</v>
      </c>
      <c r="P207" t="str">
        <f>IF(AND(TBL_Employees3[[#This Row],[Department]]="IT",TBL_Employees3[[#This Row],[Gender]]="Female"),"Yes","No")</f>
        <v>No</v>
      </c>
      <c r="Q207" t="str">
        <f>IF(AND(TBL_Employees3[[#This Row],[Gender]]="Female",TBL_Employees3[[#This Row],[Ethnicity]]="Black"), "Female_Black", "Others")</f>
        <v>Others</v>
      </c>
      <c r="T207" t="str">
        <v>E02421</v>
      </c>
    </row>
    <row r="208" spans="1:20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7">
        <v>36442</v>
      </c>
      <c r="J208" s="1">
        <v>95639</v>
      </c>
      <c r="K208" s="2">
        <v>0</v>
      </c>
      <c r="L208" t="s">
        <v>19</v>
      </c>
      <c r="M208" t="s">
        <v>25</v>
      </c>
      <c r="N208" s="7" t="s">
        <v>21</v>
      </c>
      <c r="O208" s="1">
        <f>TBL_Employees3[[#This Row],[Annual Salary]]+TBL_Employees3[[#This Row],[Bonus %]]*TBL_Employees3[[#This Row],[Annual Salary]]</f>
        <v>95639</v>
      </c>
      <c r="P208" t="str">
        <f>IF(AND(TBL_Employees3[[#This Row],[Department]]="IT",TBL_Employees3[[#This Row],[Gender]]="Female"),"Yes","No")</f>
        <v>No</v>
      </c>
      <c r="Q208" t="str">
        <f>IF(AND(TBL_Employees3[[#This Row],[Gender]]="Female",TBL_Employees3[[#This Row],[Ethnicity]]="Black"), "Female_Black", "Others")</f>
        <v>Others</v>
      </c>
      <c r="T208" t="str">
        <v>E00523</v>
      </c>
    </row>
    <row r="209" spans="1:20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7">
        <v>38168</v>
      </c>
      <c r="J209" s="1">
        <v>120660</v>
      </c>
      <c r="K209" s="2">
        <v>7.0000000000000007E-2</v>
      </c>
      <c r="L209" t="s">
        <v>33</v>
      </c>
      <c r="M209" t="s">
        <v>34</v>
      </c>
      <c r="N209" s="7" t="s">
        <v>21</v>
      </c>
      <c r="O209" s="1">
        <f>TBL_Employees3[[#This Row],[Annual Salary]]+TBL_Employees3[[#This Row],[Bonus %]]*TBL_Employees3[[#This Row],[Annual Salary]]</f>
        <v>129106.2</v>
      </c>
      <c r="P209" t="str">
        <f>IF(AND(TBL_Employees3[[#This Row],[Department]]="IT",TBL_Employees3[[#This Row],[Gender]]="Female"),"Yes","No")</f>
        <v>No</v>
      </c>
      <c r="Q209" t="str">
        <f>IF(AND(TBL_Employees3[[#This Row],[Gender]]="Female",TBL_Employees3[[#This Row],[Ethnicity]]="Black"), "Female_Black", "Others")</f>
        <v>Others</v>
      </c>
      <c r="T209" t="str">
        <v>E03615</v>
      </c>
    </row>
    <row r="210" spans="1:20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7">
        <v>44556</v>
      </c>
      <c r="J210" s="1">
        <v>75119</v>
      </c>
      <c r="K210" s="2">
        <v>0</v>
      </c>
      <c r="L210" t="s">
        <v>19</v>
      </c>
      <c r="M210" t="s">
        <v>20</v>
      </c>
      <c r="N210" s="7" t="s">
        <v>21</v>
      </c>
      <c r="O210" s="1">
        <f>TBL_Employees3[[#This Row],[Annual Salary]]+TBL_Employees3[[#This Row],[Bonus %]]*TBL_Employees3[[#This Row],[Annual Salary]]</f>
        <v>75119</v>
      </c>
      <c r="P210" t="str">
        <f>IF(AND(TBL_Employees3[[#This Row],[Department]]="IT",TBL_Employees3[[#This Row],[Gender]]="Female"),"Yes","No")</f>
        <v>No</v>
      </c>
      <c r="Q210" t="str">
        <f>IF(AND(TBL_Employees3[[#This Row],[Gender]]="Female",TBL_Employees3[[#This Row],[Ethnicity]]="Black"), "Female_Black", "Others")</f>
        <v>Others</v>
      </c>
      <c r="T210" t="str">
        <v>E02761</v>
      </c>
    </row>
    <row r="211" spans="1:20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7">
        <v>40681</v>
      </c>
      <c r="J211" s="1">
        <v>192213</v>
      </c>
      <c r="K211" s="2">
        <v>0.4</v>
      </c>
      <c r="L211" t="s">
        <v>19</v>
      </c>
      <c r="M211" t="s">
        <v>20</v>
      </c>
      <c r="N211" s="7" t="s">
        <v>21</v>
      </c>
      <c r="O211" s="1">
        <f>TBL_Employees3[[#This Row],[Annual Salary]]+TBL_Employees3[[#This Row],[Bonus %]]*TBL_Employees3[[#This Row],[Annual Salary]]</f>
        <v>269098.2</v>
      </c>
      <c r="P211" t="str">
        <f>IF(AND(TBL_Employees3[[#This Row],[Department]]="IT",TBL_Employees3[[#This Row],[Gender]]="Female"),"Yes","No")</f>
        <v>No</v>
      </c>
      <c r="Q211" t="str">
        <f>IF(AND(TBL_Employees3[[#This Row],[Gender]]="Female",TBL_Employees3[[#This Row],[Ethnicity]]="Black"), "Female_Black", "Others")</f>
        <v>Others</v>
      </c>
      <c r="T211" t="str">
        <v>E02121</v>
      </c>
    </row>
    <row r="212" spans="1:20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7">
        <v>41769</v>
      </c>
      <c r="J212" s="1">
        <v>65047</v>
      </c>
      <c r="K212" s="2">
        <v>0</v>
      </c>
      <c r="L212" t="s">
        <v>52</v>
      </c>
      <c r="M212" t="s">
        <v>53</v>
      </c>
      <c r="N212" s="7" t="s">
        <v>21</v>
      </c>
      <c r="O212" s="1">
        <f>TBL_Employees3[[#This Row],[Annual Salary]]+TBL_Employees3[[#This Row],[Bonus %]]*TBL_Employees3[[#This Row],[Annual Salary]]</f>
        <v>65047</v>
      </c>
      <c r="P212" t="str">
        <f>IF(AND(TBL_Employees3[[#This Row],[Department]]="IT",TBL_Employees3[[#This Row],[Gender]]="Female"),"Yes","No")</f>
        <v>No</v>
      </c>
      <c r="Q212" t="str">
        <f>IF(AND(TBL_Employees3[[#This Row],[Gender]]="Female",TBL_Employees3[[#This Row],[Ethnicity]]="Black"), "Female_Black", "Others")</f>
        <v>Others</v>
      </c>
      <c r="T212" t="str">
        <v>E01486</v>
      </c>
    </row>
    <row r="213" spans="1:20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7">
        <v>42810</v>
      </c>
      <c r="J213" s="1">
        <v>151413</v>
      </c>
      <c r="K213" s="2">
        <v>0.15</v>
      </c>
      <c r="L213" t="s">
        <v>19</v>
      </c>
      <c r="M213" t="s">
        <v>63</v>
      </c>
      <c r="N213" s="7" t="s">
        <v>21</v>
      </c>
      <c r="O213" s="1">
        <f>TBL_Employees3[[#This Row],[Annual Salary]]+TBL_Employees3[[#This Row],[Bonus %]]*TBL_Employees3[[#This Row],[Annual Salary]]</f>
        <v>174124.95</v>
      </c>
      <c r="P213" t="str">
        <f>IF(AND(TBL_Employees3[[#This Row],[Department]]="IT",TBL_Employees3[[#This Row],[Gender]]="Female"),"Yes","No")</f>
        <v>No</v>
      </c>
      <c r="Q213" t="str">
        <f>IF(AND(TBL_Employees3[[#This Row],[Gender]]="Female",TBL_Employees3[[#This Row],[Ethnicity]]="Black"), "Female_Black", "Others")</f>
        <v>Others</v>
      </c>
      <c r="T213" t="str">
        <v>E00725</v>
      </c>
    </row>
    <row r="214" spans="1:20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7">
        <v>37733</v>
      </c>
      <c r="J214" s="1">
        <v>76906</v>
      </c>
      <c r="K214" s="2">
        <v>0</v>
      </c>
      <c r="L214" t="s">
        <v>19</v>
      </c>
      <c r="M214" t="s">
        <v>63</v>
      </c>
      <c r="N214" s="7" t="s">
        <v>21</v>
      </c>
      <c r="O214" s="1">
        <f>TBL_Employees3[[#This Row],[Annual Salary]]+TBL_Employees3[[#This Row],[Bonus %]]*TBL_Employees3[[#This Row],[Annual Salary]]</f>
        <v>76906</v>
      </c>
      <c r="P214" t="str">
        <f>IF(AND(TBL_Employees3[[#This Row],[Department]]="IT",TBL_Employees3[[#This Row],[Gender]]="Female"),"Yes","No")</f>
        <v>No</v>
      </c>
      <c r="Q214" t="str">
        <f>IF(AND(TBL_Employees3[[#This Row],[Gender]]="Female",TBL_Employees3[[#This Row],[Ethnicity]]="Black"), "Female_Black", "Others")</f>
        <v>Others</v>
      </c>
      <c r="T214" t="str">
        <v>E03027</v>
      </c>
    </row>
    <row r="215" spans="1:20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7">
        <v>34388</v>
      </c>
      <c r="J215" s="1">
        <v>122802</v>
      </c>
      <c r="K215" s="2">
        <v>0.05</v>
      </c>
      <c r="L215" t="s">
        <v>33</v>
      </c>
      <c r="M215" t="s">
        <v>74</v>
      </c>
      <c r="N215" s="7" t="s">
        <v>21</v>
      </c>
      <c r="O215" s="1">
        <f>TBL_Employees3[[#This Row],[Annual Salary]]+TBL_Employees3[[#This Row],[Bonus %]]*TBL_Employees3[[#This Row],[Annual Salary]]</f>
        <v>128942.1</v>
      </c>
      <c r="P215" t="str">
        <f>IF(AND(TBL_Employees3[[#This Row],[Department]]="IT",TBL_Employees3[[#This Row],[Gender]]="Female"),"Yes","No")</f>
        <v>No</v>
      </c>
      <c r="Q215" t="str">
        <f>IF(AND(TBL_Employees3[[#This Row],[Gender]]="Female",TBL_Employees3[[#This Row],[Ethnicity]]="Black"), "Female_Black", "Others")</f>
        <v>Others</v>
      </c>
      <c r="T215" t="str">
        <v>E03689</v>
      </c>
    </row>
    <row r="216" spans="1:20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7">
        <v>35990</v>
      </c>
      <c r="J216" s="1">
        <v>99091</v>
      </c>
      <c r="K216" s="2">
        <v>0</v>
      </c>
      <c r="L216" t="s">
        <v>19</v>
      </c>
      <c r="M216" t="s">
        <v>25</v>
      </c>
      <c r="N216" s="7" t="s">
        <v>21</v>
      </c>
      <c r="O216" s="1">
        <f>TBL_Employees3[[#This Row],[Annual Salary]]+TBL_Employees3[[#This Row],[Bonus %]]*TBL_Employees3[[#This Row],[Annual Salary]]</f>
        <v>99091</v>
      </c>
      <c r="P216" t="str">
        <f>IF(AND(TBL_Employees3[[#This Row],[Department]]="IT",TBL_Employees3[[#This Row],[Gender]]="Female"),"Yes","No")</f>
        <v>No</v>
      </c>
      <c r="Q216" t="str">
        <f>IF(AND(TBL_Employees3[[#This Row],[Gender]]="Female",TBL_Employees3[[#This Row],[Ethnicity]]="Black"), "Female_Black", "Others")</f>
        <v>Others</v>
      </c>
      <c r="T216" t="str">
        <v>E01986</v>
      </c>
    </row>
    <row r="217" spans="1:20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7">
        <v>39506</v>
      </c>
      <c r="J217" s="1">
        <v>113987</v>
      </c>
      <c r="K217" s="2">
        <v>0</v>
      </c>
      <c r="L217" t="s">
        <v>52</v>
      </c>
      <c r="M217" t="s">
        <v>81</v>
      </c>
      <c r="N217" s="7" t="s">
        <v>21</v>
      </c>
      <c r="O217" s="1">
        <f>TBL_Employees3[[#This Row],[Annual Salary]]+TBL_Employees3[[#This Row],[Bonus %]]*TBL_Employees3[[#This Row],[Annual Salary]]</f>
        <v>113987</v>
      </c>
      <c r="P217" t="str">
        <f>IF(AND(TBL_Employees3[[#This Row],[Department]]="IT",TBL_Employees3[[#This Row],[Gender]]="Female"),"Yes","No")</f>
        <v>No</v>
      </c>
      <c r="Q217" t="str">
        <f>IF(AND(TBL_Employees3[[#This Row],[Gender]]="Female",TBL_Employees3[[#This Row],[Ethnicity]]="Black"), "Female_Black", "Others")</f>
        <v>Others</v>
      </c>
      <c r="T217" t="str">
        <v>E01286</v>
      </c>
    </row>
    <row r="218" spans="1:20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7">
        <v>44078</v>
      </c>
      <c r="J218" s="1">
        <v>95045</v>
      </c>
      <c r="K218" s="2">
        <v>0</v>
      </c>
      <c r="L218" t="s">
        <v>19</v>
      </c>
      <c r="M218" t="s">
        <v>20</v>
      </c>
      <c r="N218" s="7" t="s">
        <v>21</v>
      </c>
      <c r="O218" s="1">
        <f>TBL_Employees3[[#This Row],[Annual Salary]]+TBL_Employees3[[#This Row],[Bonus %]]*TBL_Employees3[[#This Row],[Annual Salary]]</f>
        <v>95045</v>
      </c>
      <c r="P218" t="str">
        <f>IF(AND(TBL_Employees3[[#This Row],[Department]]="IT",TBL_Employees3[[#This Row],[Gender]]="Female"),"Yes","No")</f>
        <v>No</v>
      </c>
      <c r="Q218" t="str">
        <f>IF(AND(TBL_Employees3[[#This Row],[Gender]]="Female",TBL_Employees3[[#This Row],[Ethnicity]]="Black"), "Female_Black", "Others")</f>
        <v>Others</v>
      </c>
      <c r="T218" t="str">
        <v>E01409</v>
      </c>
    </row>
    <row r="219" spans="1:20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7">
        <v>42740</v>
      </c>
      <c r="J219" s="1">
        <v>190401</v>
      </c>
      <c r="K219" s="2">
        <v>0.37</v>
      </c>
      <c r="L219" t="s">
        <v>19</v>
      </c>
      <c r="M219" t="s">
        <v>29</v>
      </c>
      <c r="N219" s="7" t="s">
        <v>21</v>
      </c>
      <c r="O219" s="1">
        <f>TBL_Employees3[[#This Row],[Annual Salary]]+TBL_Employees3[[#This Row],[Bonus %]]*TBL_Employees3[[#This Row],[Annual Salary]]</f>
        <v>260849.37</v>
      </c>
      <c r="P219" t="str">
        <f>IF(AND(TBL_Employees3[[#This Row],[Department]]="IT",TBL_Employees3[[#This Row],[Gender]]="Female"),"Yes","No")</f>
        <v>No</v>
      </c>
      <c r="Q219" t="str">
        <f>IF(AND(TBL_Employees3[[#This Row],[Gender]]="Female",TBL_Employees3[[#This Row],[Ethnicity]]="Black"), "Female_Black", "Others")</f>
        <v>Others</v>
      </c>
      <c r="T219" t="str">
        <v>E00626</v>
      </c>
    </row>
    <row r="220" spans="1:20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7">
        <v>41294</v>
      </c>
      <c r="J220" s="1">
        <v>86061</v>
      </c>
      <c r="K220" s="2">
        <v>0</v>
      </c>
      <c r="L220" t="s">
        <v>52</v>
      </c>
      <c r="M220" t="s">
        <v>66</v>
      </c>
      <c r="N220" s="7" t="s">
        <v>21</v>
      </c>
      <c r="O220" s="1">
        <f>TBL_Employees3[[#This Row],[Annual Salary]]+TBL_Employees3[[#This Row],[Bonus %]]*TBL_Employees3[[#This Row],[Annual Salary]]</f>
        <v>86061</v>
      </c>
      <c r="P220" t="str">
        <f>IF(AND(TBL_Employees3[[#This Row],[Department]]="IT",TBL_Employees3[[#This Row],[Gender]]="Female"),"Yes","No")</f>
        <v>No</v>
      </c>
      <c r="Q220" t="str">
        <f>IF(AND(TBL_Employees3[[#This Row],[Gender]]="Female",TBL_Employees3[[#This Row],[Ethnicity]]="Black"), "Female_Black", "Others")</f>
        <v>Others</v>
      </c>
      <c r="T220" t="str">
        <v>E04342</v>
      </c>
    </row>
    <row r="221" spans="1:20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7">
        <v>44237</v>
      </c>
      <c r="J221" s="1">
        <v>79882</v>
      </c>
      <c r="K221" s="2">
        <v>0</v>
      </c>
      <c r="L221" t="s">
        <v>19</v>
      </c>
      <c r="M221" t="s">
        <v>39</v>
      </c>
      <c r="N221" s="7" t="s">
        <v>21</v>
      </c>
      <c r="O221" s="1">
        <f>TBL_Employees3[[#This Row],[Annual Salary]]+TBL_Employees3[[#This Row],[Bonus %]]*TBL_Employees3[[#This Row],[Annual Salary]]</f>
        <v>79882</v>
      </c>
      <c r="P221" t="str">
        <f>IF(AND(TBL_Employees3[[#This Row],[Department]]="IT",TBL_Employees3[[#This Row],[Gender]]="Female"),"Yes","No")</f>
        <v>No</v>
      </c>
      <c r="Q221" t="str">
        <f>IF(AND(TBL_Employees3[[#This Row],[Gender]]="Female",TBL_Employees3[[#This Row],[Ethnicity]]="Black"), "Female_Black", "Others")</f>
        <v>Others</v>
      </c>
      <c r="T221" t="str">
        <v>E03904</v>
      </c>
    </row>
    <row r="222" spans="1:20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7">
        <v>43165</v>
      </c>
      <c r="J222" s="1">
        <v>255431</v>
      </c>
      <c r="K222" s="2">
        <v>0.36</v>
      </c>
      <c r="L222" t="s">
        <v>19</v>
      </c>
      <c r="M222" t="s">
        <v>29</v>
      </c>
      <c r="N222" s="7" t="s">
        <v>21</v>
      </c>
      <c r="O222" s="1">
        <f>TBL_Employees3[[#This Row],[Annual Salary]]+TBL_Employees3[[#This Row],[Bonus %]]*TBL_Employees3[[#This Row],[Annual Salary]]</f>
        <v>347386.16000000003</v>
      </c>
      <c r="P222" t="str">
        <f>IF(AND(TBL_Employees3[[#This Row],[Department]]="IT",TBL_Employees3[[#This Row],[Gender]]="Female"),"Yes","No")</f>
        <v>No</v>
      </c>
      <c r="Q222" t="str">
        <f>IF(AND(TBL_Employees3[[#This Row],[Gender]]="Female",TBL_Employees3[[#This Row],[Ethnicity]]="Black"), "Female_Black", "Others")</f>
        <v>Others</v>
      </c>
      <c r="T222" t="str">
        <v>E01291</v>
      </c>
    </row>
    <row r="223" spans="1:20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7">
        <v>37855</v>
      </c>
      <c r="J223" s="1">
        <v>82017</v>
      </c>
      <c r="K223" s="2">
        <v>0</v>
      </c>
      <c r="L223" t="s">
        <v>33</v>
      </c>
      <c r="M223" t="s">
        <v>60</v>
      </c>
      <c r="N223" s="7" t="s">
        <v>21</v>
      </c>
      <c r="O223" s="1">
        <f>TBL_Employees3[[#This Row],[Annual Salary]]+TBL_Employees3[[#This Row],[Bonus %]]*TBL_Employees3[[#This Row],[Annual Salary]]</f>
        <v>82017</v>
      </c>
      <c r="P223" t="str">
        <f>IF(AND(TBL_Employees3[[#This Row],[Department]]="IT",TBL_Employees3[[#This Row],[Gender]]="Female"),"Yes","No")</f>
        <v>Yes</v>
      </c>
      <c r="Q223" t="str">
        <f>IF(AND(TBL_Employees3[[#This Row],[Gender]]="Female",TBL_Employees3[[#This Row],[Ethnicity]]="Black"), "Female_Black", "Others")</f>
        <v>Others</v>
      </c>
      <c r="T223" t="str">
        <v>E00917</v>
      </c>
    </row>
    <row r="224" spans="1:20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7">
        <v>42753</v>
      </c>
      <c r="J224" s="1">
        <v>53799</v>
      </c>
      <c r="K224" s="2">
        <v>0</v>
      </c>
      <c r="L224" t="s">
        <v>19</v>
      </c>
      <c r="M224" t="s">
        <v>29</v>
      </c>
      <c r="N224" s="7" t="s">
        <v>21</v>
      </c>
      <c r="O224" s="1">
        <f>TBL_Employees3[[#This Row],[Annual Salary]]+TBL_Employees3[[#This Row],[Bonus %]]*TBL_Employees3[[#This Row],[Annual Salary]]</f>
        <v>53799</v>
      </c>
      <c r="P224" t="str">
        <f>IF(AND(TBL_Employees3[[#This Row],[Department]]="IT",TBL_Employees3[[#This Row],[Gender]]="Female"),"Yes","No")</f>
        <v>No</v>
      </c>
      <c r="Q224" t="str">
        <f>IF(AND(TBL_Employees3[[#This Row],[Gender]]="Female",TBL_Employees3[[#This Row],[Ethnicity]]="Black"), "Female_Black", "Others")</f>
        <v>Others</v>
      </c>
      <c r="T224" t="str">
        <v>E01484</v>
      </c>
    </row>
    <row r="225" spans="1:20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7">
        <v>44380</v>
      </c>
      <c r="J225" s="1">
        <v>82739</v>
      </c>
      <c r="K225" s="2">
        <v>0</v>
      </c>
      <c r="L225" t="s">
        <v>19</v>
      </c>
      <c r="M225" t="s">
        <v>39</v>
      </c>
      <c r="N225" s="7" t="s">
        <v>21</v>
      </c>
      <c r="O225" s="1">
        <f>TBL_Employees3[[#This Row],[Annual Salary]]+TBL_Employees3[[#This Row],[Bonus %]]*TBL_Employees3[[#This Row],[Annual Salary]]</f>
        <v>82739</v>
      </c>
      <c r="P225" t="str">
        <f>IF(AND(TBL_Employees3[[#This Row],[Department]]="IT",TBL_Employees3[[#This Row],[Gender]]="Female"),"Yes","No")</f>
        <v>No</v>
      </c>
      <c r="Q225" t="str">
        <f>IF(AND(TBL_Employees3[[#This Row],[Gender]]="Female",TBL_Employees3[[#This Row],[Ethnicity]]="Black"), "Female_Black", "Others")</f>
        <v>Others</v>
      </c>
      <c r="T225" t="str">
        <v>E03864</v>
      </c>
    </row>
    <row r="226" spans="1:20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7">
        <v>41789</v>
      </c>
      <c r="J226" s="1">
        <v>99080</v>
      </c>
      <c r="K226" s="2">
        <v>0</v>
      </c>
      <c r="L226" t="s">
        <v>19</v>
      </c>
      <c r="M226" t="s">
        <v>20</v>
      </c>
      <c r="N226" s="7" t="s">
        <v>21</v>
      </c>
      <c r="O226" s="1">
        <f>TBL_Employees3[[#This Row],[Annual Salary]]+TBL_Employees3[[#This Row],[Bonus %]]*TBL_Employees3[[#This Row],[Annual Salary]]</f>
        <v>99080</v>
      </c>
      <c r="P226" t="str">
        <f>IF(AND(TBL_Employees3[[#This Row],[Department]]="IT",TBL_Employees3[[#This Row],[Gender]]="Female"),"Yes","No")</f>
        <v>Yes</v>
      </c>
      <c r="Q226" t="str">
        <f>IF(AND(TBL_Employees3[[#This Row],[Gender]]="Female",TBL_Employees3[[#This Row],[Ethnicity]]="Black"), "Female_Black", "Others")</f>
        <v>Others</v>
      </c>
      <c r="T226" t="str">
        <v>E00488</v>
      </c>
    </row>
    <row r="227" spans="1:20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7">
        <v>40563</v>
      </c>
      <c r="J227" s="1">
        <v>96719</v>
      </c>
      <c r="K227" s="2">
        <v>0</v>
      </c>
      <c r="L227" t="s">
        <v>33</v>
      </c>
      <c r="M227" t="s">
        <v>34</v>
      </c>
      <c r="N227" s="7" t="s">
        <v>21</v>
      </c>
      <c r="O227" s="1">
        <f>TBL_Employees3[[#This Row],[Annual Salary]]+TBL_Employees3[[#This Row],[Bonus %]]*TBL_Employees3[[#This Row],[Annual Salary]]</f>
        <v>96719</v>
      </c>
      <c r="P227" t="str">
        <f>IF(AND(TBL_Employees3[[#This Row],[Department]]="IT",TBL_Employees3[[#This Row],[Gender]]="Female"),"Yes","No")</f>
        <v>No</v>
      </c>
      <c r="Q227" t="str">
        <f>IF(AND(TBL_Employees3[[#This Row],[Gender]]="Female",TBL_Employees3[[#This Row],[Ethnicity]]="Black"), "Female_Black", "Others")</f>
        <v>Others</v>
      </c>
      <c r="T227" t="str">
        <v>E02227</v>
      </c>
    </row>
    <row r="228" spans="1:20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7">
        <v>44283</v>
      </c>
      <c r="J228" s="1">
        <v>180687</v>
      </c>
      <c r="K228" s="2">
        <v>0.19</v>
      </c>
      <c r="L228" t="s">
        <v>19</v>
      </c>
      <c r="M228" t="s">
        <v>39</v>
      </c>
      <c r="N228" s="7" t="s">
        <v>21</v>
      </c>
      <c r="O228" s="1">
        <f>TBL_Employees3[[#This Row],[Annual Salary]]+TBL_Employees3[[#This Row],[Bonus %]]*TBL_Employees3[[#This Row],[Annual Salary]]</f>
        <v>215017.53</v>
      </c>
      <c r="P228" t="str">
        <f>IF(AND(TBL_Employees3[[#This Row],[Department]]="IT",TBL_Employees3[[#This Row],[Gender]]="Female"),"Yes","No")</f>
        <v>No</v>
      </c>
      <c r="Q228" t="str">
        <f>IF(AND(TBL_Employees3[[#This Row],[Gender]]="Female",TBL_Employees3[[#This Row],[Ethnicity]]="Black"), "Female_Black", "Others")</f>
        <v>Others</v>
      </c>
      <c r="T228" t="str">
        <v>E04802</v>
      </c>
    </row>
    <row r="229" spans="1:20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7">
        <v>36993</v>
      </c>
      <c r="J229" s="1">
        <v>95743</v>
      </c>
      <c r="K229" s="2">
        <v>0.15</v>
      </c>
      <c r="L229" t="s">
        <v>19</v>
      </c>
      <c r="M229" t="s">
        <v>25</v>
      </c>
      <c r="N229" s="7">
        <v>40193</v>
      </c>
      <c r="O229" s="1">
        <f>TBL_Employees3[[#This Row],[Annual Salary]]+TBL_Employees3[[#This Row],[Bonus %]]*TBL_Employees3[[#This Row],[Annual Salary]]</f>
        <v>110104.45</v>
      </c>
      <c r="P229" t="str">
        <f>IF(AND(TBL_Employees3[[#This Row],[Department]]="IT",TBL_Employees3[[#This Row],[Gender]]="Female"),"Yes","No")</f>
        <v>No</v>
      </c>
      <c r="Q229" t="str">
        <f>IF(AND(TBL_Employees3[[#This Row],[Gender]]="Female",TBL_Employees3[[#This Row],[Ethnicity]]="Black"), "Female_Black", "Others")</f>
        <v>Others</v>
      </c>
      <c r="T229" t="str">
        <v>E01970</v>
      </c>
    </row>
    <row r="230" spans="1:20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7">
        <v>40060</v>
      </c>
      <c r="J230" s="1">
        <v>89695</v>
      </c>
      <c r="K230" s="2">
        <v>0</v>
      </c>
      <c r="L230" t="s">
        <v>19</v>
      </c>
      <c r="M230" t="s">
        <v>25</v>
      </c>
      <c r="N230" s="7" t="s">
        <v>21</v>
      </c>
      <c r="O230" s="1">
        <f>TBL_Employees3[[#This Row],[Annual Salary]]+TBL_Employees3[[#This Row],[Bonus %]]*TBL_Employees3[[#This Row],[Annual Salary]]</f>
        <v>89695</v>
      </c>
      <c r="P230" t="str">
        <f>IF(AND(TBL_Employees3[[#This Row],[Department]]="IT",TBL_Employees3[[#This Row],[Gender]]="Female"),"Yes","No")</f>
        <v>No</v>
      </c>
      <c r="Q230" t="str">
        <f>IF(AND(TBL_Employees3[[#This Row],[Gender]]="Female",TBL_Employees3[[#This Row],[Ethnicity]]="Black"), "Female_Black", "Others")</f>
        <v>Others</v>
      </c>
      <c r="T230" t="str">
        <v>E02813</v>
      </c>
    </row>
    <row r="231" spans="1:20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7">
        <v>35996</v>
      </c>
      <c r="J231" s="1">
        <v>122753</v>
      </c>
      <c r="K231" s="2">
        <v>0.09</v>
      </c>
      <c r="L231" t="s">
        <v>33</v>
      </c>
      <c r="M231" t="s">
        <v>80</v>
      </c>
      <c r="N231" s="7" t="s">
        <v>21</v>
      </c>
      <c r="O231" s="1">
        <f>TBL_Employees3[[#This Row],[Annual Salary]]+TBL_Employees3[[#This Row],[Bonus %]]*TBL_Employees3[[#This Row],[Annual Salary]]</f>
        <v>133800.76999999999</v>
      </c>
      <c r="P231" t="str">
        <f>IF(AND(TBL_Employees3[[#This Row],[Department]]="IT",TBL_Employees3[[#This Row],[Gender]]="Female"),"Yes","No")</f>
        <v>No</v>
      </c>
      <c r="Q231" t="str">
        <f>IF(AND(TBL_Employees3[[#This Row],[Gender]]="Female",TBL_Employees3[[#This Row],[Ethnicity]]="Black"), "Female_Black", "Others")</f>
        <v>Others</v>
      </c>
      <c r="T231" t="str">
        <v>E02031</v>
      </c>
    </row>
    <row r="232" spans="1:20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7">
        <v>42078</v>
      </c>
      <c r="J232" s="1">
        <v>93734</v>
      </c>
      <c r="K232" s="2">
        <v>0</v>
      </c>
      <c r="L232" t="s">
        <v>19</v>
      </c>
      <c r="M232" t="s">
        <v>39</v>
      </c>
      <c r="N232" s="7" t="s">
        <v>21</v>
      </c>
      <c r="O232" s="1">
        <f>TBL_Employees3[[#This Row],[Annual Salary]]+TBL_Employees3[[#This Row],[Bonus %]]*TBL_Employees3[[#This Row],[Annual Salary]]</f>
        <v>93734</v>
      </c>
      <c r="P232" t="str">
        <f>IF(AND(TBL_Employees3[[#This Row],[Department]]="IT",TBL_Employees3[[#This Row],[Gender]]="Female"),"Yes","No")</f>
        <v>No</v>
      </c>
      <c r="Q232" t="str">
        <f>IF(AND(TBL_Employees3[[#This Row],[Gender]]="Female",TBL_Employees3[[#This Row],[Ethnicity]]="Black"), "Female_Black", "Others")</f>
        <v>Others</v>
      </c>
      <c r="T232" t="str">
        <v>E03252</v>
      </c>
    </row>
    <row r="233" spans="1:20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7">
        <v>42867</v>
      </c>
      <c r="J233" s="1">
        <v>52069</v>
      </c>
      <c r="K233" s="2">
        <v>0</v>
      </c>
      <c r="L233" t="s">
        <v>33</v>
      </c>
      <c r="M233" t="s">
        <v>80</v>
      </c>
      <c r="N233" s="7" t="s">
        <v>21</v>
      </c>
      <c r="O233" s="1">
        <f>TBL_Employees3[[#This Row],[Annual Salary]]+TBL_Employees3[[#This Row],[Bonus %]]*TBL_Employees3[[#This Row],[Annual Salary]]</f>
        <v>52069</v>
      </c>
      <c r="P233" t="str">
        <f>IF(AND(TBL_Employees3[[#This Row],[Department]]="IT",TBL_Employees3[[#This Row],[Gender]]="Female"),"Yes","No")</f>
        <v>No</v>
      </c>
      <c r="Q233" t="str">
        <f>IF(AND(TBL_Employees3[[#This Row],[Gender]]="Female",TBL_Employees3[[#This Row],[Ethnicity]]="Black"), "Female_Black", "Others")</f>
        <v>Others</v>
      </c>
      <c r="T233" t="str">
        <v>E04871</v>
      </c>
    </row>
    <row r="234" spans="1:20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7">
        <v>44181</v>
      </c>
      <c r="J234" s="1">
        <v>258426</v>
      </c>
      <c r="K234" s="2">
        <v>0.4</v>
      </c>
      <c r="L234" t="s">
        <v>52</v>
      </c>
      <c r="M234" t="s">
        <v>66</v>
      </c>
      <c r="N234" s="7" t="s">
        <v>21</v>
      </c>
      <c r="O234" s="1">
        <f>TBL_Employees3[[#This Row],[Annual Salary]]+TBL_Employees3[[#This Row],[Bonus %]]*TBL_Employees3[[#This Row],[Annual Salary]]</f>
        <v>361796.4</v>
      </c>
      <c r="P234" t="str">
        <f>IF(AND(TBL_Employees3[[#This Row],[Department]]="IT",TBL_Employees3[[#This Row],[Gender]]="Female"),"Yes","No")</f>
        <v>No</v>
      </c>
      <c r="Q234" t="str">
        <f>IF(AND(TBL_Employees3[[#This Row],[Gender]]="Female",TBL_Employees3[[#This Row],[Ethnicity]]="Black"), "Female_Black", "Others")</f>
        <v>Others</v>
      </c>
      <c r="T234" t="str">
        <v>E03547</v>
      </c>
    </row>
    <row r="235" spans="1:20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7">
        <v>34746</v>
      </c>
      <c r="J235" s="1">
        <v>125375</v>
      </c>
      <c r="K235" s="2">
        <v>0.09</v>
      </c>
      <c r="L235" t="s">
        <v>19</v>
      </c>
      <c r="M235" t="s">
        <v>20</v>
      </c>
      <c r="N235" s="7" t="s">
        <v>21</v>
      </c>
      <c r="O235" s="1">
        <f>TBL_Employees3[[#This Row],[Annual Salary]]+TBL_Employees3[[#This Row],[Bonus %]]*TBL_Employees3[[#This Row],[Annual Salary]]</f>
        <v>136658.75</v>
      </c>
      <c r="P235" t="str">
        <f>IF(AND(TBL_Employees3[[#This Row],[Department]]="IT",TBL_Employees3[[#This Row],[Gender]]="Female"),"Yes","No")</f>
        <v>No</v>
      </c>
      <c r="Q235" t="str">
        <f>IF(AND(TBL_Employees3[[#This Row],[Gender]]="Female",TBL_Employees3[[#This Row],[Ethnicity]]="Black"), "Female_Black", "Others")</f>
        <v>Others</v>
      </c>
      <c r="T235" t="str">
        <v>E04742</v>
      </c>
    </row>
    <row r="236" spans="1:20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7">
        <v>44235</v>
      </c>
      <c r="J236" s="1">
        <v>198243</v>
      </c>
      <c r="K236" s="2">
        <v>0.31</v>
      </c>
      <c r="L236" t="s">
        <v>19</v>
      </c>
      <c r="M236" t="s">
        <v>45</v>
      </c>
      <c r="N236" s="7" t="s">
        <v>21</v>
      </c>
      <c r="O236" s="1">
        <f>TBL_Employees3[[#This Row],[Annual Salary]]+TBL_Employees3[[#This Row],[Bonus %]]*TBL_Employees3[[#This Row],[Annual Salary]]</f>
        <v>259698.33000000002</v>
      </c>
      <c r="P236" t="str">
        <f>IF(AND(TBL_Employees3[[#This Row],[Department]]="IT",TBL_Employees3[[#This Row],[Gender]]="Female"),"Yes","No")</f>
        <v>No</v>
      </c>
      <c r="Q236" t="str">
        <f>IF(AND(TBL_Employees3[[#This Row],[Gender]]="Female",TBL_Employees3[[#This Row],[Ethnicity]]="Black"), "Female_Black", "Others")</f>
        <v>Others</v>
      </c>
      <c r="T236" t="str">
        <v>E01070</v>
      </c>
    </row>
    <row r="237" spans="1:20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7">
        <v>43062</v>
      </c>
      <c r="J237" s="1">
        <v>96023</v>
      </c>
      <c r="K237" s="2">
        <v>0</v>
      </c>
      <c r="L237" t="s">
        <v>19</v>
      </c>
      <c r="M237" t="s">
        <v>45</v>
      </c>
      <c r="N237" s="7" t="s">
        <v>21</v>
      </c>
      <c r="O237" s="1">
        <f>TBL_Employees3[[#This Row],[Annual Salary]]+TBL_Employees3[[#This Row],[Bonus %]]*TBL_Employees3[[#This Row],[Annual Salary]]</f>
        <v>96023</v>
      </c>
      <c r="P237" t="str">
        <f>IF(AND(TBL_Employees3[[#This Row],[Department]]="IT",TBL_Employees3[[#This Row],[Gender]]="Female"),"Yes","No")</f>
        <v>No</v>
      </c>
      <c r="Q237" t="str">
        <f>IF(AND(TBL_Employees3[[#This Row],[Gender]]="Female",TBL_Employees3[[#This Row],[Ethnicity]]="Black"), "Female_Black", "Others")</f>
        <v>Others</v>
      </c>
      <c r="T237" t="str">
        <v>E04359</v>
      </c>
    </row>
    <row r="238" spans="1:20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7">
        <v>41085</v>
      </c>
      <c r="J238" s="1">
        <v>83066</v>
      </c>
      <c r="K238" s="2">
        <v>0</v>
      </c>
      <c r="L238" t="s">
        <v>19</v>
      </c>
      <c r="M238" t="s">
        <v>20</v>
      </c>
      <c r="N238" s="7">
        <v>41430</v>
      </c>
      <c r="O238" s="1">
        <f>TBL_Employees3[[#This Row],[Annual Salary]]+TBL_Employees3[[#This Row],[Bonus %]]*TBL_Employees3[[#This Row],[Annual Salary]]</f>
        <v>83066</v>
      </c>
      <c r="P238" t="str">
        <f>IF(AND(TBL_Employees3[[#This Row],[Department]]="IT",TBL_Employees3[[#This Row],[Gender]]="Female"),"Yes","No")</f>
        <v>No</v>
      </c>
      <c r="Q238" t="str">
        <f>IF(AND(TBL_Employees3[[#This Row],[Gender]]="Female",TBL_Employees3[[#This Row],[Ethnicity]]="Black"), "Female_Black", "Others")</f>
        <v>Others</v>
      </c>
      <c r="T238" t="str">
        <v>E03268</v>
      </c>
    </row>
    <row r="239" spans="1:20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7">
        <v>41773</v>
      </c>
      <c r="J239" s="1">
        <v>61216</v>
      </c>
      <c r="K239" s="2">
        <v>0</v>
      </c>
      <c r="L239" t="s">
        <v>19</v>
      </c>
      <c r="M239" t="s">
        <v>63</v>
      </c>
      <c r="N239" s="7" t="s">
        <v>21</v>
      </c>
      <c r="O239" s="1">
        <f>TBL_Employees3[[#This Row],[Annual Salary]]+TBL_Employees3[[#This Row],[Bonus %]]*TBL_Employees3[[#This Row],[Annual Salary]]</f>
        <v>61216</v>
      </c>
      <c r="P239" t="str">
        <f>IF(AND(TBL_Employees3[[#This Row],[Department]]="IT",TBL_Employees3[[#This Row],[Gender]]="Female"),"Yes","No")</f>
        <v>No</v>
      </c>
      <c r="Q239" t="str">
        <f>IF(AND(TBL_Employees3[[#This Row],[Gender]]="Female",TBL_Employees3[[#This Row],[Ethnicity]]="Black"), "Female_Black", "Others")</f>
        <v>Others</v>
      </c>
      <c r="T239" t="str">
        <v>E04035</v>
      </c>
    </row>
    <row r="240" spans="1:20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7">
        <v>41315</v>
      </c>
      <c r="J240" s="1">
        <v>144231</v>
      </c>
      <c r="K240" s="2">
        <v>0.14000000000000001</v>
      </c>
      <c r="L240" t="s">
        <v>19</v>
      </c>
      <c r="M240" t="s">
        <v>29</v>
      </c>
      <c r="N240" s="7">
        <v>44029</v>
      </c>
      <c r="O240" s="1">
        <f>TBL_Employees3[[#This Row],[Annual Salary]]+TBL_Employees3[[#This Row],[Bonus %]]*TBL_Employees3[[#This Row],[Annual Salary]]</f>
        <v>164423.34</v>
      </c>
      <c r="P240" t="str">
        <f>IF(AND(TBL_Employees3[[#This Row],[Department]]="IT",TBL_Employees3[[#This Row],[Gender]]="Female"),"Yes","No")</f>
        <v>No</v>
      </c>
      <c r="Q240" t="str">
        <f>IF(AND(TBL_Employees3[[#This Row],[Gender]]="Female",TBL_Employees3[[#This Row],[Ethnicity]]="Black"), "Female_Black", "Others")</f>
        <v>Others</v>
      </c>
      <c r="T240" t="str">
        <v>E01221</v>
      </c>
    </row>
    <row r="241" spans="1:20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7">
        <v>39379</v>
      </c>
      <c r="J241" s="1">
        <v>51630</v>
      </c>
      <c r="K241" s="2">
        <v>0</v>
      </c>
      <c r="L241" t="s">
        <v>33</v>
      </c>
      <c r="M241" t="s">
        <v>60</v>
      </c>
      <c r="N241" s="7" t="s">
        <v>21</v>
      </c>
      <c r="O241" s="1">
        <f>TBL_Employees3[[#This Row],[Annual Salary]]+TBL_Employees3[[#This Row],[Bonus %]]*TBL_Employees3[[#This Row],[Annual Salary]]</f>
        <v>51630</v>
      </c>
      <c r="P241" t="str">
        <f>IF(AND(TBL_Employees3[[#This Row],[Department]]="IT",TBL_Employees3[[#This Row],[Gender]]="Female"),"Yes","No")</f>
        <v>No</v>
      </c>
      <c r="Q241" t="str">
        <f>IF(AND(TBL_Employees3[[#This Row],[Gender]]="Female",TBL_Employees3[[#This Row],[Ethnicity]]="Black"), "Female_Black", "Others")</f>
        <v>Others</v>
      </c>
      <c r="T241" t="str">
        <v>E00276</v>
      </c>
    </row>
    <row r="242" spans="1:20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7">
        <v>41594</v>
      </c>
      <c r="J242" s="1">
        <v>124129</v>
      </c>
      <c r="K242" s="2">
        <v>0.15</v>
      </c>
      <c r="L242" t="s">
        <v>52</v>
      </c>
      <c r="M242" t="s">
        <v>53</v>
      </c>
      <c r="N242" s="7" t="s">
        <v>21</v>
      </c>
      <c r="O242" s="1">
        <f>TBL_Employees3[[#This Row],[Annual Salary]]+TBL_Employees3[[#This Row],[Bonus %]]*TBL_Employees3[[#This Row],[Annual Salary]]</f>
        <v>142748.35</v>
      </c>
      <c r="P242" t="str">
        <f>IF(AND(TBL_Employees3[[#This Row],[Department]]="IT",TBL_Employees3[[#This Row],[Gender]]="Female"),"Yes","No")</f>
        <v>No</v>
      </c>
      <c r="Q242" t="str">
        <f>IF(AND(TBL_Employees3[[#This Row],[Gender]]="Female",TBL_Employees3[[#This Row],[Ethnicity]]="Black"), "Female_Black", "Others")</f>
        <v>Others</v>
      </c>
      <c r="T242" t="str">
        <v>E01687</v>
      </c>
    </row>
    <row r="243" spans="1:20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7">
        <v>39912</v>
      </c>
      <c r="J243" s="1">
        <v>60055</v>
      </c>
      <c r="K243" s="2">
        <v>0</v>
      </c>
      <c r="L243" t="s">
        <v>19</v>
      </c>
      <c r="M243" t="s">
        <v>63</v>
      </c>
      <c r="N243" s="7" t="s">
        <v>21</v>
      </c>
      <c r="O243" s="1">
        <f>TBL_Employees3[[#This Row],[Annual Salary]]+TBL_Employees3[[#This Row],[Bonus %]]*TBL_Employees3[[#This Row],[Annual Salary]]</f>
        <v>60055</v>
      </c>
      <c r="P243" t="str">
        <f>IF(AND(TBL_Employees3[[#This Row],[Department]]="IT",TBL_Employees3[[#This Row],[Gender]]="Female"),"Yes","No")</f>
        <v>No</v>
      </c>
      <c r="Q243" t="str">
        <f>IF(AND(TBL_Employees3[[#This Row],[Gender]]="Female",TBL_Employees3[[#This Row],[Ethnicity]]="Black"), "Female_Black", "Others")</f>
        <v>Others</v>
      </c>
      <c r="T243" t="str">
        <v>E02844</v>
      </c>
    </row>
    <row r="244" spans="1:20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7">
        <v>44069</v>
      </c>
      <c r="J244" s="1">
        <v>189290</v>
      </c>
      <c r="K244" s="2">
        <v>0.22</v>
      </c>
      <c r="L244" t="s">
        <v>52</v>
      </c>
      <c r="M244" t="s">
        <v>53</v>
      </c>
      <c r="N244" s="7">
        <v>44099</v>
      </c>
      <c r="O244" s="1">
        <f>TBL_Employees3[[#This Row],[Annual Salary]]+TBL_Employees3[[#This Row],[Bonus %]]*TBL_Employees3[[#This Row],[Annual Salary]]</f>
        <v>230933.8</v>
      </c>
      <c r="P244" t="str">
        <f>IF(AND(TBL_Employees3[[#This Row],[Department]]="IT",TBL_Employees3[[#This Row],[Gender]]="Female"),"Yes","No")</f>
        <v>No</v>
      </c>
      <c r="Q244" t="str">
        <f>IF(AND(TBL_Employees3[[#This Row],[Gender]]="Female",TBL_Employees3[[#This Row],[Ethnicity]]="Black"), "Female_Black", "Others")</f>
        <v>Others</v>
      </c>
      <c r="T244" t="str">
        <v>E01263</v>
      </c>
    </row>
    <row r="245" spans="1:20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7">
        <v>39568</v>
      </c>
      <c r="J245" s="1">
        <v>182202</v>
      </c>
      <c r="K245" s="2">
        <v>0.3</v>
      </c>
      <c r="L245" t="s">
        <v>19</v>
      </c>
      <c r="M245" t="s">
        <v>25</v>
      </c>
      <c r="N245" s="7" t="s">
        <v>21</v>
      </c>
      <c r="O245" s="1">
        <f>TBL_Employees3[[#This Row],[Annual Salary]]+TBL_Employees3[[#This Row],[Bonus %]]*TBL_Employees3[[#This Row],[Annual Salary]]</f>
        <v>236862.6</v>
      </c>
      <c r="P245" t="str">
        <f>IF(AND(TBL_Employees3[[#This Row],[Department]]="IT",TBL_Employees3[[#This Row],[Gender]]="Female"),"Yes","No")</f>
        <v>Yes</v>
      </c>
      <c r="Q245" t="str">
        <f>IF(AND(TBL_Employees3[[#This Row],[Gender]]="Female",TBL_Employees3[[#This Row],[Ethnicity]]="Black"), "Female_Black", "Others")</f>
        <v>Others</v>
      </c>
      <c r="T245" t="str">
        <v>E00119</v>
      </c>
    </row>
    <row r="246" spans="1:20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7">
        <v>38748</v>
      </c>
      <c r="J246" s="1">
        <v>117518</v>
      </c>
      <c r="K246" s="2">
        <v>7.0000000000000007E-2</v>
      </c>
      <c r="L246" t="s">
        <v>19</v>
      </c>
      <c r="M246" t="s">
        <v>63</v>
      </c>
      <c r="N246" s="7" t="s">
        <v>21</v>
      </c>
      <c r="O246" s="1">
        <f>TBL_Employees3[[#This Row],[Annual Salary]]+TBL_Employees3[[#This Row],[Bonus %]]*TBL_Employees3[[#This Row],[Annual Salary]]</f>
        <v>125744.26</v>
      </c>
      <c r="P246" t="str">
        <f>IF(AND(TBL_Employees3[[#This Row],[Department]]="IT",TBL_Employees3[[#This Row],[Gender]]="Female"),"Yes","No")</f>
        <v>No</v>
      </c>
      <c r="Q246" t="str">
        <f>IF(AND(TBL_Employees3[[#This Row],[Gender]]="Female",TBL_Employees3[[#This Row],[Ethnicity]]="Black"), "Female_Black", "Others")</f>
        <v>Others</v>
      </c>
      <c r="T246" t="str">
        <v>E03935</v>
      </c>
    </row>
    <row r="247" spans="1:20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7">
        <v>41329</v>
      </c>
      <c r="J247" s="1">
        <v>157474</v>
      </c>
      <c r="K247" s="2">
        <v>0.11</v>
      </c>
      <c r="L247" t="s">
        <v>52</v>
      </c>
      <c r="M247" t="s">
        <v>66</v>
      </c>
      <c r="N247" s="7" t="s">
        <v>21</v>
      </c>
      <c r="O247" s="1">
        <f>TBL_Employees3[[#This Row],[Annual Salary]]+TBL_Employees3[[#This Row],[Bonus %]]*TBL_Employees3[[#This Row],[Annual Salary]]</f>
        <v>174796.14</v>
      </c>
      <c r="P247" t="str">
        <f>IF(AND(TBL_Employees3[[#This Row],[Department]]="IT",TBL_Employees3[[#This Row],[Gender]]="Female"),"Yes","No")</f>
        <v>No</v>
      </c>
      <c r="Q247" t="str">
        <f>IF(AND(TBL_Employees3[[#This Row],[Gender]]="Female",TBL_Employees3[[#This Row],[Ethnicity]]="Black"), "Female_Black", "Others")</f>
        <v>Others</v>
      </c>
      <c r="T247" t="str">
        <v>E00742</v>
      </c>
    </row>
    <row r="248" spans="1:20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7">
        <v>39544</v>
      </c>
      <c r="J248" s="1">
        <v>126856</v>
      </c>
      <c r="K248" s="2">
        <v>0.06</v>
      </c>
      <c r="L248" t="s">
        <v>19</v>
      </c>
      <c r="M248" t="s">
        <v>29</v>
      </c>
      <c r="N248" s="7" t="s">
        <v>21</v>
      </c>
      <c r="O248" s="1">
        <f>TBL_Employees3[[#This Row],[Annual Salary]]+TBL_Employees3[[#This Row],[Bonus %]]*TBL_Employees3[[#This Row],[Annual Salary]]</f>
        <v>134467.35999999999</v>
      </c>
      <c r="P248" t="str">
        <f>IF(AND(TBL_Employees3[[#This Row],[Department]]="IT",TBL_Employees3[[#This Row],[Gender]]="Female"),"Yes","No")</f>
        <v>No</v>
      </c>
      <c r="Q248" t="str">
        <f>IF(AND(TBL_Employees3[[#This Row],[Gender]]="Female",TBL_Employees3[[#This Row],[Ethnicity]]="Black"), "Female_Black", "Others")</f>
        <v>Others</v>
      </c>
      <c r="T248" t="str">
        <v>E02810</v>
      </c>
    </row>
    <row r="249" spans="1:20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7">
        <v>36983</v>
      </c>
      <c r="J249" s="1">
        <v>129124</v>
      </c>
      <c r="K249" s="2">
        <v>0.12</v>
      </c>
      <c r="L249" t="s">
        <v>33</v>
      </c>
      <c r="M249" t="s">
        <v>74</v>
      </c>
      <c r="N249" s="7" t="s">
        <v>21</v>
      </c>
      <c r="O249" s="1">
        <f>TBL_Employees3[[#This Row],[Annual Salary]]+TBL_Employees3[[#This Row],[Bonus %]]*TBL_Employees3[[#This Row],[Annual Salary]]</f>
        <v>144618.88</v>
      </c>
      <c r="P249" t="str">
        <f>IF(AND(TBL_Employees3[[#This Row],[Department]]="IT",TBL_Employees3[[#This Row],[Gender]]="Female"),"Yes","No")</f>
        <v>No</v>
      </c>
      <c r="Q249" t="str">
        <f>IF(AND(TBL_Employees3[[#This Row],[Gender]]="Female",TBL_Employees3[[#This Row],[Ethnicity]]="Black"), "Female_Black", "Others")</f>
        <v>Others</v>
      </c>
      <c r="T249" t="str">
        <v>E01860</v>
      </c>
    </row>
    <row r="250" spans="1:20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7">
        <v>37316</v>
      </c>
      <c r="J250" s="1">
        <v>165181</v>
      </c>
      <c r="K250" s="2">
        <v>0.16</v>
      </c>
      <c r="L250" t="s">
        <v>19</v>
      </c>
      <c r="M250" t="s">
        <v>63</v>
      </c>
      <c r="N250" s="7" t="s">
        <v>21</v>
      </c>
      <c r="O250" s="1">
        <f>TBL_Employees3[[#This Row],[Annual Salary]]+TBL_Employees3[[#This Row],[Bonus %]]*TBL_Employees3[[#This Row],[Annual Salary]]</f>
        <v>191609.96</v>
      </c>
      <c r="P250" t="str">
        <f>IF(AND(TBL_Employees3[[#This Row],[Department]]="IT",TBL_Employees3[[#This Row],[Gender]]="Female"),"Yes","No")</f>
        <v>No</v>
      </c>
      <c r="Q250" t="str">
        <f>IF(AND(TBL_Employees3[[#This Row],[Gender]]="Female",TBL_Employees3[[#This Row],[Ethnicity]]="Black"), "Female_Black", "Others")</f>
        <v>Others</v>
      </c>
      <c r="T250" t="str">
        <v>E04890</v>
      </c>
    </row>
    <row r="251" spans="1:20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7">
        <v>38004</v>
      </c>
      <c r="J251" s="1">
        <v>247939</v>
      </c>
      <c r="K251" s="2">
        <v>0.35</v>
      </c>
      <c r="L251" t="s">
        <v>52</v>
      </c>
      <c r="M251" t="s">
        <v>66</v>
      </c>
      <c r="N251" s="7" t="s">
        <v>21</v>
      </c>
      <c r="O251" s="1">
        <f>TBL_Employees3[[#This Row],[Annual Salary]]+TBL_Employees3[[#This Row],[Bonus %]]*TBL_Employees3[[#This Row],[Annual Salary]]</f>
        <v>334717.65000000002</v>
      </c>
      <c r="P251" t="str">
        <f>IF(AND(TBL_Employees3[[#This Row],[Department]]="IT",TBL_Employees3[[#This Row],[Gender]]="Female"),"Yes","No")</f>
        <v>No</v>
      </c>
      <c r="Q251" t="str">
        <f>IF(AND(TBL_Employees3[[#This Row],[Gender]]="Female",TBL_Employees3[[#This Row],[Ethnicity]]="Black"), "Female_Black", "Others")</f>
        <v>Others</v>
      </c>
      <c r="T251" t="str">
        <v>E02285</v>
      </c>
    </row>
    <row r="252" spans="1:20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7">
        <v>42972</v>
      </c>
      <c r="J252" s="1">
        <v>169509</v>
      </c>
      <c r="K252" s="2">
        <v>0.18</v>
      </c>
      <c r="L252" t="s">
        <v>52</v>
      </c>
      <c r="M252" t="s">
        <v>81</v>
      </c>
      <c r="N252" s="7" t="s">
        <v>21</v>
      </c>
      <c r="O252" s="1">
        <f>TBL_Employees3[[#This Row],[Annual Salary]]+TBL_Employees3[[#This Row],[Bonus %]]*TBL_Employees3[[#This Row],[Annual Salary]]</f>
        <v>200020.62</v>
      </c>
      <c r="P252" t="str">
        <f>IF(AND(TBL_Employees3[[#This Row],[Department]]="IT",TBL_Employees3[[#This Row],[Gender]]="Female"),"Yes","No")</f>
        <v>No</v>
      </c>
      <c r="Q252" t="str">
        <f>IF(AND(TBL_Employees3[[#This Row],[Gender]]="Female",TBL_Employees3[[#This Row],[Ethnicity]]="Black"), "Female_Black", "Others")</f>
        <v>Others</v>
      </c>
      <c r="T252" t="str">
        <v>E00842</v>
      </c>
    </row>
    <row r="253" spans="1:20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7">
        <v>40552</v>
      </c>
      <c r="J253" s="1">
        <v>138521</v>
      </c>
      <c r="K253" s="2">
        <v>0.1</v>
      </c>
      <c r="L253" t="s">
        <v>19</v>
      </c>
      <c r="M253" t="s">
        <v>45</v>
      </c>
      <c r="N253" s="7" t="s">
        <v>21</v>
      </c>
      <c r="O253" s="1">
        <f>TBL_Employees3[[#This Row],[Annual Salary]]+TBL_Employees3[[#This Row],[Bonus %]]*TBL_Employees3[[#This Row],[Annual Salary]]</f>
        <v>152373.1</v>
      </c>
      <c r="P253" t="str">
        <f>IF(AND(TBL_Employees3[[#This Row],[Department]]="IT",TBL_Employees3[[#This Row],[Gender]]="Female"),"Yes","No")</f>
        <v>No</v>
      </c>
      <c r="Q253" t="str">
        <f>IF(AND(TBL_Employees3[[#This Row],[Gender]]="Female",TBL_Employees3[[#This Row],[Ethnicity]]="Black"), "Female_Black", "Others")</f>
        <v>Others</v>
      </c>
      <c r="T253" t="str">
        <v>E01271</v>
      </c>
    </row>
    <row r="254" spans="1:20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7">
        <v>41712</v>
      </c>
      <c r="J254" s="1">
        <v>113873</v>
      </c>
      <c r="K254" s="2">
        <v>0.11</v>
      </c>
      <c r="L254" t="s">
        <v>52</v>
      </c>
      <c r="M254" t="s">
        <v>66</v>
      </c>
      <c r="N254" s="7" t="s">
        <v>21</v>
      </c>
      <c r="O254" s="1">
        <f>TBL_Employees3[[#This Row],[Annual Salary]]+TBL_Employees3[[#This Row],[Bonus %]]*TBL_Employees3[[#This Row],[Annual Salary]]</f>
        <v>126399.03</v>
      </c>
      <c r="P254" t="str">
        <f>IF(AND(TBL_Employees3[[#This Row],[Department]]="IT",TBL_Employees3[[#This Row],[Gender]]="Female"),"Yes","No")</f>
        <v>No</v>
      </c>
      <c r="Q254" t="str">
        <f>IF(AND(TBL_Employees3[[#This Row],[Gender]]="Female",TBL_Employees3[[#This Row],[Ethnicity]]="Black"), "Female_Black", "Others")</f>
        <v>Others</v>
      </c>
      <c r="T254" t="str">
        <v>E01921</v>
      </c>
    </row>
    <row r="255" spans="1:20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7">
        <v>43229</v>
      </c>
      <c r="J255" s="1">
        <v>73317</v>
      </c>
      <c r="K255" s="2">
        <v>0</v>
      </c>
      <c r="L255" t="s">
        <v>19</v>
      </c>
      <c r="M255" t="s">
        <v>45</v>
      </c>
      <c r="N255" s="7" t="s">
        <v>21</v>
      </c>
      <c r="O255" s="1">
        <f>TBL_Employees3[[#This Row],[Annual Salary]]+TBL_Employees3[[#This Row],[Bonus %]]*TBL_Employees3[[#This Row],[Annual Salary]]</f>
        <v>73317</v>
      </c>
      <c r="P255" t="str">
        <f>IF(AND(TBL_Employees3[[#This Row],[Department]]="IT",TBL_Employees3[[#This Row],[Gender]]="Female"),"Yes","No")</f>
        <v>Yes</v>
      </c>
      <c r="Q255" t="str">
        <f>IF(AND(TBL_Employees3[[#This Row],[Gender]]="Female",TBL_Employees3[[#This Row],[Ethnicity]]="Black"), "Female_Black", "Others")</f>
        <v>Female_Black</v>
      </c>
      <c r="T255" t="str">
        <v>E03664</v>
      </c>
    </row>
    <row r="256" spans="1:20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7">
        <v>41451</v>
      </c>
      <c r="J256" s="1">
        <v>69096</v>
      </c>
      <c r="K256" s="2">
        <v>0</v>
      </c>
      <c r="L256" t="s">
        <v>19</v>
      </c>
      <c r="M256" t="s">
        <v>63</v>
      </c>
      <c r="N256" s="7" t="s">
        <v>21</v>
      </c>
      <c r="O256" s="1">
        <f>TBL_Employees3[[#This Row],[Annual Salary]]+TBL_Employees3[[#This Row],[Bonus %]]*TBL_Employees3[[#This Row],[Annual Salary]]</f>
        <v>69096</v>
      </c>
      <c r="P256" t="str">
        <f>IF(AND(TBL_Employees3[[#This Row],[Department]]="IT",TBL_Employees3[[#This Row],[Gender]]="Female"),"Yes","No")</f>
        <v>Yes</v>
      </c>
      <c r="Q256" t="str">
        <f>IF(AND(TBL_Employees3[[#This Row],[Gender]]="Female",TBL_Employees3[[#This Row],[Ethnicity]]="Black"), "Female_Black", "Others")</f>
        <v>Others</v>
      </c>
      <c r="T256" t="str">
        <v>E00813</v>
      </c>
    </row>
    <row r="257" spans="1:20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7">
        <v>38454</v>
      </c>
      <c r="J257" s="1">
        <v>87158</v>
      </c>
      <c r="K257" s="2">
        <v>0</v>
      </c>
      <c r="L257" t="s">
        <v>52</v>
      </c>
      <c r="M257" t="s">
        <v>81</v>
      </c>
      <c r="N257" s="7" t="s">
        <v>21</v>
      </c>
      <c r="O257" s="1">
        <f>TBL_Employees3[[#This Row],[Annual Salary]]+TBL_Employees3[[#This Row],[Bonus %]]*TBL_Employees3[[#This Row],[Annual Salary]]</f>
        <v>87158</v>
      </c>
      <c r="P257" t="str">
        <f>IF(AND(TBL_Employees3[[#This Row],[Department]]="IT",TBL_Employees3[[#This Row],[Gender]]="Female"),"Yes","No")</f>
        <v>No</v>
      </c>
      <c r="Q257" t="str">
        <f>IF(AND(TBL_Employees3[[#This Row],[Gender]]="Female",TBL_Employees3[[#This Row],[Ethnicity]]="Black"), "Female_Black", "Others")</f>
        <v>Others</v>
      </c>
      <c r="T257" t="str">
        <v>E00870</v>
      </c>
    </row>
    <row r="258" spans="1:20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7">
        <v>33875</v>
      </c>
      <c r="J258" s="1">
        <v>70778</v>
      </c>
      <c r="K258" s="2">
        <v>0</v>
      </c>
      <c r="L258" t="s">
        <v>19</v>
      </c>
      <c r="M258" t="s">
        <v>25</v>
      </c>
      <c r="N258" s="7" t="s">
        <v>21</v>
      </c>
      <c r="O258" s="1">
        <f>TBL_Employees3[[#This Row],[Annual Salary]]+TBL_Employees3[[#This Row],[Bonus %]]*TBL_Employees3[[#This Row],[Annual Salary]]</f>
        <v>70778</v>
      </c>
      <c r="P258" t="str">
        <f>IF(AND(TBL_Employees3[[#This Row],[Department]]="IT",TBL_Employees3[[#This Row],[Gender]]="Female"),"Yes","No")</f>
        <v>No</v>
      </c>
      <c r="Q258" t="str">
        <f>IF(AND(TBL_Employees3[[#This Row],[Gender]]="Female",TBL_Employees3[[#This Row],[Ethnicity]]="Black"), "Female_Black", "Others")</f>
        <v>Others</v>
      </c>
      <c r="T258" t="str">
        <v>E04167</v>
      </c>
    </row>
    <row r="259" spans="1:20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7">
        <v>38130</v>
      </c>
      <c r="J259" s="1">
        <v>153938</v>
      </c>
      <c r="K259" s="2">
        <v>0.2</v>
      </c>
      <c r="L259" t="s">
        <v>19</v>
      </c>
      <c r="M259" t="s">
        <v>39</v>
      </c>
      <c r="N259" s="7" t="s">
        <v>21</v>
      </c>
      <c r="O259" s="1">
        <f>TBL_Employees3[[#This Row],[Annual Salary]]+TBL_Employees3[[#This Row],[Bonus %]]*TBL_Employees3[[#This Row],[Annual Salary]]</f>
        <v>184725.6</v>
      </c>
      <c r="P259" t="str">
        <f>IF(AND(TBL_Employees3[[#This Row],[Department]]="IT",TBL_Employees3[[#This Row],[Gender]]="Female"),"Yes","No")</f>
        <v>No</v>
      </c>
      <c r="Q259" t="str">
        <f>IF(AND(TBL_Employees3[[#This Row],[Gender]]="Female",TBL_Employees3[[#This Row],[Ethnicity]]="Black"), "Female_Black", "Others")</f>
        <v>Others</v>
      </c>
      <c r="T259" t="str">
        <v>E00245</v>
      </c>
    </row>
    <row r="260" spans="1:20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7">
        <v>43224</v>
      </c>
      <c r="J260" s="1">
        <v>59888</v>
      </c>
      <c r="K260" s="2">
        <v>0</v>
      </c>
      <c r="L260" t="s">
        <v>33</v>
      </c>
      <c r="M260" t="s">
        <v>60</v>
      </c>
      <c r="N260" s="7" t="s">
        <v>21</v>
      </c>
      <c r="O260" s="1">
        <f>TBL_Employees3[[#This Row],[Annual Salary]]+TBL_Employees3[[#This Row],[Bonus %]]*TBL_Employees3[[#This Row],[Annual Salary]]</f>
        <v>59888</v>
      </c>
      <c r="P260" t="str">
        <f>IF(AND(TBL_Employees3[[#This Row],[Department]]="IT",TBL_Employees3[[#This Row],[Gender]]="Female"),"Yes","No")</f>
        <v>No</v>
      </c>
      <c r="Q260" t="str">
        <f>IF(AND(TBL_Employees3[[#This Row],[Gender]]="Female",TBL_Employees3[[#This Row],[Ethnicity]]="Black"), "Female_Black", "Others")</f>
        <v>Others</v>
      </c>
      <c r="T260" t="str">
        <v>E00976</v>
      </c>
    </row>
    <row r="261" spans="1:20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7">
        <v>43447</v>
      </c>
      <c r="J261" s="1">
        <v>63098</v>
      </c>
      <c r="K261" s="2">
        <v>0</v>
      </c>
      <c r="L261" t="s">
        <v>19</v>
      </c>
      <c r="M261" t="s">
        <v>29</v>
      </c>
      <c r="N261" s="7" t="s">
        <v>21</v>
      </c>
      <c r="O261" s="1">
        <f>TBL_Employees3[[#This Row],[Annual Salary]]+TBL_Employees3[[#This Row],[Bonus %]]*TBL_Employees3[[#This Row],[Annual Salary]]</f>
        <v>63098</v>
      </c>
      <c r="P261" t="str">
        <f>IF(AND(TBL_Employees3[[#This Row],[Department]]="IT",TBL_Employees3[[#This Row],[Gender]]="Female"),"Yes","No")</f>
        <v>No</v>
      </c>
      <c r="Q261" t="str">
        <f>IF(AND(TBL_Employees3[[#This Row],[Gender]]="Female",TBL_Employees3[[#This Row],[Ethnicity]]="Black"), "Female_Black", "Others")</f>
        <v>Others</v>
      </c>
      <c r="T261" t="str">
        <v>E04112</v>
      </c>
    </row>
    <row r="262" spans="1:20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7">
        <v>44545</v>
      </c>
      <c r="J262" s="1">
        <v>255369</v>
      </c>
      <c r="K262" s="2">
        <v>0.33</v>
      </c>
      <c r="L262" t="s">
        <v>52</v>
      </c>
      <c r="M262" t="s">
        <v>53</v>
      </c>
      <c r="N262" s="7" t="s">
        <v>21</v>
      </c>
      <c r="O262" s="1">
        <f>TBL_Employees3[[#This Row],[Annual Salary]]+TBL_Employees3[[#This Row],[Bonus %]]*TBL_Employees3[[#This Row],[Annual Salary]]</f>
        <v>339640.77</v>
      </c>
      <c r="P262" t="str">
        <f>IF(AND(TBL_Employees3[[#This Row],[Department]]="IT",TBL_Employees3[[#This Row],[Gender]]="Female"),"Yes","No")</f>
        <v>No</v>
      </c>
      <c r="Q262" t="str">
        <f>IF(AND(TBL_Employees3[[#This Row],[Gender]]="Female",TBL_Employees3[[#This Row],[Ethnicity]]="Black"), "Female_Black", "Others")</f>
        <v>Others</v>
      </c>
      <c r="T262" t="str">
        <v>E01807</v>
      </c>
    </row>
    <row r="263" spans="1:20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7">
        <v>38301</v>
      </c>
      <c r="J263" s="1">
        <v>142318</v>
      </c>
      <c r="K263" s="2">
        <v>0.14000000000000001</v>
      </c>
      <c r="L263" t="s">
        <v>19</v>
      </c>
      <c r="M263" t="s">
        <v>20</v>
      </c>
      <c r="N263" s="7" t="s">
        <v>21</v>
      </c>
      <c r="O263" s="1">
        <f>TBL_Employees3[[#This Row],[Annual Salary]]+TBL_Employees3[[#This Row],[Bonus %]]*TBL_Employees3[[#This Row],[Annual Salary]]</f>
        <v>162242.51999999999</v>
      </c>
      <c r="P263" t="str">
        <f>IF(AND(TBL_Employees3[[#This Row],[Department]]="IT",TBL_Employees3[[#This Row],[Gender]]="Female"),"Yes","No")</f>
        <v>No</v>
      </c>
      <c r="Q263" t="str">
        <f>IF(AND(TBL_Employees3[[#This Row],[Gender]]="Female",TBL_Employees3[[#This Row],[Ethnicity]]="Black"), "Female_Black", "Others")</f>
        <v>Female_Black</v>
      </c>
      <c r="T263" t="str">
        <v>E04103</v>
      </c>
    </row>
    <row r="264" spans="1:20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7">
        <v>38219</v>
      </c>
      <c r="J264" s="1">
        <v>49186</v>
      </c>
      <c r="K264" s="2">
        <v>0</v>
      </c>
      <c r="L264" t="s">
        <v>19</v>
      </c>
      <c r="M264" t="s">
        <v>25</v>
      </c>
      <c r="N264" s="7">
        <v>39616</v>
      </c>
      <c r="O264" s="1">
        <f>TBL_Employees3[[#This Row],[Annual Salary]]+TBL_Employees3[[#This Row],[Bonus %]]*TBL_Employees3[[#This Row],[Annual Salary]]</f>
        <v>49186</v>
      </c>
      <c r="P264" t="str">
        <f>IF(AND(TBL_Employees3[[#This Row],[Department]]="IT",TBL_Employees3[[#This Row],[Gender]]="Female"),"Yes","No")</f>
        <v>No</v>
      </c>
      <c r="Q264" t="str">
        <f>IF(AND(TBL_Employees3[[#This Row],[Gender]]="Female",TBL_Employees3[[#This Row],[Ethnicity]]="Black"), "Female_Black", "Others")</f>
        <v>Others</v>
      </c>
      <c r="T264" t="str">
        <v>E01412</v>
      </c>
    </row>
    <row r="265" spans="1:20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7">
        <v>43673</v>
      </c>
      <c r="J265" s="1">
        <v>220937</v>
      </c>
      <c r="K265" s="2">
        <v>0.38</v>
      </c>
      <c r="L265" t="s">
        <v>19</v>
      </c>
      <c r="M265" t="s">
        <v>25</v>
      </c>
      <c r="N265" s="7" t="s">
        <v>21</v>
      </c>
      <c r="O265" s="1">
        <f>TBL_Employees3[[#This Row],[Annual Salary]]+TBL_Employees3[[#This Row],[Bonus %]]*TBL_Employees3[[#This Row],[Annual Salary]]</f>
        <v>304893.06</v>
      </c>
      <c r="P265" t="str">
        <f>IF(AND(TBL_Employees3[[#This Row],[Department]]="IT",TBL_Employees3[[#This Row],[Gender]]="Female"),"Yes","No")</f>
        <v>No</v>
      </c>
      <c r="Q265" t="str">
        <f>IF(AND(TBL_Employees3[[#This Row],[Gender]]="Female",TBL_Employees3[[#This Row],[Ethnicity]]="Black"), "Female_Black", "Others")</f>
        <v>Female_Black</v>
      </c>
      <c r="T265" t="str">
        <v>E04386</v>
      </c>
    </row>
    <row r="266" spans="1:20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7">
        <v>41208</v>
      </c>
      <c r="J266" s="1">
        <v>183156</v>
      </c>
      <c r="K266" s="2">
        <v>0.3</v>
      </c>
      <c r="L266" t="s">
        <v>19</v>
      </c>
      <c r="M266" t="s">
        <v>63</v>
      </c>
      <c r="N266" s="7" t="s">
        <v>21</v>
      </c>
      <c r="O266" s="1">
        <f>TBL_Employees3[[#This Row],[Annual Salary]]+TBL_Employees3[[#This Row],[Bonus %]]*TBL_Employees3[[#This Row],[Annual Salary]]</f>
        <v>238102.8</v>
      </c>
      <c r="P266" t="str">
        <f>IF(AND(TBL_Employees3[[#This Row],[Department]]="IT",TBL_Employees3[[#This Row],[Gender]]="Female"),"Yes","No")</f>
        <v>Yes</v>
      </c>
      <c r="Q266" t="str">
        <f>IF(AND(TBL_Employees3[[#This Row],[Gender]]="Female",TBL_Employees3[[#This Row],[Ethnicity]]="Black"), "Female_Black", "Others")</f>
        <v>Others</v>
      </c>
      <c r="T266" t="str">
        <v>E01232</v>
      </c>
    </row>
    <row r="267" spans="1:20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7">
        <v>44034</v>
      </c>
      <c r="J267" s="1">
        <v>192749</v>
      </c>
      <c r="K267" s="2">
        <v>0.31</v>
      </c>
      <c r="L267" t="s">
        <v>19</v>
      </c>
      <c r="M267" t="s">
        <v>20</v>
      </c>
      <c r="N267" s="7" t="s">
        <v>21</v>
      </c>
      <c r="O267" s="1">
        <f>TBL_Employees3[[#This Row],[Annual Salary]]+TBL_Employees3[[#This Row],[Bonus %]]*TBL_Employees3[[#This Row],[Annual Salary]]</f>
        <v>252501.19</v>
      </c>
      <c r="P267" t="str">
        <f>IF(AND(TBL_Employees3[[#This Row],[Department]]="IT",TBL_Employees3[[#This Row],[Gender]]="Female"),"Yes","No")</f>
        <v>Yes</v>
      </c>
      <c r="Q267" t="str">
        <f>IF(AND(TBL_Employees3[[#This Row],[Gender]]="Female",TBL_Employees3[[#This Row],[Ethnicity]]="Black"), "Female_Black", "Others")</f>
        <v>Others</v>
      </c>
      <c r="T267" t="str">
        <v>E04572</v>
      </c>
    </row>
    <row r="268" spans="1:20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7">
        <v>42819</v>
      </c>
      <c r="J268" s="1">
        <v>135325</v>
      </c>
      <c r="K268" s="2">
        <v>0.14000000000000001</v>
      </c>
      <c r="L268" t="s">
        <v>19</v>
      </c>
      <c r="M268" t="s">
        <v>39</v>
      </c>
      <c r="N268" s="7" t="s">
        <v>21</v>
      </c>
      <c r="O268" s="1">
        <f>TBL_Employees3[[#This Row],[Annual Salary]]+TBL_Employees3[[#This Row],[Bonus %]]*TBL_Employees3[[#This Row],[Annual Salary]]</f>
        <v>154270.5</v>
      </c>
      <c r="P268" t="str">
        <f>IF(AND(TBL_Employees3[[#This Row],[Department]]="IT",TBL_Employees3[[#This Row],[Gender]]="Female"),"Yes","No")</f>
        <v>Yes</v>
      </c>
      <c r="Q268" t="str">
        <f>IF(AND(TBL_Employees3[[#This Row],[Gender]]="Female",TBL_Employees3[[#This Row],[Ethnicity]]="Black"), "Female_Black", "Others")</f>
        <v>Others</v>
      </c>
      <c r="T268" t="str">
        <v>E02747</v>
      </c>
    </row>
    <row r="269" spans="1:20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7">
        <v>43752</v>
      </c>
      <c r="J269" s="1">
        <v>79356</v>
      </c>
      <c r="K269" s="2">
        <v>0</v>
      </c>
      <c r="L269" t="s">
        <v>19</v>
      </c>
      <c r="M269" t="s">
        <v>39</v>
      </c>
      <c r="N269" s="7" t="s">
        <v>21</v>
      </c>
      <c r="O269" s="1">
        <f>TBL_Employees3[[#This Row],[Annual Salary]]+TBL_Employees3[[#This Row],[Bonus %]]*TBL_Employees3[[#This Row],[Annual Salary]]</f>
        <v>79356</v>
      </c>
      <c r="P269" t="str">
        <f>IF(AND(TBL_Employees3[[#This Row],[Department]]="IT",TBL_Employees3[[#This Row],[Gender]]="Female"),"Yes","No")</f>
        <v>No</v>
      </c>
      <c r="Q269" t="str">
        <f>IF(AND(TBL_Employees3[[#This Row],[Gender]]="Female",TBL_Employees3[[#This Row],[Ethnicity]]="Black"), "Female_Black", "Others")</f>
        <v>Others</v>
      </c>
      <c r="T269" t="str">
        <v>E01064</v>
      </c>
    </row>
    <row r="270" spans="1:20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7">
        <v>38540</v>
      </c>
      <c r="J270" s="1">
        <v>74412</v>
      </c>
      <c r="K270" s="2">
        <v>0</v>
      </c>
      <c r="L270" t="s">
        <v>19</v>
      </c>
      <c r="M270" t="s">
        <v>63</v>
      </c>
      <c r="N270" s="7" t="s">
        <v>21</v>
      </c>
      <c r="O270" s="1">
        <f>TBL_Employees3[[#This Row],[Annual Salary]]+TBL_Employees3[[#This Row],[Bonus %]]*TBL_Employees3[[#This Row],[Annual Salary]]</f>
        <v>74412</v>
      </c>
      <c r="P270" t="str">
        <f>IF(AND(TBL_Employees3[[#This Row],[Department]]="IT",TBL_Employees3[[#This Row],[Gender]]="Female"),"Yes","No")</f>
        <v>No</v>
      </c>
      <c r="Q270" t="str">
        <f>IF(AND(TBL_Employees3[[#This Row],[Gender]]="Female",TBL_Employees3[[#This Row],[Ethnicity]]="Black"), "Female_Black", "Others")</f>
        <v>Others</v>
      </c>
      <c r="T270" t="str">
        <v>E00178</v>
      </c>
    </row>
    <row r="271" spans="1:20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7">
        <v>43010</v>
      </c>
      <c r="J271" s="1">
        <v>61886</v>
      </c>
      <c r="K271" s="2">
        <v>0.09</v>
      </c>
      <c r="L271" t="s">
        <v>52</v>
      </c>
      <c r="M271" t="s">
        <v>66</v>
      </c>
      <c r="N271" s="7" t="s">
        <v>21</v>
      </c>
      <c r="O271" s="1">
        <f>TBL_Employees3[[#This Row],[Annual Salary]]+TBL_Employees3[[#This Row],[Bonus %]]*TBL_Employees3[[#This Row],[Annual Salary]]</f>
        <v>67455.740000000005</v>
      </c>
      <c r="P271" t="str">
        <f>IF(AND(TBL_Employees3[[#This Row],[Department]]="IT",TBL_Employees3[[#This Row],[Gender]]="Female"),"Yes","No")</f>
        <v>Yes</v>
      </c>
      <c r="Q271" t="str">
        <f>IF(AND(TBL_Employees3[[#This Row],[Gender]]="Female",TBL_Employees3[[#This Row],[Ethnicity]]="Black"), "Female_Black", "Others")</f>
        <v>Others</v>
      </c>
      <c r="T271" t="str">
        <v>E01091</v>
      </c>
    </row>
    <row r="272" spans="1:20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7">
        <v>37755</v>
      </c>
      <c r="J272" s="1">
        <v>173071</v>
      </c>
      <c r="K272" s="2">
        <v>0.28999999999999998</v>
      </c>
      <c r="L272" t="s">
        <v>19</v>
      </c>
      <c r="M272" t="s">
        <v>29</v>
      </c>
      <c r="N272" s="7" t="s">
        <v>21</v>
      </c>
      <c r="O272" s="1">
        <f>TBL_Employees3[[#This Row],[Annual Salary]]+TBL_Employees3[[#This Row],[Bonus %]]*TBL_Employees3[[#This Row],[Annual Salary]]</f>
        <v>223261.59</v>
      </c>
      <c r="P272" t="str">
        <f>IF(AND(TBL_Employees3[[#This Row],[Department]]="IT",TBL_Employees3[[#This Row],[Gender]]="Female"),"Yes","No")</f>
        <v>No</v>
      </c>
      <c r="Q272" t="str">
        <f>IF(AND(TBL_Employees3[[#This Row],[Gender]]="Female",TBL_Employees3[[#This Row],[Ethnicity]]="Black"), "Female_Black", "Others")</f>
        <v>Others</v>
      </c>
      <c r="T272" t="str">
        <v>E01309</v>
      </c>
    </row>
    <row r="273" spans="1:20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7">
        <v>34999</v>
      </c>
      <c r="J273" s="1">
        <v>70189</v>
      </c>
      <c r="K273" s="2">
        <v>0</v>
      </c>
      <c r="L273" t="s">
        <v>19</v>
      </c>
      <c r="M273" t="s">
        <v>29</v>
      </c>
      <c r="N273" s="7" t="s">
        <v>21</v>
      </c>
      <c r="O273" s="1">
        <f>TBL_Employees3[[#This Row],[Annual Salary]]+TBL_Employees3[[#This Row],[Bonus %]]*TBL_Employees3[[#This Row],[Annual Salary]]</f>
        <v>70189</v>
      </c>
      <c r="P273" t="str">
        <f>IF(AND(TBL_Employees3[[#This Row],[Department]]="IT",TBL_Employees3[[#This Row],[Gender]]="Female"),"Yes","No")</f>
        <v>No</v>
      </c>
      <c r="Q273" t="str">
        <f>IF(AND(TBL_Employees3[[#This Row],[Gender]]="Female",TBL_Employees3[[#This Row],[Ethnicity]]="Black"), "Female_Black", "Others")</f>
        <v>Others</v>
      </c>
      <c r="T273" t="str">
        <v>E02378</v>
      </c>
    </row>
    <row r="274" spans="1:20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7">
        <v>41528</v>
      </c>
      <c r="J274" s="1">
        <v>181452</v>
      </c>
      <c r="K274" s="2">
        <v>0.3</v>
      </c>
      <c r="L274" t="s">
        <v>19</v>
      </c>
      <c r="M274" t="s">
        <v>29</v>
      </c>
      <c r="N274" s="7" t="s">
        <v>21</v>
      </c>
      <c r="O274" s="1">
        <f>TBL_Employees3[[#This Row],[Annual Salary]]+TBL_Employees3[[#This Row],[Bonus %]]*TBL_Employees3[[#This Row],[Annual Salary]]</f>
        <v>235887.6</v>
      </c>
      <c r="P274" t="str">
        <f>IF(AND(TBL_Employees3[[#This Row],[Department]]="IT",TBL_Employees3[[#This Row],[Gender]]="Female"),"Yes","No")</f>
        <v>No</v>
      </c>
      <c r="Q274" t="str">
        <f>IF(AND(TBL_Employees3[[#This Row],[Gender]]="Female",TBL_Employees3[[#This Row],[Ethnicity]]="Black"), "Female_Black", "Others")</f>
        <v>Others</v>
      </c>
      <c r="T274" t="str">
        <v>E04127</v>
      </c>
    </row>
    <row r="275" spans="1:20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7">
        <v>44267</v>
      </c>
      <c r="J275" s="1">
        <v>70369</v>
      </c>
      <c r="K275" s="2">
        <v>0</v>
      </c>
      <c r="L275" t="s">
        <v>19</v>
      </c>
      <c r="M275" t="s">
        <v>63</v>
      </c>
      <c r="N275" s="7" t="s">
        <v>21</v>
      </c>
      <c r="O275" s="1">
        <f>TBL_Employees3[[#This Row],[Annual Salary]]+TBL_Employees3[[#This Row],[Bonus %]]*TBL_Employees3[[#This Row],[Annual Salary]]</f>
        <v>70369</v>
      </c>
      <c r="P275" t="str">
        <f>IF(AND(TBL_Employees3[[#This Row],[Department]]="IT",TBL_Employees3[[#This Row],[Gender]]="Female"),"Yes","No")</f>
        <v>No</v>
      </c>
      <c r="Q275" t="str">
        <f>IF(AND(TBL_Employees3[[#This Row],[Gender]]="Female",TBL_Employees3[[#This Row],[Ethnicity]]="Black"), "Female_Black", "Others")</f>
        <v>Others</v>
      </c>
      <c r="T275" t="str">
        <v>E02072</v>
      </c>
    </row>
    <row r="276" spans="1:20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7">
        <v>39634</v>
      </c>
      <c r="J276" s="1">
        <v>78056</v>
      </c>
      <c r="K276" s="2">
        <v>0</v>
      </c>
      <c r="L276" t="s">
        <v>52</v>
      </c>
      <c r="M276" t="s">
        <v>53</v>
      </c>
      <c r="N276" s="7" t="s">
        <v>21</v>
      </c>
      <c r="O276" s="1">
        <f>TBL_Employees3[[#This Row],[Annual Salary]]+TBL_Employees3[[#This Row],[Bonus %]]*TBL_Employees3[[#This Row],[Annual Salary]]</f>
        <v>78056</v>
      </c>
      <c r="P276" t="str">
        <f>IF(AND(TBL_Employees3[[#This Row],[Department]]="IT",TBL_Employees3[[#This Row],[Gender]]="Female"),"Yes","No")</f>
        <v>No</v>
      </c>
      <c r="Q276" t="str">
        <f>IF(AND(TBL_Employees3[[#This Row],[Gender]]="Female",TBL_Employees3[[#This Row],[Ethnicity]]="Black"), "Female_Black", "Others")</f>
        <v>Others</v>
      </c>
      <c r="T276" t="str">
        <v>E02555</v>
      </c>
    </row>
    <row r="277" spans="1:20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7">
        <v>35187</v>
      </c>
      <c r="J277" s="1">
        <v>189933</v>
      </c>
      <c r="K277" s="2">
        <v>0.23</v>
      </c>
      <c r="L277" t="s">
        <v>19</v>
      </c>
      <c r="M277" t="s">
        <v>45</v>
      </c>
      <c r="N277" s="7" t="s">
        <v>21</v>
      </c>
      <c r="O277" s="1">
        <f>TBL_Employees3[[#This Row],[Annual Salary]]+TBL_Employees3[[#This Row],[Bonus %]]*TBL_Employees3[[#This Row],[Annual Salary]]</f>
        <v>233617.59</v>
      </c>
      <c r="P277" t="str">
        <f>IF(AND(TBL_Employees3[[#This Row],[Department]]="IT",TBL_Employees3[[#This Row],[Gender]]="Female"),"Yes","No")</f>
        <v>No</v>
      </c>
      <c r="Q277" t="str">
        <f>IF(AND(TBL_Employees3[[#This Row],[Gender]]="Female",TBL_Employees3[[#This Row],[Ethnicity]]="Black"), "Female_Black", "Others")</f>
        <v>Others</v>
      </c>
      <c r="T277" t="str">
        <v>E00187</v>
      </c>
    </row>
    <row r="278" spans="1:20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7">
        <v>40360</v>
      </c>
      <c r="J278" s="1">
        <v>78237</v>
      </c>
      <c r="K278" s="2">
        <v>0</v>
      </c>
      <c r="L278" t="s">
        <v>19</v>
      </c>
      <c r="M278" t="s">
        <v>39</v>
      </c>
      <c r="N278" s="7" t="s">
        <v>21</v>
      </c>
      <c r="O278" s="1">
        <f>TBL_Employees3[[#This Row],[Annual Salary]]+TBL_Employees3[[#This Row],[Bonus %]]*TBL_Employees3[[#This Row],[Annual Salary]]</f>
        <v>78237</v>
      </c>
      <c r="P278" t="str">
        <f>IF(AND(TBL_Employees3[[#This Row],[Department]]="IT",TBL_Employees3[[#This Row],[Gender]]="Female"),"Yes","No")</f>
        <v>No</v>
      </c>
      <c r="Q278" t="str">
        <f>IF(AND(TBL_Employees3[[#This Row],[Gender]]="Female",TBL_Employees3[[#This Row],[Ethnicity]]="Black"), "Female_Black", "Others")</f>
        <v>Others</v>
      </c>
      <c r="T278" t="str">
        <v>E02062</v>
      </c>
    </row>
    <row r="279" spans="1:20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7">
        <v>35242</v>
      </c>
      <c r="J279" s="1">
        <v>48687</v>
      </c>
      <c r="K279" s="2">
        <v>0</v>
      </c>
      <c r="L279" t="s">
        <v>52</v>
      </c>
      <c r="M279" t="s">
        <v>66</v>
      </c>
      <c r="N279" s="7" t="s">
        <v>21</v>
      </c>
      <c r="O279" s="1">
        <f>TBL_Employees3[[#This Row],[Annual Salary]]+TBL_Employees3[[#This Row],[Bonus %]]*TBL_Employees3[[#This Row],[Annual Salary]]</f>
        <v>48687</v>
      </c>
      <c r="P279" t="str">
        <f>IF(AND(TBL_Employees3[[#This Row],[Department]]="IT",TBL_Employees3[[#This Row],[Gender]]="Female"),"Yes","No")</f>
        <v>No</v>
      </c>
      <c r="Q279" t="str">
        <f>IF(AND(TBL_Employees3[[#This Row],[Gender]]="Female",TBL_Employees3[[#This Row],[Ethnicity]]="Black"), "Female_Black", "Others")</f>
        <v>Others</v>
      </c>
      <c r="T279" t="str">
        <v>E00034</v>
      </c>
    </row>
    <row r="280" spans="1:20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7">
        <v>38218</v>
      </c>
      <c r="J280" s="1">
        <v>121065</v>
      </c>
      <c r="K280" s="2">
        <v>0.15</v>
      </c>
      <c r="L280" t="s">
        <v>52</v>
      </c>
      <c r="M280" t="s">
        <v>66</v>
      </c>
      <c r="N280" s="7" t="s">
        <v>21</v>
      </c>
      <c r="O280" s="1">
        <f>TBL_Employees3[[#This Row],[Annual Salary]]+TBL_Employees3[[#This Row],[Bonus %]]*TBL_Employees3[[#This Row],[Annual Salary]]</f>
        <v>139224.75</v>
      </c>
      <c r="P280" t="str">
        <f>IF(AND(TBL_Employees3[[#This Row],[Department]]="IT",TBL_Employees3[[#This Row],[Gender]]="Female"),"Yes","No")</f>
        <v>No</v>
      </c>
      <c r="Q280" t="str">
        <f>IF(AND(TBL_Employees3[[#This Row],[Gender]]="Female",TBL_Employees3[[#This Row],[Ethnicity]]="Black"), "Female_Black", "Others")</f>
        <v>Others</v>
      </c>
      <c r="T280" t="str">
        <v>E00273</v>
      </c>
    </row>
    <row r="281" spans="1:20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7">
        <v>38093</v>
      </c>
      <c r="J281" s="1">
        <v>94246</v>
      </c>
      <c r="K281" s="2">
        <v>0</v>
      </c>
      <c r="L281" t="s">
        <v>19</v>
      </c>
      <c r="M281" t="s">
        <v>25</v>
      </c>
      <c r="N281" s="7" t="s">
        <v>21</v>
      </c>
      <c r="O281" s="1">
        <f>TBL_Employees3[[#This Row],[Annual Salary]]+TBL_Employees3[[#This Row],[Bonus %]]*TBL_Employees3[[#This Row],[Annual Salary]]</f>
        <v>94246</v>
      </c>
      <c r="P281" t="str">
        <f>IF(AND(TBL_Employees3[[#This Row],[Department]]="IT",TBL_Employees3[[#This Row],[Gender]]="Female"),"Yes","No")</f>
        <v>No</v>
      </c>
      <c r="Q281" t="str">
        <f>IF(AND(TBL_Employees3[[#This Row],[Gender]]="Female",TBL_Employees3[[#This Row],[Ethnicity]]="Black"), "Female_Black", "Others")</f>
        <v>Others</v>
      </c>
      <c r="T281" t="str">
        <v>E01403</v>
      </c>
    </row>
    <row r="282" spans="1:20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7">
        <v>42512</v>
      </c>
      <c r="J282" s="1">
        <v>44614</v>
      </c>
      <c r="K282" s="2">
        <v>0</v>
      </c>
      <c r="L282" t="s">
        <v>19</v>
      </c>
      <c r="M282" t="s">
        <v>45</v>
      </c>
      <c r="N282" s="7" t="s">
        <v>21</v>
      </c>
      <c r="O282" s="1">
        <f>TBL_Employees3[[#This Row],[Annual Salary]]+TBL_Employees3[[#This Row],[Bonus %]]*TBL_Employees3[[#This Row],[Annual Salary]]</f>
        <v>44614</v>
      </c>
      <c r="P282" t="str">
        <f>IF(AND(TBL_Employees3[[#This Row],[Department]]="IT",TBL_Employees3[[#This Row],[Gender]]="Female"),"Yes","No")</f>
        <v>Yes</v>
      </c>
      <c r="Q282" t="str">
        <f>IF(AND(TBL_Employees3[[#This Row],[Gender]]="Female",TBL_Employees3[[#This Row],[Ethnicity]]="Black"), "Female_Black", "Others")</f>
        <v>Others</v>
      </c>
      <c r="T282" t="str">
        <v>E03438</v>
      </c>
    </row>
    <row r="283" spans="1:20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7">
        <v>44143</v>
      </c>
      <c r="J283" s="1">
        <v>234469</v>
      </c>
      <c r="K283" s="2">
        <v>0.31</v>
      </c>
      <c r="L283" t="s">
        <v>33</v>
      </c>
      <c r="M283" t="s">
        <v>34</v>
      </c>
      <c r="N283" s="7" t="s">
        <v>21</v>
      </c>
      <c r="O283" s="1">
        <f>TBL_Employees3[[#This Row],[Annual Salary]]+TBL_Employees3[[#This Row],[Bonus %]]*TBL_Employees3[[#This Row],[Annual Salary]]</f>
        <v>307154.39</v>
      </c>
      <c r="P283" t="str">
        <f>IF(AND(TBL_Employees3[[#This Row],[Department]]="IT",TBL_Employees3[[#This Row],[Gender]]="Female"),"Yes","No")</f>
        <v>No</v>
      </c>
      <c r="Q283" t="str">
        <f>IF(AND(TBL_Employees3[[#This Row],[Gender]]="Female",TBL_Employees3[[#This Row],[Ethnicity]]="Black"), "Female_Black", "Others")</f>
        <v>Others</v>
      </c>
      <c r="T283" t="str">
        <v>E04136</v>
      </c>
    </row>
    <row r="284" spans="1:20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7">
        <v>44022</v>
      </c>
      <c r="J284" s="1">
        <v>88272</v>
      </c>
      <c r="K284" s="2">
        <v>0</v>
      </c>
      <c r="L284" t="s">
        <v>52</v>
      </c>
      <c r="M284" t="s">
        <v>53</v>
      </c>
      <c r="N284" s="7" t="s">
        <v>21</v>
      </c>
      <c r="O284" s="1">
        <f>TBL_Employees3[[#This Row],[Annual Salary]]+TBL_Employees3[[#This Row],[Bonus %]]*TBL_Employees3[[#This Row],[Annual Salary]]</f>
        <v>88272</v>
      </c>
      <c r="P284" t="str">
        <f>IF(AND(TBL_Employees3[[#This Row],[Department]]="IT",TBL_Employees3[[#This Row],[Gender]]="Female"),"Yes","No")</f>
        <v>No</v>
      </c>
      <c r="Q284" t="str">
        <f>IF(AND(TBL_Employees3[[#This Row],[Gender]]="Female",TBL_Employees3[[#This Row],[Ethnicity]]="Black"), "Female_Black", "Others")</f>
        <v>Others</v>
      </c>
      <c r="T284" t="str">
        <v>E02944</v>
      </c>
    </row>
    <row r="285" spans="1:20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7">
        <v>42992</v>
      </c>
      <c r="J285" s="1">
        <v>74449</v>
      </c>
      <c r="K285" s="2">
        <v>0</v>
      </c>
      <c r="L285" t="s">
        <v>33</v>
      </c>
      <c r="M285" t="s">
        <v>60</v>
      </c>
      <c r="N285" s="7" t="s">
        <v>21</v>
      </c>
      <c r="O285" s="1">
        <f>TBL_Employees3[[#This Row],[Annual Salary]]+TBL_Employees3[[#This Row],[Bonus %]]*TBL_Employees3[[#This Row],[Annual Salary]]</f>
        <v>74449</v>
      </c>
      <c r="P285" t="str">
        <f>IF(AND(TBL_Employees3[[#This Row],[Department]]="IT",TBL_Employees3[[#This Row],[Gender]]="Female"),"Yes","No")</f>
        <v>No</v>
      </c>
      <c r="Q285" t="str">
        <f>IF(AND(TBL_Employees3[[#This Row],[Gender]]="Female",TBL_Employees3[[#This Row],[Ethnicity]]="Black"), "Female_Black", "Others")</f>
        <v>Others</v>
      </c>
      <c r="T285" t="str">
        <v>E03300</v>
      </c>
    </row>
    <row r="286" spans="1:20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7">
        <v>41071</v>
      </c>
      <c r="J286" s="1">
        <v>222941</v>
      </c>
      <c r="K286" s="2">
        <v>0.39</v>
      </c>
      <c r="L286" t="s">
        <v>33</v>
      </c>
      <c r="M286" t="s">
        <v>60</v>
      </c>
      <c r="N286" s="7" t="s">
        <v>21</v>
      </c>
      <c r="O286" s="1">
        <f>TBL_Employees3[[#This Row],[Annual Salary]]+TBL_Employees3[[#This Row],[Bonus %]]*TBL_Employees3[[#This Row],[Annual Salary]]</f>
        <v>309887.99</v>
      </c>
      <c r="P286" t="str">
        <f>IF(AND(TBL_Employees3[[#This Row],[Department]]="IT",TBL_Employees3[[#This Row],[Gender]]="Female"),"Yes","No")</f>
        <v>No</v>
      </c>
      <c r="Q286" t="str">
        <f>IF(AND(TBL_Employees3[[#This Row],[Gender]]="Female",TBL_Employees3[[#This Row],[Ethnicity]]="Black"), "Female_Black", "Others")</f>
        <v>Others</v>
      </c>
      <c r="T286" t="str">
        <v>E00078</v>
      </c>
    </row>
    <row r="287" spans="1:20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7">
        <v>41543</v>
      </c>
      <c r="J287" s="1">
        <v>50341</v>
      </c>
      <c r="K287" s="2">
        <v>0</v>
      </c>
      <c r="L287" t="s">
        <v>33</v>
      </c>
      <c r="M287" t="s">
        <v>60</v>
      </c>
      <c r="N287" s="7" t="s">
        <v>21</v>
      </c>
      <c r="O287" s="1">
        <f>TBL_Employees3[[#This Row],[Annual Salary]]+TBL_Employees3[[#This Row],[Bonus %]]*TBL_Employees3[[#This Row],[Annual Salary]]</f>
        <v>50341</v>
      </c>
      <c r="P287" t="str">
        <f>IF(AND(TBL_Employees3[[#This Row],[Department]]="IT",TBL_Employees3[[#This Row],[Gender]]="Female"),"Yes","No")</f>
        <v>No</v>
      </c>
      <c r="Q287" t="str">
        <f>IF(AND(TBL_Employees3[[#This Row],[Gender]]="Female",TBL_Employees3[[#This Row],[Ethnicity]]="Black"), "Female_Black", "Others")</f>
        <v>Others</v>
      </c>
      <c r="T287" t="str">
        <v>E00825</v>
      </c>
    </row>
    <row r="288" spans="1:20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7">
        <v>44297</v>
      </c>
      <c r="J288" s="1">
        <v>72235</v>
      </c>
      <c r="K288" s="2">
        <v>0</v>
      </c>
      <c r="L288" t="s">
        <v>52</v>
      </c>
      <c r="M288" t="s">
        <v>81</v>
      </c>
      <c r="N288" s="7" t="s">
        <v>21</v>
      </c>
      <c r="O288" s="1">
        <f>TBL_Employees3[[#This Row],[Annual Salary]]+TBL_Employees3[[#This Row],[Bonus %]]*TBL_Employees3[[#This Row],[Annual Salary]]</f>
        <v>72235</v>
      </c>
      <c r="P288" t="str">
        <f>IF(AND(TBL_Employees3[[#This Row],[Department]]="IT",TBL_Employees3[[#This Row],[Gender]]="Female"),"Yes","No")</f>
        <v>No</v>
      </c>
      <c r="Q288" t="str">
        <f>IF(AND(TBL_Employees3[[#This Row],[Gender]]="Female",TBL_Employees3[[#This Row],[Ethnicity]]="Black"), "Female_Black", "Others")</f>
        <v>Others</v>
      </c>
      <c r="T288" t="str">
        <v>E04972</v>
      </c>
    </row>
    <row r="289" spans="1:20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7">
        <v>42533</v>
      </c>
      <c r="J289" s="1">
        <v>70165</v>
      </c>
      <c r="K289" s="2">
        <v>0</v>
      </c>
      <c r="L289" t="s">
        <v>19</v>
      </c>
      <c r="M289" t="s">
        <v>29</v>
      </c>
      <c r="N289" s="7" t="s">
        <v>21</v>
      </c>
      <c r="O289" s="1">
        <f>TBL_Employees3[[#This Row],[Annual Salary]]+TBL_Employees3[[#This Row],[Bonus %]]*TBL_Employees3[[#This Row],[Annual Salary]]</f>
        <v>70165</v>
      </c>
      <c r="P289" t="str">
        <f>IF(AND(TBL_Employees3[[#This Row],[Department]]="IT",TBL_Employees3[[#This Row],[Gender]]="Female"),"Yes","No")</f>
        <v>No</v>
      </c>
      <c r="Q289" t="str">
        <f>IF(AND(TBL_Employees3[[#This Row],[Gender]]="Female",TBL_Employees3[[#This Row],[Ethnicity]]="Black"), "Female_Black", "Others")</f>
        <v>Others</v>
      </c>
      <c r="T289" t="str">
        <v>E03941</v>
      </c>
    </row>
    <row r="290" spans="1:20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7">
        <v>44030</v>
      </c>
      <c r="J290" s="1">
        <v>148485</v>
      </c>
      <c r="K290" s="2">
        <v>0.15</v>
      </c>
      <c r="L290" t="s">
        <v>19</v>
      </c>
      <c r="M290" t="s">
        <v>45</v>
      </c>
      <c r="N290" s="7" t="s">
        <v>21</v>
      </c>
      <c r="O290" s="1">
        <f>TBL_Employees3[[#This Row],[Annual Salary]]+TBL_Employees3[[#This Row],[Bonus %]]*TBL_Employees3[[#This Row],[Annual Salary]]</f>
        <v>170757.75</v>
      </c>
      <c r="P290" t="str">
        <f>IF(AND(TBL_Employees3[[#This Row],[Department]]="IT",TBL_Employees3[[#This Row],[Gender]]="Female"),"Yes","No")</f>
        <v>No</v>
      </c>
      <c r="Q290" t="str">
        <f>IF(AND(TBL_Employees3[[#This Row],[Gender]]="Female",TBL_Employees3[[#This Row],[Ethnicity]]="Black"), "Female_Black", "Others")</f>
        <v>Others</v>
      </c>
      <c r="T290" t="str">
        <v>E02148</v>
      </c>
    </row>
    <row r="291" spans="1:20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7">
        <v>38521</v>
      </c>
      <c r="J291" s="1">
        <v>86089</v>
      </c>
      <c r="K291" s="2">
        <v>0</v>
      </c>
      <c r="L291" t="s">
        <v>19</v>
      </c>
      <c r="M291" t="s">
        <v>20</v>
      </c>
      <c r="N291" s="7" t="s">
        <v>21</v>
      </c>
      <c r="O291" s="1">
        <f>TBL_Employees3[[#This Row],[Annual Salary]]+TBL_Employees3[[#This Row],[Bonus %]]*TBL_Employees3[[#This Row],[Annual Salary]]</f>
        <v>86089</v>
      </c>
      <c r="P291" t="str">
        <f>IF(AND(TBL_Employees3[[#This Row],[Department]]="IT",TBL_Employees3[[#This Row],[Gender]]="Female"),"Yes","No")</f>
        <v>Yes</v>
      </c>
      <c r="Q291" t="str">
        <f>IF(AND(TBL_Employees3[[#This Row],[Gender]]="Female",TBL_Employees3[[#This Row],[Ethnicity]]="Black"), "Female_Black", "Others")</f>
        <v>Others</v>
      </c>
      <c r="T291" t="str">
        <v>E02252</v>
      </c>
    </row>
    <row r="292" spans="1:20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7">
        <v>39382</v>
      </c>
      <c r="J292" s="1">
        <v>106313</v>
      </c>
      <c r="K292" s="2">
        <v>0.15</v>
      </c>
      <c r="L292" t="s">
        <v>19</v>
      </c>
      <c r="M292" t="s">
        <v>20</v>
      </c>
      <c r="N292" s="7" t="s">
        <v>21</v>
      </c>
      <c r="O292" s="1">
        <f>TBL_Employees3[[#This Row],[Annual Salary]]+TBL_Employees3[[#This Row],[Bonus %]]*TBL_Employees3[[#This Row],[Annual Salary]]</f>
        <v>122259.95</v>
      </c>
      <c r="P292" t="str">
        <f>IF(AND(TBL_Employees3[[#This Row],[Department]]="IT",TBL_Employees3[[#This Row],[Gender]]="Female"),"Yes","No")</f>
        <v>No</v>
      </c>
      <c r="Q292" t="str">
        <f>IF(AND(TBL_Employees3[[#This Row],[Gender]]="Female",TBL_Employees3[[#This Row],[Ethnicity]]="Black"), "Female_Black", "Others")</f>
        <v>Others</v>
      </c>
      <c r="T292" t="str">
        <v>E03096</v>
      </c>
    </row>
    <row r="293" spans="1:20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7">
        <v>44251</v>
      </c>
      <c r="J293" s="1">
        <v>46833</v>
      </c>
      <c r="K293" s="2">
        <v>0</v>
      </c>
      <c r="L293" t="s">
        <v>33</v>
      </c>
      <c r="M293" t="s">
        <v>34</v>
      </c>
      <c r="N293" s="7">
        <v>44510</v>
      </c>
      <c r="O293" s="1">
        <f>TBL_Employees3[[#This Row],[Annual Salary]]+TBL_Employees3[[#This Row],[Bonus %]]*TBL_Employees3[[#This Row],[Annual Salary]]</f>
        <v>46833</v>
      </c>
      <c r="P293" t="str">
        <f>IF(AND(TBL_Employees3[[#This Row],[Department]]="IT",TBL_Employees3[[#This Row],[Gender]]="Female"),"Yes","No")</f>
        <v>No</v>
      </c>
      <c r="Q293" t="str">
        <f>IF(AND(TBL_Employees3[[#This Row],[Gender]]="Female",TBL_Employees3[[#This Row],[Ethnicity]]="Black"), "Female_Black", "Others")</f>
        <v>Others</v>
      </c>
      <c r="T293" t="str">
        <v>E04800</v>
      </c>
    </row>
    <row r="294" spans="1:20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7">
        <v>36826</v>
      </c>
      <c r="J294" s="1">
        <v>155320</v>
      </c>
      <c r="K294" s="2">
        <v>0.17</v>
      </c>
      <c r="L294" t="s">
        <v>33</v>
      </c>
      <c r="M294" t="s">
        <v>80</v>
      </c>
      <c r="N294" s="7" t="s">
        <v>21</v>
      </c>
      <c r="O294" s="1">
        <f>TBL_Employees3[[#This Row],[Annual Salary]]+TBL_Employees3[[#This Row],[Bonus %]]*TBL_Employees3[[#This Row],[Annual Salary]]</f>
        <v>181724.4</v>
      </c>
      <c r="P294" t="str">
        <f>IF(AND(TBL_Employees3[[#This Row],[Department]]="IT",TBL_Employees3[[#This Row],[Gender]]="Female"),"Yes","No")</f>
        <v>No</v>
      </c>
      <c r="Q294" t="str">
        <f>IF(AND(TBL_Employees3[[#This Row],[Gender]]="Female",TBL_Employees3[[#This Row],[Ethnicity]]="Black"), "Female_Black", "Others")</f>
        <v>Others</v>
      </c>
      <c r="T294" t="str">
        <v>E02838</v>
      </c>
    </row>
    <row r="295" spans="1:20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7">
        <v>42384</v>
      </c>
      <c r="J295" s="1">
        <v>89984</v>
      </c>
      <c r="K295" s="2">
        <v>0</v>
      </c>
      <c r="L295" t="s">
        <v>33</v>
      </c>
      <c r="M295" t="s">
        <v>34</v>
      </c>
      <c r="N295" s="7" t="s">
        <v>21</v>
      </c>
      <c r="O295" s="1">
        <f>TBL_Employees3[[#This Row],[Annual Salary]]+TBL_Employees3[[#This Row],[Bonus %]]*TBL_Employees3[[#This Row],[Annual Salary]]</f>
        <v>89984</v>
      </c>
      <c r="P295" t="str">
        <f>IF(AND(TBL_Employees3[[#This Row],[Department]]="IT",TBL_Employees3[[#This Row],[Gender]]="Female"),"Yes","No")</f>
        <v>No</v>
      </c>
      <c r="Q295" t="str">
        <f>IF(AND(TBL_Employees3[[#This Row],[Gender]]="Female",TBL_Employees3[[#This Row],[Ethnicity]]="Black"), "Female_Black", "Others")</f>
        <v>Others</v>
      </c>
      <c r="T295" t="str">
        <v>E02980</v>
      </c>
    </row>
    <row r="296" spans="1:20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7">
        <v>38792</v>
      </c>
      <c r="J296" s="1">
        <v>83756</v>
      </c>
      <c r="K296" s="2">
        <v>0.14000000000000001</v>
      </c>
      <c r="L296" t="s">
        <v>33</v>
      </c>
      <c r="M296" t="s">
        <v>74</v>
      </c>
      <c r="N296" s="7" t="s">
        <v>21</v>
      </c>
      <c r="O296" s="1">
        <f>TBL_Employees3[[#This Row],[Annual Salary]]+TBL_Employees3[[#This Row],[Bonus %]]*TBL_Employees3[[#This Row],[Annual Salary]]</f>
        <v>95481.84</v>
      </c>
      <c r="P296" t="str">
        <f>IF(AND(TBL_Employees3[[#This Row],[Department]]="IT",TBL_Employees3[[#This Row],[Gender]]="Female"),"Yes","No")</f>
        <v>No</v>
      </c>
      <c r="Q296" t="str">
        <f>IF(AND(TBL_Employees3[[#This Row],[Gender]]="Female",TBL_Employees3[[#This Row],[Ethnicity]]="Black"), "Female_Black", "Others")</f>
        <v>Others</v>
      </c>
      <c r="T296" t="str">
        <v>E04477</v>
      </c>
    </row>
    <row r="297" spans="1:20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7">
        <v>42667</v>
      </c>
      <c r="J297" s="1">
        <v>176324</v>
      </c>
      <c r="K297" s="2">
        <v>0.23</v>
      </c>
      <c r="L297" t="s">
        <v>33</v>
      </c>
      <c r="M297" t="s">
        <v>74</v>
      </c>
      <c r="N297" s="7" t="s">
        <v>21</v>
      </c>
      <c r="O297" s="1">
        <f>TBL_Employees3[[#This Row],[Annual Salary]]+TBL_Employees3[[#This Row],[Bonus %]]*TBL_Employees3[[#This Row],[Annual Salary]]</f>
        <v>216878.52000000002</v>
      </c>
      <c r="P297" t="str">
        <f>IF(AND(TBL_Employees3[[#This Row],[Department]]="IT",TBL_Employees3[[#This Row],[Gender]]="Female"),"Yes","No")</f>
        <v>No</v>
      </c>
      <c r="Q297" t="str">
        <f>IF(AND(TBL_Employees3[[#This Row],[Gender]]="Female",TBL_Employees3[[#This Row],[Ethnicity]]="Black"), "Female_Black", "Others")</f>
        <v>Others</v>
      </c>
      <c r="T297" t="str">
        <v>E04348</v>
      </c>
    </row>
    <row r="298" spans="1:20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7">
        <v>44482</v>
      </c>
      <c r="J298" s="1">
        <v>74077</v>
      </c>
      <c r="K298" s="2">
        <v>0</v>
      </c>
      <c r="L298" t="s">
        <v>19</v>
      </c>
      <c r="M298" t="s">
        <v>63</v>
      </c>
      <c r="N298" s="7" t="s">
        <v>21</v>
      </c>
      <c r="O298" s="1">
        <f>TBL_Employees3[[#This Row],[Annual Salary]]+TBL_Employees3[[#This Row],[Bonus %]]*TBL_Employees3[[#This Row],[Annual Salary]]</f>
        <v>74077</v>
      </c>
      <c r="P298" t="str">
        <f>IF(AND(TBL_Employees3[[#This Row],[Department]]="IT",TBL_Employees3[[#This Row],[Gender]]="Female"),"Yes","No")</f>
        <v>No</v>
      </c>
      <c r="Q298" t="str">
        <f>IF(AND(TBL_Employees3[[#This Row],[Gender]]="Female",TBL_Employees3[[#This Row],[Ethnicity]]="Black"), "Female_Black", "Others")</f>
        <v>Others</v>
      </c>
      <c r="T298" t="str">
        <v>E01638</v>
      </c>
    </row>
    <row r="299" spans="1:20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7">
        <v>44214</v>
      </c>
      <c r="J299" s="1">
        <v>104162</v>
      </c>
      <c r="K299" s="2">
        <v>7.0000000000000007E-2</v>
      </c>
      <c r="L299" t="s">
        <v>19</v>
      </c>
      <c r="M299" t="s">
        <v>25</v>
      </c>
      <c r="N299" s="7" t="s">
        <v>21</v>
      </c>
      <c r="O299" s="1">
        <f>TBL_Employees3[[#This Row],[Annual Salary]]+TBL_Employees3[[#This Row],[Bonus %]]*TBL_Employees3[[#This Row],[Annual Salary]]</f>
        <v>111453.34</v>
      </c>
      <c r="P299" t="str">
        <f>IF(AND(TBL_Employees3[[#This Row],[Department]]="IT",TBL_Employees3[[#This Row],[Gender]]="Female"),"Yes","No")</f>
        <v>No</v>
      </c>
      <c r="Q299" t="str">
        <f>IF(AND(TBL_Employees3[[#This Row],[Gender]]="Female",TBL_Employees3[[#This Row],[Ethnicity]]="Black"), "Female_Black", "Others")</f>
        <v>Others</v>
      </c>
      <c r="T299" t="str">
        <v>E03419</v>
      </c>
    </row>
    <row r="300" spans="1:20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7">
        <v>40418</v>
      </c>
      <c r="J300" s="1">
        <v>82162</v>
      </c>
      <c r="K300" s="2">
        <v>0</v>
      </c>
      <c r="L300" t="s">
        <v>33</v>
      </c>
      <c r="M300" t="s">
        <v>60</v>
      </c>
      <c r="N300" s="7">
        <v>44107</v>
      </c>
      <c r="O300" s="1">
        <f>TBL_Employees3[[#This Row],[Annual Salary]]+TBL_Employees3[[#This Row],[Bonus %]]*TBL_Employees3[[#This Row],[Annual Salary]]</f>
        <v>82162</v>
      </c>
      <c r="P300" t="str">
        <f>IF(AND(TBL_Employees3[[#This Row],[Department]]="IT",TBL_Employees3[[#This Row],[Gender]]="Female"),"Yes","No")</f>
        <v>Yes</v>
      </c>
      <c r="Q300" t="str">
        <f>IF(AND(TBL_Employees3[[#This Row],[Gender]]="Female",TBL_Employees3[[#This Row],[Ethnicity]]="Black"), "Female_Black", "Others")</f>
        <v>Others</v>
      </c>
      <c r="T300" t="str">
        <v>E04222</v>
      </c>
    </row>
    <row r="301" spans="1:20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7">
        <v>42195</v>
      </c>
      <c r="J301" s="1">
        <v>63880</v>
      </c>
      <c r="K301" s="2">
        <v>0</v>
      </c>
      <c r="L301" t="s">
        <v>33</v>
      </c>
      <c r="M301" t="s">
        <v>80</v>
      </c>
      <c r="N301" s="7" t="s">
        <v>21</v>
      </c>
      <c r="O301" s="1">
        <f>TBL_Employees3[[#This Row],[Annual Salary]]+TBL_Employees3[[#This Row],[Bonus %]]*TBL_Employees3[[#This Row],[Annual Salary]]</f>
        <v>63880</v>
      </c>
      <c r="P301" t="str">
        <f>IF(AND(TBL_Employees3[[#This Row],[Department]]="IT",TBL_Employees3[[#This Row],[Gender]]="Female"),"Yes","No")</f>
        <v>No</v>
      </c>
      <c r="Q301" t="str">
        <f>IF(AND(TBL_Employees3[[#This Row],[Gender]]="Female",TBL_Employees3[[#This Row],[Ethnicity]]="Black"), "Female_Black", "Others")</f>
        <v>Others</v>
      </c>
      <c r="T301" t="str">
        <v>E04126</v>
      </c>
    </row>
    <row r="302" spans="1:20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7">
        <v>41525</v>
      </c>
      <c r="J302" s="1">
        <v>73248</v>
      </c>
      <c r="K302" s="2">
        <v>0</v>
      </c>
      <c r="L302" t="s">
        <v>19</v>
      </c>
      <c r="M302" t="s">
        <v>29</v>
      </c>
      <c r="N302" s="7" t="s">
        <v>21</v>
      </c>
      <c r="O302" s="1">
        <f>TBL_Employees3[[#This Row],[Annual Salary]]+TBL_Employees3[[#This Row],[Bonus %]]*TBL_Employees3[[#This Row],[Annual Salary]]</f>
        <v>73248</v>
      </c>
      <c r="P302" t="str">
        <f>IF(AND(TBL_Employees3[[#This Row],[Department]]="IT",TBL_Employees3[[#This Row],[Gender]]="Female"),"Yes","No")</f>
        <v>No</v>
      </c>
      <c r="Q302" t="str">
        <f>IF(AND(TBL_Employees3[[#This Row],[Gender]]="Female",TBL_Employees3[[#This Row],[Ethnicity]]="Black"), "Female_Black", "Others")</f>
        <v>Others</v>
      </c>
      <c r="T302" t="str">
        <v>E01896</v>
      </c>
    </row>
    <row r="303" spans="1:20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7">
        <v>44113</v>
      </c>
      <c r="J303" s="1">
        <v>91853</v>
      </c>
      <c r="K303" s="2">
        <v>0</v>
      </c>
      <c r="L303" t="s">
        <v>19</v>
      </c>
      <c r="M303" t="s">
        <v>20</v>
      </c>
      <c r="N303" s="7" t="s">
        <v>21</v>
      </c>
      <c r="O303" s="1">
        <f>TBL_Employees3[[#This Row],[Annual Salary]]+TBL_Employees3[[#This Row],[Bonus %]]*TBL_Employees3[[#This Row],[Annual Salary]]</f>
        <v>91853</v>
      </c>
      <c r="P303" t="str">
        <f>IF(AND(TBL_Employees3[[#This Row],[Department]]="IT",TBL_Employees3[[#This Row],[Gender]]="Female"),"Yes","No")</f>
        <v>No</v>
      </c>
      <c r="Q303" t="str">
        <f>IF(AND(TBL_Employees3[[#This Row],[Gender]]="Female",TBL_Employees3[[#This Row],[Ethnicity]]="Black"), "Female_Black", "Others")</f>
        <v>Others</v>
      </c>
      <c r="T303" t="str">
        <v>E03018</v>
      </c>
    </row>
    <row r="304" spans="1:20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7">
        <v>43844</v>
      </c>
      <c r="J304" s="1">
        <v>168014</v>
      </c>
      <c r="K304" s="2">
        <v>0.27</v>
      </c>
      <c r="L304" t="s">
        <v>19</v>
      </c>
      <c r="M304" t="s">
        <v>20</v>
      </c>
      <c r="N304" s="7">
        <v>44404</v>
      </c>
      <c r="O304" s="1">
        <f>TBL_Employees3[[#This Row],[Annual Salary]]+TBL_Employees3[[#This Row],[Bonus %]]*TBL_Employees3[[#This Row],[Annual Salary]]</f>
        <v>213377.78</v>
      </c>
      <c r="P304" t="str">
        <f>IF(AND(TBL_Employees3[[#This Row],[Department]]="IT",TBL_Employees3[[#This Row],[Gender]]="Female"),"Yes","No")</f>
        <v>No</v>
      </c>
      <c r="Q304" t="str">
        <f>IF(AND(TBL_Employees3[[#This Row],[Gender]]="Female",TBL_Employees3[[#This Row],[Ethnicity]]="Black"), "Female_Black", "Others")</f>
        <v>Others</v>
      </c>
      <c r="T304" t="str">
        <v>E03325</v>
      </c>
    </row>
    <row r="305" spans="1:20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7">
        <v>42995</v>
      </c>
      <c r="J305" s="1">
        <v>70770</v>
      </c>
      <c r="K305" s="2">
        <v>0</v>
      </c>
      <c r="L305" t="s">
        <v>19</v>
      </c>
      <c r="M305" t="s">
        <v>45</v>
      </c>
      <c r="N305" s="7" t="s">
        <v>21</v>
      </c>
      <c r="O305" s="1">
        <f>TBL_Employees3[[#This Row],[Annual Salary]]+TBL_Employees3[[#This Row],[Bonus %]]*TBL_Employees3[[#This Row],[Annual Salary]]</f>
        <v>70770</v>
      </c>
      <c r="P305" t="str">
        <f>IF(AND(TBL_Employees3[[#This Row],[Department]]="IT",TBL_Employees3[[#This Row],[Gender]]="Female"),"Yes","No")</f>
        <v>No</v>
      </c>
      <c r="Q305" t="str">
        <f>IF(AND(TBL_Employees3[[#This Row],[Gender]]="Female",TBL_Employees3[[#This Row],[Ethnicity]]="Black"), "Female_Black", "Others")</f>
        <v>Others</v>
      </c>
      <c r="T305" t="str">
        <v>E04037</v>
      </c>
    </row>
    <row r="306" spans="1:20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7">
        <v>38271</v>
      </c>
      <c r="J306" s="1">
        <v>50825</v>
      </c>
      <c r="K306" s="2">
        <v>0</v>
      </c>
      <c r="L306" t="s">
        <v>19</v>
      </c>
      <c r="M306" t="s">
        <v>63</v>
      </c>
      <c r="N306" s="7" t="s">
        <v>21</v>
      </c>
      <c r="O306" s="1">
        <f>TBL_Employees3[[#This Row],[Annual Salary]]+TBL_Employees3[[#This Row],[Bonus %]]*TBL_Employees3[[#This Row],[Annual Salary]]</f>
        <v>50825</v>
      </c>
      <c r="P306" t="str">
        <f>IF(AND(TBL_Employees3[[#This Row],[Department]]="IT",TBL_Employees3[[#This Row],[Gender]]="Female"),"Yes","No")</f>
        <v>No</v>
      </c>
      <c r="Q306" t="str">
        <f>IF(AND(TBL_Employees3[[#This Row],[Gender]]="Female",TBL_Employees3[[#This Row],[Ethnicity]]="Black"), "Female_Black", "Others")</f>
        <v>Others</v>
      </c>
      <c r="T306" t="str">
        <v>E01902</v>
      </c>
    </row>
    <row r="307" spans="1:20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7">
        <v>42266</v>
      </c>
      <c r="J307" s="1">
        <v>145846</v>
      </c>
      <c r="K307" s="2">
        <v>0.15</v>
      </c>
      <c r="L307" t="s">
        <v>52</v>
      </c>
      <c r="M307" t="s">
        <v>81</v>
      </c>
      <c r="N307" s="7" t="s">
        <v>21</v>
      </c>
      <c r="O307" s="1">
        <f>TBL_Employees3[[#This Row],[Annual Salary]]+TBL_Employees3[[#This Row],[Bonus %]]*TBL_Employees3[[#This Row],[Annual Salary]]</f>
        <v>167722.9</v>
      </c>
      <c r="P307" t="str">
        <f>IF(AND(TBL_Employees3[[#This Row],[Department]]="IT",TBL_Employees3[[#This Row],[Gender]]="Female"),"Yes","No")</f>
        <v>No</v>
      </c>
      <c r="Q307" t="str">
        <f>IF(AND(TBL_Employees3[[#This Row],[Gender]]="Female",TBL_Employees3[[#This Row],[Ethnicity]]="Black"), "Female_Black", "Others")</f>
        <v>Others</v>
      </c>
      <c r="T307" t="str">
        <v>E01466</v>
      </c>
    </row>
    <row r="308" spans="1:20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7">
        <v>37962</v>
      </c>
      <c r="J308" s="1">
        <v>125807</v>
      </c>
      <c r="K308" s="2">
        <v>0.15</v>
      </c>
      <c r="L308" t="s">
        <v>19</v>
      </c>
      <c r="M308" t="s">
        <v>20</v>
      </c>
      <c r="N308" s="7" t="s">
        <v>21</v>
      </c>
      <c r="O308" s="1">
        <f>TBL_Employees3[[#This Row],[Annual Salary]]+TBL_Employees3[[#This Row],[Bonus %]]*TBL_Employees3[[#This Row],[Annual Salary]]</f>
        <v>144678.04999999999</v>
      </c>
      <c r="P308" t="str">
        <f>IF(AND(TBL_Employees3[[#This Row],[Department]]="IT",TBL_Employees3[[#This Row],[Gender]]="Female"),"Yes","No")</f>
        <v>No</v>
      </c>
      <c r="Q308" t="str">
        <f>IF(AND(TBL_Employees3[[#This Row],[Gender]]="Female",TBL_Employees3[[#This Row],[Ethnicity]]="Black"), "Female_Black", "Others")</f>
        <v>Others</v>
      </c>
      <c r="T308" t="str">
        <v>E02038</v>
      </c>
    </row>
    <row r="309" spans="1:20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7">
        <v>44405</v>
      </c>
      <c r="J309" s="1">
        <v>46845</v>
      </c>
      <c r="K309" s="2">
        <v>0</v>
      </c>
      <c r="L309" t="s">
        <v>19</v>
      </c>
      <c r="M309" t="s">
        <v>45</v>
      </c>
      <c r="N309" s="7" t="s">
        <v>21</v>
      </c>
      <c r="O309" s="1">
        <f>TBL_Employees3[[#This Row],[Annual Salary]]+TBL_Employees3[[#This Row],[Bonus %]]*TBL_Employees3[[#This Row],[Annual Salary]]</f>
        <v>46845</v>
      </c>
      <c r="P309" t="str">
        <f>IF(AND(TBL_Employees3[[#This Row],[Department]]="IT",TBL_Employees3[[#This Row],[Gender]]="Female"),"Yes","No")</f>
        <v>No</v>
      </c>
      <c r="Q309" t="str">
        <f>IF(AND(TBL_Employees3[[#This Row],[Gender]]="Female",TBL_Employees3[[#This Row],[Ethnicity]]="Black"), "Female_Black", "Others")</f>
        <v>Others</v>
      </c>
      <c r="T309" t="str">
        <v>E03474</v>
      </c>
    </row>
    <row r="310" spans="1:20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7">
        <v>39689</v>
      </c>
      <c r="J310" s="1">
        <v>157969</v>
      </c>
      <c r="K310" s="2">
        <v>0.1</v>
      </c>
      <c r="L310" t="s">
        <v>33</v>
      </c>
      <c r="M310" t="s">
        <v>80</v>
      </c>
      <c r="N310" s="7" t="s">
        <v>21</v>
      </c>
      <c r="O310" s="1">
        <f>TBL_Employees3[[#This Row],[Annual Salary]]+TBL_Employees3[[#This Row],[Bonus %]]*TBL_Employees3[[#This Row],[Annual Salary]]</f>
        <v>173765.9</v>
      </c>
      <c r="P310" t="str">
        <f>IF(AND(TBL_Employees3[[#This Row],[Department]]="IT",TBL_Employees3[[#This Row],[Gender]]="Female"),"Yes","No")</f>
        <v>No</v>
      </c>
      <c r="Q310" t="str">
        <f>IF(AND(TBL_Employees3[[#This Row],[Gender]]="Female",TBL_Employees3[[#This Row],[Ethnicity]]="Black"), "Female_Black", "Others")</f>
        <v>Others</v>
      </c>
      <c r="T310" t="str">
        <v>E02744</v>
      </c>
    </row>
    <row r="311" spans="1:20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7">
        <v>40522</v>
      </c>
      <c r="J311" s="1">
        <v>97807</v>
      </c>
      <c r="K311" s="2">
        <v>0</v>
      </c>
      <c r="L311" t="s">
        <v>19</v>
      </c>
      <c r="M311" t="s">
        <v>20</v>
      </c>
      <c r="N311" s="7" t="s">
        <v>21</v>
      </c>
      <c r="O311" s="1">
        <f>TBL_Employees3[[#This Row],[Annual Salary]]+TBL_Employees3[[#This Row],[Bonus %]]*TBL_Employees3[[#This Row],[Annual Salary]]</f>
        <v>97807</v>
      </c>
      <c r="P311" t="str">
        <f>IF(AND(TBL_Employees3[[#This Row],[Department]]="IT",TBL_Employees3[[#This Row],[Gender]]="Female"),"Yes","No")</f>
        <v>Yes</v>
      </c>
      <c r="Q311" t="str">
        <f>IF(AND(TBL_Employees3[[#This Row],[Gender]]="Female",TBL_Employees3[[#This Row],[Ethnicity]]="Black"), "Female_Black", "Others")</f>
        <v>Others</v>
      </c>
      <c r="T311" t="str">
        <v>E00702</v>
      </c>
    </row>
    <row r="312" spans="1:20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7">
        <v>42347</v>
      </c>
      <c r="J312" s="1">
        <v>73854</v>
      </c>
      <c r="K312" s="2">
        <v>0</v>
      </c>
      <c r="L312" t="s">
        <v>19</v>
      </c>
      <c r="M312" t="s">
        <v>63</v>
      </c>
      <c r="N312" s="7" t="s">
        <v>21</v>
      </c>
      <c r="O312" s="1">
        <f>TBL_Employees3[[#This Row],[Annual Salary]]+TBL_Employees3[[#This Row],[Bonus %]]*TBL_Employees3[[#This Row],[Annual Salary]]</f>
        <v>73854</v>
      </c>
      <c r="P312" t="str">
        <f>IF(AND(TBL_Employees3[[#This Row],[Department]]="IT",TBL_Employees3[[#This Row],[Gender]]="Female"),"Yes","No")</f>
        <v>No</v>
      </c>
      <c r="Q312" t="str">
        <f>IF(AND(TBL_Employees3[[#This Row],[Gender]]="Female",TBL_Employees3[[#This Row],[Ethnicity]]="Black"), "Female_Black", "Others")</f>
        <v>Others</v>
      </c>
      <c r="T312" t="str">
        <v>E03081</v>
      </c>
    </row>
    <row r="313" spans="1:20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7">
        <v>39063</v>
      </c>
      <c r="J313" s="1">
        <v>149537</v>
      </c>
      <c r="K313" s="2">
        <v>0.14000000000000001</v>
      </c>
      <c r="L313" t="s">
        <v>19</v>
      </c>
      <c r="M313" t="s">
        <v>63</v>
      </c>
      <c r="N313" s="7" t="s">
        <v>21</v>
      </c>
      <c r="O313" s="1">
        <f>TBL_Employees3[[#This Row],[Annual Salary]]+TBL_Employees3[[#This Row],[Bonus %]]*TBL_Employees3[[#This Row],[Annual Salary]]</f>
        <v>170472.18</v>
      </c>
      <c r="P313" t="str">
        <f>IF(AND(TBL_Employees3[[#This Row],[Department]]="IT",TBL_Employees3[[#This Row],[Gender]]="Female"),"Yes","No")</f>
        <v>No</v>
      </c>
      <c r="Q313" t="str">
        <f>IF(AND(TBL_Employees3[[#This Row],[Gender]]="Female",TBL_Employees3[[#This Row],[Ethnicity]]="Black"), "Female_Black", "Others")</f>
        <v>Others</v>
      </c>
      <c r="T313" t="str">
        <v>E01281</v>
      </c>
    </row>
    <row r="314" spans="1:20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7">
        <v>41379</v>
      </c>
      <c r="J314" s="1">
        <v>128303</v>
      </c>
      <c r="K314" s="2">
        <v>0.15</v>
      </c>
      <c r="L314" t="s">
        <v>19</v>
      </c>
      <c r="M314" t="s">
        <v>39</v>
      </c>
      <c r="N314" s="7" t="s">
        <v>21</v>
      </c>
      <c r="O314" s="1">
        <f>TBL_Employees3[[#This Row],[Annual Salary]]+TBL_Employees3[[#This Row],[Bonus %]]*TBL_Employees3[[#This Row],[Annual Salary]]</f>
        <v>147548.45000000001</v>
      </c>
      <c r="P314" t="str">
        <f>IF(AND(TBL_Employees3[[#This Row],[Department]]="IT",TBL_Employees3[[#This Row],[Gender]]="Female"),"Yes","No")</f>
        <v>No</v>
      </c>
      <c r="Q314" t="str">
        <f>IF(AND(TBL_Employees3[[#This Row],[Gender]]="Female",TBL_Employees3[[#This Row],[Ethnicity]]="Black"), "Female_Black", "Others")</f>
        <v>Others</v>
      </c>
      <c r="T314" t="str">
        <v>E04029</v>
      </c>
    </row>
    <row r="315" spans="1:20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7">
        <v>38513</v>
      </c>
      <c r="J315" s="1">
        <v>67374</v>
      </c>
      <c r="K315" s="2">
        <v>0</v>
      </c>
      <c r="L315" t="s">
        <v>19</v>
      </c>
      <c r="M315" t="s">
        <v>25</v>
      </c>
      <c r="N315" s="7" t="s">
        <v>21</v>
      </c>
      <c r="O315" s="1">
        <f>TBL_Employees3[[#This Row],[Annual Salary]]+TBL_Employees3[[#This Row],[Bonus %]]*TBL_Employees3[[#This Row],[Annual Salary]]</f>
        <v>67374</v>
      </c>
      <c r="P315" t="str">
        <f>IF(AND(TBL_Employees3[[#This Row],[Department]]="IT",TBL_Employees3[[#This Row],[Gender]]="Female"),"Yes","No")</f>
        <v>No</v>
      </c>
      <c r="Q315" t="str">
        <f>IF(AND(TBL_Employees3[[#This Row],[Gender]]="Female",TBL_Employees3[[#This Row],[Ethnicity]]="Black"), "Female_Black", "Others")</f>
        <v>Others</v>
      </c>
      <c r="T315" t="str">
        <v>E01116</v>
      </c>
    </row>
    <row r="316" spans="1:20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7">
        <v>40810</v>
      </c>
      <c r="J316" s="1">
        <v>102167</v>
      </c>
      <c r="K316" s="2">
        <v>0.06</v>
      </c>
      <c r="L316" t="s">
        <v>52</v>
      </c>
      <c r="M316" t="s">
        <v>66</v>
      </c>
      <c r="N316" s="7" t="s">
        <v>21</v>
      </c>
      <c r="O316" s="1">
        <f>TBL_Employees3[[#This Row],[Annual Salary]]+TBL_Employees3[[#This Row],[Bonus %]]*TBL_Employees3[[#This Row],[Annual Salary]]</f>
        <v>108297.02</v>
      </c>
      <c r="P316" t="str">
        <f>IF(AND(TBL_Employees3[[#This Row],[Department]]="IT",TBL_Employees3[[#This Row],[Gender]]="Female"),"Yes","No")</f>
        <v>No</v>
      </c>
      <c r="Q316" t="str">
        <f>IF(AND(TBL_Employees3[[#This Row],[Gender]]="Female",TBL_Employees3[[#This Row],[Ethnicity]]="Black"), "Female_Black", "Others")</f>
        <v>Others</v>
      </c>
      <c r="T316" t="str">
        <v>E01753</v>
      </c>
    </row>
    <row r="317" spans="1:20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7">
        <v>39332</v>
      </c>
      <c r="J317" s="1">
        <v>151027</v>
      </c>
      <c r="K317" s="2">
        <v>0.1</v>
      </c>
      <c r="L317" t="s">
        <v>33</v>
      </c>
      <c r="M317" t="s">
        <v>74</v>
      </c>
      <c r="N317" s="7" t="s">
        <v>21</v>
      </c>
      <c r="O317" s="1">
        <f>TBL_Employees3[[#This Row],[Annual Salary]]+TBL_Employees3[[#This Row],[Bonus %]]*TBL_Employees3[[#This Row],[Annual Salary]]</f>
        <v>166129.70000000001</v>
      </c>
      <c r="P317" t="str">
        <f>IF(AND(TBL_Employees3[[#This Row],[Department]]="IT",TBL_Employees3[[#This Row],[Gender]]="Female"),"Yes","No")</f>
        <v>No</v>
      </c>
      <c r="Q317" t="str">
        <f>IF(AND(TBL_Employees3[[#This Row],[Gender]]="Female",TBL_Employees3[[#This Row],[Ethnicity]]="Black"), "Female_Black", "Others")</f>
        <v>Others</v>
      </c>
      <c r="T317" t="str">
        <v>E04072</v>
      </c>
    </row>
    <row r="318" spans="1:20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7">
        <v>43147</v>
      </c>
      <c r="J318" s="1">
        <v>120905</v>
      </c>
      <c r="K318" s="2">
        <v>0.05</v>
      </c>
      <c r="L318" t="s">
        <v>19</v>
      </c>
      <c r="M318" t="s">
        <v>63</v>
      </c>
      <c r="N318" s="7" t="s">
        <v>21</v>
      </c>
      <c r="O318" s="1">
        <f>TBL_Employees3[[#This Row],[Annual Salary]]+TBL_Employees3[[#This Row],[Bonus %]]*TBL_Employees3[[#This Row],[Annual Salary]]</f>
        <v>126950.25</v>
      </c>
      <c r="P318" t="str">
        <f>IF(AND(TBL_Employees3[[#This Row],[Department]]="IT",TBL_Employees3[[#This Row],[Gender]]="Female"),"Yes","No")</f>
        <v>No</v>
      </c>
      <c r="Q318" t="str">
        <f>IF(AND(TBL_Employees3[[#This Row],[Gender]]="Female",TBL_Employees3[[#This Row],[Ethnicity]]="Black"), "Female_Black", "Others")</f>
        <v>Others</v>
      </c>
      <c r="T318" t="str">
        <v>E04419</v>
      </c>
    </row>
    <row r="319" spans="1:20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7">
        <v>43253</v>
      </c>
      <c r="J319" s="1">
        <v>231567</v>
      </c>
      <c r="K319" s="2">
        <v>0.36</v>
      </c>
      <c r="L319" t="s">
        <v>19</v>
      </c>
      <c r="M319" t="s">
        <v>63</v>
      </c>
      <c r="N319" s="7" t="s">
        <v>21</v>
      </c>
      <c r="O319" s="1">
        <f>TBL_Employees3[[#This Row],[Annual Salary]]+TBL_Employees3[[#This Row],[Bonus %]]*TBL_Employees3[[#This Row],[Annual Salary]]</f>
        <v>314931.12</v>
      </c>
      <c r="P319" t="str">
        <f>IF(AND(TBL_Employees3[[#This Row],[Department]]="IT",TBL_Employees3[[#This Row],[Gender]]="Female"),"Yes","No")</f>
        <v>No</v>
      </c>
      <c r="Q319" t="str">
        <f>IF(AND(TBL_Employees3[[#This Row],[Gender]]="Female",TBL_Employees3[[#This Row],[Ethnicity]]="Black"), "Female_Black", "Others")</f>
        <v>Others</v>
      </c>
      <c r="T319" t="str">
        <v>E00467</v>
      </c>
    </row>
    <row r="320" spans="1:20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7">
        <v>42197</v>
      </c>
      <c r="J320" s="1">
        <v>215388</v>
      </c>
      <c r="K320" s="2">
        <v>0.33</v>
      </c>
      <c r="L320" t="s">
        <v>19</v>
      </c>
      <c r="M320" t="s">
        <v>45</v>
      </c>
      <c r="N320" s="7" t="s">
        <v>21</v>
      </c>
      <c r="O320" s="1">
        <f>TBL_Employees3[[#This Row],[Annual Salary]]+TBL_Employees3[[#This Row],[Bonus %]]*TBL_Employees3[[#This Row],[Annual Salary]]</f>
        <v>286466.04000000004</v>
      </c>
      <c r="P320" t="str">
        <f>IF(AND(TBL_Employees3[[#This Row],[Department]]="IT",TBL_Employees3[[#This Row],[Gender]]="Female"),"Yes","No")</f>
        <v>No</v>
      </c>
      <c r="Q320" t="str">
        <f>IF(AND(TBL_Employees3[[#This Row],[Gender]]="Female",TBL_Employees3[[#This Row],[Ethnicity]]="Black"), "Female_Black", "Others")</f>
        <v>Others</v>
      </c>
      <c r="T320" t="str">
        <v>E00365</v>
      </c>
    </row>
    <row r="321" spans="1:20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7">
        <v>42168</v>
      </c>
      <c r="J321" s="1">
        <v>127972</v>
      </c>
      <c r="K321" s="2">
        <v>0.11</v>
      </c>
      <c r="L321" t="s">
        <v>19</v>
      </c>
      <c r="M321" t="s">
        <v>63</v>
      </c>
      <c r="N321" s="7" t="s">
        <v>21</v>
      </c>
      <c r="O321" s="1">
        <f>TBL_Employees3[[#This Row],[Annual Salary]]+TBL_Employees3[[#This Row],[Bonus %]]*TBL_Employees3[[#This Row],[Annual Salary]]</f>
        <v>142048.92000000001</v>
      </c>
      <c r="P321" t="str">
        <f>IF(AND(TBL_Employees3[[#This Row],[Department]]="IT",TBL_Employees3[[#This Row],[Gender]]="Female"),"Yes","No")</f>
        <v>No</v>
      </c>
      <c r="Q321" t="str">
        <f>IF(AND(TBL_Employees3[[#This Row],[Gender]]="Female",TBL_Employees3[[#This Row],[Ethnicity]]="Black"), "Female_Black", "Others")</f>
        <v>Others</v>
      </c>
      <c r="T321" t="str">
        <v>E03292</v>
      </c>
    </row>
    <row r="322" spans="1:20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7">
        <v>34915</v>
      </c>
      <c r="J322" s="1">
        <v>80701</v>
      </c>
      <c r="K322" s="2">
        <v>0</v>
      </c>
      <c r="L322" t="s">
        <v>19</v>
      </c>
      <c r="M322" t="s">
        <v>20</v>
      </c>
      <c r="N322" s="7">
        <v>38456</v>
      </c>
      <c r="O322" s="1">
        <f>TBL_Employees3[[#This Row],[Annual Salary]]+TBL_Employees3[[#This Row],[Bonus %]]*TBL_Employees3[[#This Row],[Annual Salary]]</f>
        <v>80701</v>
      </c>
      <c r="P322" t="str">
        <f>IF(AND(TBL_Employees3[[#This Row],[Department]]="IT",TBL_Employees3[[#This Row],[Gender]]="Female"),"Yes","No")</f>
        <v>No</v>
      </c>
      <c r="Q322" t="str">
        <f>IF(AND(TBL_Employees3[[#This Row],[Gender]]="Female",TBL_Employees3[[#This Row],[Ethnicity]]="Black"), "Female_Black", "Others")</f>
        <v>Others</v>
      </c>
      <c r="T322" t="str">
        <v>E04779</v>
      </c>
    </row>
    <row r="323" spans="1:20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7">
        <v>43863</v>
      </c>
      <c r="J323" s="1">
        <v>115417</v>
      </c>
      <c r="K323" s="2">
        <v>0.06</v>
      </c>
      <c r="L323" t="s">
        <v>33</v>
      </c>
      <c r="M323" t="s">
        <v>74</v>
      </c>
      <c r="N323" s="7" t="s">
        <v>21</v>
      </c>
      <c r="O323" s="1">
        <f>TBL_Employees3[[#This Row],[Annual Salary]]+TBL_Employees3[[#This Row],[Bonus %]]*TBL_Employees3[[#This Row],[Annual Salary]]</f>
        <v>122342.02</v>
      </c>
      <c r="P323" t="str">
        <f>IF(AND(TBL_Employees3[[#This Row],[Department]]="IT",TBL_Employees3[[#This Row],[Gender]]="Female"),"Yes","No")</f>
        <v>No</v>
      </c>
      <c r="Q323" t="str">
        <f>IF(AND(TBL_Employees3[[#This Row],[Gender]]="Female",TBL_Employees3[[#This Row],[Ethnicity]]="Black"), "Female_Black", "Others")</f>
        <v>Others</v>
      </c>
      <c r="T323" t="str">
        <v>E00501</v>
      </c>
    </row>
    <row r="324" spans="1:20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7">
        <v>43635</v>
      </c>
      <c r="J324" s="1">
        <v>88045</v>
      </c>
      <c r="K324" s="2">
        <v>0</v>
      </c>
      <c r="L324" t="s">
        <v>19</v>
      </c>
      <c r="M324" t="s">
        <v>20</v>
      </c>
      <c r="N324" s="7" t="s">
        <v>21</v>
      </c>
      <c r="O324" s="1">
        <f>TBL_Employees3[[#This Row],[Annual Salary]]+TBL_Employees3[[#This Row],[Bonus %]]*TBL_Employees3[[#This Row],[Annual Salary]]</f>
        <v>88045</v>
      </c>
      <c r="P324" t="str">
        <f>IF(AND(TBL_Employees3[[#This Row],[Department]]="IT",TBL_Employees3[[#This Row],[Gender]]="Female"),"Yes","No")</f>
        <v>No</v>
      </c>
      <c r="Q324" t="str">
        <f>IF(AND(TBL_Employees3[[#This Row],[Gender]]="Female",TBL_Employees3[[#This Row],[Ethnicity]]="Black"), "Female_Black", "Others")</f>
        <v>Others</v>
      </c>
      <c r="T324" t="str">
        <v>E01132</v>
      </c>
    </row>
    <row r="325" spans="1:20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7">
        <v>43185</v>
      </c>
      <c r="J325" s="1">
        <v>86478</v>
      </c>
      <c r="K325" s="2">
        <v>0.06</v>
      </c>
      <c r="L325" t="s">
        <v>19</v>
      </c>
      <c r="M325" t="s">
        <v>25</v>
      </c>
      <c r="N325" s="7" t="s">
        <v>21</v>
      </c>
      <c r="O325" s="1">
        <f>TBL_Employees3[[#This Row],[Annual Salary]]+TBL_Employees3[[#This Row],[Bonus %]]*TBL_Employees3[[#This Row],[Annual Salary]]</f>
        <v>91666.68</v>
      </c>
      <c r="P325" t="str">
        <f>IF(AND(TBL_Employees3[[#This Row],[Department]]="IT",TBL_Employees3[[#This Row],[Gender]]="Female"),"Yes","No")</f>
        <v>Yes</v>
      </c>
      <c r="Q325" t="str">
        <f>IF(AND(TBL_Employees3[[#This Row],[Gender]]="Female",TBL_Employees3[[#This Row],[Ethnicity]]="Black"), "Female_Black", "Others")</f>
        <v>Female_Black</v>
      </c>
      <c r="T325" t="str">
        <v>E00556</v>
      </c>
    </row>
    <row r="326" spans="1:20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7">
        <v>42387</v>
      </c>
      <c r="J326" s="1">
        <v>180994</v>
      </c>
      <c r="K326" s="2">
        <v>0.39</v>
      </c>
      <c r="L326" t="s">
        <v>19</v>
      </c>
      <c r="M326" t="s">
        <v>63</v>
      </c>
      <c r="N326" s="7" t="s">
        <v>21</v>
      </c>
      <c r="O326" s="1">
        <f>TBL_Employees3[[#This Row],[Annual Salary]]+TBL_Employees3[[#This Row],[Bonus %]]*TBL_Employees3[[#This Row],[Annual Salary]]</f>
        <v>251581.66</v>
      </c>
      <c r="P326" t="str">
        <f>IF(AND(TBL_Employees3[[#This Row],[Department]]="IT",TBL_Employees3[[#This Row],[Gender]]="Female"),"Yes","No")</f>
        <v>No</v>
      </c>
      <c r="Q326" t="str">
        <f>IF(AND(TBL_Employees3[[#This Row],[Gender]]="Female",TBL_Employees3[[#This Row],[Ethnicity]]="Black"), "Female_Black", "Others")</f>
        <v>Others</v>
      </c>
      <c r="T326" t="str">
        <v>E00311</v>
      </c>
    </row>
    <row r="327" spans="1:20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7">
        <v>39418</v>
      </c>
      <c r="J327" s="1">
        <v>64494</v>
      </c>
      <c r="K327" s="2">
        <v>0</v>
      </c>
      <c r="L327" t="s">
        <v>19</v>
      </c>
      <c r="M327" t="s">
        <v>29</v>
      </c>
      <c r="N327" s="7" t="s">
        <v>21</v>
      </c>
      <c r="O327" s="1">
        <f>TBL_Employees3[[#This Row],[Annual Salary]]+TBL_Employees3[[#This Row],[Bonus %]]*TBL_Employees3[[#This Row],[Annual Salary]]</f>
        <v>64494</v>
      </c>
      <c r="P327" t="str">
        <f>IF(AND(TBL_Employees3[[#This Row],[Department]]="IT",TBL_Employees3[[#This Row],[Gender]]="Female"),"Yes","No")</f>
        <v>No</v>
      </c>
      <c r="Q327" t="str">
        <f>IF(AND(TBL_Employees3[[#This Row],[Gender]]="Female",TBL_Employees3[[#This Row],[Ethnicity]]="Black"), "Female_Black", "Others")</f>
        <v>Others</v>
      </c>
      <c r="T327" t="str">
        <v>E04567</v>
      </c>
    </row>
    <row r="328" spans="1:20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7">
        <v>37550</v>
      </c>
      <c r="J328" s="1">
        <v>70122</v>
      </c>
      <c r="K328" s="2">
        <v>0</v>
      </c>
      <c r="L328" t="s">
        <v>19</v>
      </c>
      <c r="M328" t="s">
        <v>29</v>
      </c>
      <c r="N328" s="7" t="s">
        <v>21</v>
      </c>
      <c r="O328" s="1">
        <f>TBL_Employees3[[#This Row],[Annual Salary]]+TBL_Employees3[[#This Row],[Bonus %]]*TBL_Employees3[[#This Row],[Annual Salary]]</f>
        <v>70122</v>
      </c>
      <c r="P328" t="str">
        <f>IF(AND(TBL_Employees3[[#This Row],[Department]]="IT",TBL_Employees3[[#This Row],[Gender]]="Female"),"Yes","No")</f>
        <v>No</v>
      </c>
      <c r="Q328" t="str">
        <f>IF(AND(TBL_Employees3[[#This Row],[Gender]]="Female",TBL_Employees3[[#This Row],[Ethnicity]]="Black"), "Female_Black", "Others")</f>
        <v>Others</v>
      </c>
      <c r="T328" t="str">
        <v>E04378</v>
      </c>
    </row>
    <row r="329" spans="1:20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7">
        <v>42785</v>
      </c>
      <c r="J329" s="1">
        <v>181854</v>
      </c>
      <c r="K329" s="2">
        <v>0.28999999999999998</v>
      </c>
      <c r="L329" t="s">
        <v>19</v>
      </c>
      <c r="M329" t="s">
        <v>63</v>
      </c>
      <c r="N329" s="7">
        <v>43945</v>
      </c>
      <c r="O329" s="1">
        <f>TBL_Employees3[[#This Row],[Annual Salary]]+TBL_Employees3[[#This Row],[Bonus %]]*TBL_Employees3[[#This Row],[Annual Salary]]</f>
        <v>234591.66</v>
      </c>
      <c r="P329" t="str">
        <f>IF(AND(TBL_Employees3[[#This Row],[Department]]="IT",TBL_Employees3[[#This Row],[Gender]]="Female"),"Yes","No")</f>
        <v>No</v>
      </c>
      <c r="Q329" t="str">
        <f>IF(AND(TBL_Employees3[[#This Row],[Gender]]="Female",TBL_Employees3[[#This Row],[Ethnicity]]="Black"), "Female_Black", "Others")</f>
        <v>Others</v>
      </c>
      <c r="T329" t="str">
        <v>E03251</v>
      </c>
    </row>
    <row r="330" spans="1:20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7">
        <v>42664</v>
      </c>
      <c r="J330" s="1">
        <v>52811</v>
      </c>
      <c r="K330" s="2">
        <v>0</v>
      </c>
      <c r="L330" t="s">
        <v>19</v>
      </c>
      <c r="M330" t="s">
        <v>45</v>
      </c>
      <c r="N330" s="7" t="s">
        <v>21</v>
      </c>
      <c r="O330" s="1">
        <f>TBL_Employees3[[#This Row],[Annual Salary]]+TBL_Employees3[[#This Row],[Bonus %]]*TBL_Employees3[[#This Row],[Annual Salary]]</f>
        <v>52811</v>
      </c>
      <c r="P330" t="str">
        <f>IF(AND(TBL_Employees3[[#This Row],[Department]]="IT",TBL_Employees3[[#This Row],[Gender]]="Female"),"Yes","No")</f>
        <v>No</v>
      </c>
      <c r="Q330" t="str">
        <f>IF(AND(TBL_Employees3[[#This Row],[Gender]]="Female",TBL_Employees3[[#This Row],[Ethnicity]]="Black"), "Female_Black", "Others")</f>
        <v>Others</v>
      </c>
      <c r="T330" t="str">
        <v>E03167</v>
      </c>
    </row>
    <row r="331" spans="1:20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7">
        <v>43763</v>
      </c>
      <c r="J331" s="1">
        <v>50111</v>
      </c>
      <c r="K331" s="2">
        <v>0</v>
      </c>
      <c r="L331" t="s">
        <v>33</v>
      </c>
      <c r="M331" t="s">
        <v>34</v>
      </c>
      <c r="N331" s="7" t="s">
        <v>21</v>
      </c>
      <c r="O331" s="1">
        <f>TBL_Employees3[[#This Row],[Annual Salary]]+TBL_Employees3[[#This Row],[Bonus %]]*TBL_Employees3[[#This Row],[Annual Salary]]</f>
        <v>50111</v>
      </c>
      <c r="P331" t="str">
        <f>IF(AND(TBL_Employees3[[#This Row],[Department]]="IT",TBL_Employees3[[#This Row],[Gender]]="Female"),"Yes","No")</f>
        <v>Yes</v>
      </c>
      <c r="Q331" t="str">
        <f>IF(AND(TBL_Employees3[[#This Row],[Gender]]="Female",TBL_Employees3[[#This Row],[Ethnicity]]="Black"), "Female_Black", "Others")</f>
        <v>Others</v>
      </c>
      <c r="T331" t="str">
        <v>E03347</v>
      </c>
    </row>
    <row r="332" spans="1:20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7">
        <v>42497</v>
      </c>
      <c r="J332" s="1">
        <v>71192</v>
      </c>
      <c r="K332" s="2">
        <v>0</v>
      </c>
      <c r="L332" t="s">
        <v>19</v>
      </c>
      <c r="M332" t="s">
        <v>25</v>
      </c>
      <c r="N332" s="7" t="s">
        <v>21</v>
      </c>
      <c r="O332" s="1">
        <f>TBL_Employees3[[#This Row],[Annual Salary]]+TBL_Employees3[[#This Row],[Bonus %]]*TBL_Employees3[[#This Row],[Annual Salary]]</f>
        <v>71192</v>
      </c>
      <c r="P332" t="str">
        <f>IF(AND(TBL_Employees3[[#This Row],[Department]]="IT",TBL_Employees3[[#This Row],[Gender]]="Female"),"Yes","No")</f>
        <v>No</v>
      </c>
      <c r="Q332" t="str">
        <f>IF(AND(TBL_Employees3[[#This Row],[Gender]]="Female",TBL_Employees3[[#This Row],[Ethnicity]]="Black"), "Female_Black", "Others")</f>
        <v>Others</v>
      </c>
      <c r="T332" t="str">
        <v>E03908</v>
      </c>
    </row>
    <row r="333" spans="1:20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7">
        <v>43452</v>
      </c>
      <c r="J333" s="1">
        <v>155351</v>
      </c>
      <c r="K333" s="2">
        <v>0.2</v>
      </c>
      <c r="L333" t="s">
        <v>19</v>
      </c>
      <c r="M333" t="s">
        <v>63</v>
      </c>
      <c r="N333" s="7" t="s">
        <v>21</v>
      </c>
      <c r="O333" s="1">
        <f>TBL_Employees3[[#This Row],[Annual Salary]]+TBL_Employees3[[#This Row],[Bonus %]]*TBL_Employees3[[#This Row],[Annual Salary]]</f>
        <v>186421.2</v>
      </c>
      <c r="P333" t="str">
        <f>IF(AND(TBL_Employees3[[#This Row],[Department]]="IT",TBL_Employees3[[#This Row],[Gender]]="Female"),"Yes","No")</f>
        <v>No</v>
      </c>
      <c r="Q333" t="str">
        <f>IF(AND(TBL_Employees3[[#This Row],[Gender]]="Female",TBL_Employees3[[#This Row],[Ethnicity]]="Black"), "Female_Black", "Others")</f>
        <v>Others</v>
      </c>
      <c r="T333" t="str">
        <v>E01351</v>
      </c>
    </row>
    <row r="334" spans="1:20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7">
        <v>39049</v>
      </c>
      <c r="J334" s="1">
        <v>161690</v>
      </c>
      <c r="K334" s="2">
        <v>0.28999999999999998</v>
      </c>
      <c r="L334" t="s">
        <v>33</v>
      </c>
      <c r="M334" t="s">
        <v>60</v>
      </c>
      <c r="N334" s="7" t="s">
        <v>21</v>
      </c>
      <c r="O334" s="1">
        <f>TBL_Employees3[[#This Row],[Annual Salary]]+TBL_Employees3[[#This Row],[Bonus %]]*TBL_Employees3[[#This Row],[Annual Salary]]</f>
        <v>208580.1</v>
      </c>
      <c r="P334" t="str">
        <f>IF(AND(TBL_Employees3[[#This Row],[Department]]="IT",TBL_Employees3[[#This Row],[Gender]]="Female"),"Yes","No")</f>
        <v>No</v>
      </c>
      <c r="Q334" t="str">
        <f>IF(AND(TBL_Employees3[[#This Row],[Gender]]="Female",TBL_Employees3[[#This Row],[Ethnicity]]="Black"), "Female_Black", "Others")</f>
        <v>Others</v>
      </c>
      <c r="T334" t="str">
        <v>E02681</v>
      </c>
    </row>
    <row r="335" spans="1:20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7">
        <v>42776</v>
      </c>
      <c r="J335" s="1">
        <v>60132</v>
      </c>
      <c r="K335" s="2">
        <v>0</v>
      </c>
      <c r="L335" t="s">
        <v>33</v>
      </c>
      <c r="M335" t="s">
        <v>80</v>
      </c>
      <c r="N335" s="7" t="s">
        <v>21</v>
      </c>
      <c r="O335" s="1">
        <f>TBL_Employees3[[#This Row],[Annual Salary]]+TBL_Employees3[[#This Row],[Bonus %]]*TBL_Employees3[[#This Row],[Annual Salary]]</f>
        <v>60132</v>
      </c>
      <c r="P335" t="str">
        <f>IF(AND(TBL_Employees3[[#This Row],[Department]]="IT",TBL_Employees3[[#This Row],[Gender]]="Female"),"Yes","No")</f>
        <v>No</v>
      </c>
      <c r="Q335" t="str">
        <f>IF(AND(TBL_Employees3[[#This Row],[Gender]]="Female",TBL_Employees3[[#This Row],[Ethnicity]]="Black"), "Female_Black", "Others")</f>
        <v>Others</v>
      </c>
      <c r="T335" t="str">
        <v>E03807</v>
      </c>
    </row>
    <row r="336" spans="1:20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7">
        <v>34631</v>
      </c>
      <c r="J336" s="1">
        <v>87216</v>
      </c>
      <c r="K336" s="2">
        <v>0</v>
      </c>
      <c r="L336" t="s">
        <v>19</v>
      </c>
      <c r="M336" t="s">
        <v>45</v>
      </c>
      <c r="N336" s="7" t="s">
        <v>21</v>
      </c>
      <c r="O336" s="1">
        <f>TBL_Employees3[[#This Row],[Annual Salary]]+TBL_Employees3[[#This Row],[Bonus %]]*TBL_Employees3[[#This Row],[Annual Salary]]</f>
        <v>87216</v>
      </c>
      <c r="P336" t="str">
        <f>IF(AND(TBL_Employees3[[#This Row],[Department]]="IT",TBL_Employees3[[#This Row],[Gender]]="Female"),"Yes","No")</f>
        <v>No</v>
      </c>
      <c r="Q336" t="str">
        <f>IF(AND(TBL_Employees3[[#This Row],[Gender]]="Female",TBL_Employees3[[#This Row],[Ethnicity]]="Black"), "Female_Black", "Others")</f>
        <v>Others</v>
      </c>
      <c r="T336" t="str">
        <v>E00422</v>
      </c>
    </row>
    <row r="337" spans="1:20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7">
        <v>43944</v>
      </c>
      <c r="J337" s="1">
        <v>50069</v>
      </c>
      <c r="K337" s="2">
        <v>0</v>
      </c>
      <c r="L337" t="s">
        <v>19</v>
      </c>
      <c r="M337" t="s">
        <v>63</v>
      </c>
      <c r="N337" s="7" t="s">
        <v>21</v>
      </c>
      <c r="O337" s="1">
        <f>TBL_Employees3[[#This Row],[Annual Salary]]+TBL_Employees3[[#This Row],[Bonus %]]*TBL_Employees3[[#This Row],[Annual Salary]]</f>
        <v>50069</v>
      </c>
      <c r="P337" t="str">
        <f>IF(AND(TBL_Employees3[[#This Row],[Department]]="IT",TBL_Employees3[[#This Row],[Gender]]="Female"),"Yes","No")</f>
        <v>No</v>
      </c>
      <c r="Q337" t="str">
        <f>IF(AND(TBL_Employees3[[#This Row],[Gender]]="Female",TBL_Employees3[[#This Row],[Ethnicity]]="Black"), "Female_Black", "Others")</f>
        <v>Others</v>
      </c>
      <c r="T337" t="str">
        <v>E00265</v>
      </c>
    </row>
    <row r="338" spans="1:20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7">
        <v>44403</v>
      </c>
      <c r="J338" s="1">
        <v>151108</v>
      </c>
      <c r="K338" s="2">
        <v>0.22</v>
      </c>
      <c r="L338" t="s">
        <v>19</v>
      </c>
      <c r="M338" t="s">
        <v>39</v>
      </c>
      <c r="N338" s="7" t="s">
        <v>21</v>
      </c>
      <c r="O338" s="1">
        <f>TBL_Employees3[[#This Row],[Annual Salary]]+TBL_Employees3[[#This Row],[Bonus %]]*TBL_Employees3[[#This Row],[Annual Salary]]</f>
        <v>184351.76</v>
      </c>
      <c r="P338" t="str">
        <f>IF(AND(TBL_Employees3[[#This Row],[Department]]="IT",TBL_Employees3[[#This Row],[Gender]]="Female"),"Yes","No")</f>
        <v>Yes</v>
      </c>
      <c r="Q338" t="str">
        <f>IF(AND(TBL_Employees3[[#This Row],[Gender]]="Female",TBL_Employees3[[#This Row],[Ethnicity]]="Black"), "Female_Black", "Others")</f>
        <v>Others</v>
      </c>
      <c r="T338" t="str">
        <v>E04601</v>
      </c>
    </row>
    <row r="339" spans="1:20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7">
        <v>38640</v>
      </c>
      <c r="J339" s="1">
        <v>67398</v>
      </c>
      <c r="K339" s="2">
        <v>7.0000000000000007E-2</v>
      </c>
      <c r="L339" t="s">
        <v>19</v>
      </c>
      <c r="M339" t="s">
        <v>39</v>
      </c>
      <c r="N339" s="7" t="s">
        <v>21</v>
      </c>
      <c r="O339" s="1">
        <f>TBL_Employees3[[#This Row],[Annual Salary]]+TBL_Employees3[[#This Row],[Bonus %]]*TBL_Employees3[[#This Row],[Annual Salary]]</f>
        <v>72115.86</v>
      </c>
      <c r="P339" t="str">
        <f>IF(AND(TBL_Employees3[[#This Row],[Department]]="IT",TBL_Employees3[[#This Row],[Gender]]="Female"),"Yes","No")</f>
        <v>Yes</v>
      </c>
      <c r="Q339" t="str">
        <f>IF(AND(TBL_Employees3[[#This Row],[Gender]]="Female",TBL_Employees3[[#This Row],[Ethnicity]]="Black"), "Female_Black", "Others")</f>
        <v>Others</v>
      </c>
      <c r="T339" t="str">
        <v>E04816</v>
      </c>
    </row>
    <row r="340" spans="1:20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7">
        <v>42245</v>
      </c>
      <c r="J340" s="1">
        <v>68488</v>
      </c>
      <c r="K340" s="2">
        <v>0</v>
      </c>
      <c r="L340" t="s">
        <v>19</v>
      </c>
      <c r="M340" t="s">
        <v>63</v>
      </c>
      <c r="N340" s="7" t="s">
        <v>21</v>
      </c>
      <c r="O340" s="1">
        <f>TBL_Employees3[[#This Row],[Annual Salary]]+TBL_Employees3[[#This Row],[Bonus %]]*TBL_Employees3[[#This Row],[Annual Salary]]</f>
        <v>68488</v>
      </c>
      <c r="P340" t="str">
        <f>IF(AND(TBL_Employees3[[#This Row],[Department]]="IT",TBL_Employees3[[#This Row],[Gender]]="Female"),"Yes","No")</f>
        <v>No</v>
      </c>
      <c r="Q340" t="str">
        <f>IF(AND(TBL_Employees3[[#This Row],[Gender]]="Female",TBL_Employees3[[#This Row],[Ethnicity]]="Black"), "Female_Black", "Others")</f>
        <v>Others</v>
      </c>
      <c r="T340" t="str">
        <v>E02147</v>
      </c>
    </row>
    <row r="341" spans="1:20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7">
        <v>35992</v>
      </c>
      <c r="J341" s="1">
        <v>92932</v>
      </c>
      <c r="K341" s="2">
        <v>0</v>
      </c>
      <c r="L341" t="s">
        <v>19</v>
      </c>
      <c r="M341" t="s">
        <v>29</v>
      </c>
      <c r="N341" s="7" t="s">
        <v>21</v>
      </c>
      <c r="O341" s="1">
        <f>TBL_Employees3[[#This Row],[Annual Salary]]+TBL_Employees3[[#This Row],[Bonus %]]*TBL_Employees3[[#This Row],[Annual Salary]]</f>
        <v>92932</v>
      </c>
      <c r="P341" t="str">
        <f>IF(AND(TBL_Employees3[[#This Row],[Department]]="IT",TBL_Employees3[[#This Row],[Gender]]="Female"),"Yes","No")</f>
        <v>No</v>
      </c>
      <c r="Q341" t="str">
        <f>IF(AND(TBL_Employees3[[#This Row],[Gender]]="Female",TBL_Employees3[[#This Row],[Ethnicity]]="Black"), "Female_Black", "Others")</f>
        <v>Others</v>
      </c>
      <c r="T341" t="str">
        <v>E02914</v>
      </c>
    </row>
    <row r="342" spans="1:20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7">
        <v>39994</v>
      </c>
      <c r="J342" s="1">
        <v>43363</v>
      </c>
      <c r="K342" s="2">
        <v>0</v>
      </c>
      <c r="L342" t="s">
        <v>19</v>
      </c>
      <c r="M342" t="s">
        <v>25</v>
      </c>
      <c r="N342" s="7" t="s">
        <v>21</v>
      </c>
      <c r="O342" s="1">
        <f>TBL_Employees3[[#This Row],[Annual Salary]]+TBL_Employees3[[#This Row],[Bonus %]]*TBL_Employees3[[#This Row],[Annual Salary]]</f>
        <v>43363</v>
      </c>
      <c r="P342" t="str">
        <f>IF(AND(TBL_Employees3[[#This Row],[Department]]="IT",TBL_Employees3[[#This Row],[Gender]]="Female"),"Yes","No")</f>
        <v>No</v>
      </c>
      <c r="Q342" t="str">
        <f>IF(AND(TBL_Employees3[[#This Row],[Gender]]="Female",TBL_Employees3[[#This Row],[Ethnicity]]="Black"), "Female_Black", "Others")</f>
        <v>Others</v>
      </c>
      <c r="T342" t="str">
        <v>E03972</v>
      </c>
    </row>
    <row r="343" spans="1:20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7">
        <v>42780</v>
      </c>
      <c r="J343" s="1">
        <v>95963</v>
      </c>
      <c r="K343" s="2">
        <v>0</v>
      </c>
      <c r="L343" t="s">
        <v>33</v>
      </c>
      <c r="M343" t="s">
        <v>34</v>
      </c>
      <c r="N343" s="7" t="s">
        <v>21</v>
      </c>
      <c r="O343" s="1">
        <f>TBL_Employees3[[#This Row],[Annual Salary]]+TBL_Employees3[[#This Row],[Bonus %]]*TBL_Employees3[[#This Row],[Annual Salary]]</f>
        <v>95963</v>
      </c>
      <c r="P343" t="str">
        <f>IF(AND(TBL_Employees3[[#This Row],[Department]]="IT",TBL_Employees3[[#This Row],[Gender]]="Female"),"Yes","No")</f>
        <v>No</v>
      </c>
      <c r="Q343" t="str">
        <f>IF(AND(TBL_Employees3[[#This Row],[Gender]]="Female",TBL_Employees3[[#This Row],[Ethnicity]]="Black"), "Female_Black", "Others")</f>
        <v>Others</v>
      </c>
      <c r="T343" t="str">
        <v>E02189</v>
      </c>
    </row>
    <row r="344" spans="1:20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7">
        <v>40297</v>
      </c>
      <c r="J344" s="1">
        <v>111038</v>
      </c>
      <c r="K344" s="2">
        <v>0.05</v>
      </c>
      <c r="L344" t="s">
        <v>52</v>
      </c>
      <c r="M344" t="s">
        <v>53</v>
      </c>
      <c r="N344" s="7" t="s">
        <v>21</v>
      </c>
      <c r="O344" s="1">
        <f>TBL_Employees3[[#This Row],[Annual Salary]]+TBL_Employees3[[#This Row],[Bonus %]]*TBL_Employees3[[#This Row],[Annual Salary]]</f>
        <v>116589.9</v>
      </c>
      <c r="P344" t="str">
        <f>IF(AND(TBL_Employees3[[#This Row],[Department]]="IT",TBL_Employees3[[#This Row],[Gender]]="Female"),"Yes","No")</f>
        <v>No</v>
      </c>
      <c r="Q344" t="str">
        <f>IF(AND(TBL_Employees3[[#This Row],[Gender]]="Female",TBL_Employees3[[#This Row],[Ethnicity]]="Black"), "Female_Black", "Others")</f>
        <v>Others</v>
      </c>
      <c r="T344" t="str">
        <v>E04290</v>
      </c>
    </row>
    <row r="345" spans="1:20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7">
        <v>35230</v>
      </c>
      <c r="J345" s="1">
        <v>200246</v>
      </c>
      <c r="K345" s="2">
        <v>0.34</v>
      </c>
      <c r="L345" t="s">
        <v>19</v>
      </c>
      <c r="M345" t="s">
        <v>29</v>
      </c>
      <c r="N345" s="7" t="s">
        <v>21</v>
      </c>
      <c r="O345" s="1">
        <f>TBL_Employees3[[#This Row],[Annual Salary]]+TBL_Employees3[[#This Row],[Bonus %]]*TBL_Employees3[[#This Row],[Annual Salary]]</f>
        <v>268329.64</v>
      </c>
      <c r="P345" t="str">
        <f>IF(AND(TBL_Employees3[[#This Row],[Department]]="IT",TBL_Employees3[[#This Row],[Gender]]="Female"),"Yes","No")</f>
        <v>No</v>
      </c>
      <c r="Q345" t="str">
        <f>IF(AND(TBL_Employees3[[#This Row],[Gender]]="Female",TBL_Employees3[[#This Row],[Ethnicity]]="Black"), "Female_Black", "Others")</f>
        <v>Others</v>
      </c>
      <c r="T345" t="str">
        <v>E03630</v>
      </c>
    </row>
    <row r="346" spans="1:20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7">
        <v>42053</v>
      </c>
      <c r="J346" s="1">
        <v>194871</v>
      </c>
      <c r="K346" s="2">
        <v>0.35</v>
      </c>
      <c r="L346" t="s">
        <v>19</v>
      </c>
      <c r="M346" t="s">
        <v>29</v>
      </c>
      <c r="N346" s="7" t="s">
        <v>21</v>
      </c>
      <c r="O346" s="1">
        <f>TBL_Employees3[[#This Row],[Annual Salary]]+TBL_Employees3[[#This Row],[Bonus %]]*TBL_Employees3[[#This Row],[Annual Salary]]</f>
        <v>263075.84999999998</v>
      </c>
      <c r="P346" t="str">
        <f>IF(AND(TBL_Employees3[[#This Row],[Department]]="IT",TBL_Employees3[[#This Row],[Gender]]="Female"),"Yes","No")</f>
        <v>Yes</v>
      </c>
      <c r="Q346" t="str">
        <f>IF(AND(TBL_Employees3[[#This Row],[Gender]]="Female",TBL_Employees3[[#This Row],[Ethnicity]]="Black"), "Female_Black", "Others")</f>
        <v>Others</v>
      </c>
      <c r="T346" t="str">
        <v>E00432</v>
      </c>
    </row>
    <row r="347" spans="1:20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7">
        <v>34592</v>
      </c>
      <c r="J347" s="1">
        <v>98769</v>
      </c>
      <c r="K347" s="2">
        <v>0</v>
      </c>
      <c r="L347" t="s">
        <v>52</v>
      </c>
      <c r="M347" t="s">
        <v>66</v>
      </c>
      <c r="N347" s="7">
        <v>42646</v>
      </c>
      <c r="O347" s="1">
        <f>TBL_Employees3[[#This Row],[Annual Salary]]+TBL_Employees3[[#This Row],[Bonus %]]*TBL_Employees3[[#This Row],[Annual Salary]]</f>
        <v>98769</v>
      </c>
      <c r="P347" t="str">
        <f>IF(AND(TBL_Employees3[[#This Row],[Department]]="IT",TBL_Employees3[[#This Row],[Gender]]="Female"),"Yes","No")</f>
        <v>No</v>
      </c>
      <c r="Q347" t="str">
        <f>IF(AND(TBL_Employees3[[#This Row],[Gender]]="Female",TBL_Employees3[[#This Row],[Ethnicity]]="Black"), "Female_Black", "Others")</f>
        <v>Others</v>
      </c>
      <c r="T347" t="str">
        <v>E03045</v>
      </c>
    </row>
    <row r="348" spans="1:20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7">
        <v>43239</v>
      </c>
      <c r="J348" s="1">
        <v>65334</v>
      </c>
      <c r="K348" s="2">
        <v>0</v>
      </c>
      <c r="L348" t="s">
        <v>52</v>
      </c>
      <c r="M348" t="s">
        <v>66</v>
      </c>
      <c r="N348" s="7" t="s">
        <v>21</v>
      </c>
      <c r="O348" s="1">
        <f>TBL_Employees3[[#This Row],[Annual Salary]]+TBL_Employees3[[#This Row],[Bonus %]]*TBL_Employees3[[#This Row],[Annual Salary]]</f>
        <v>65334</v>
      </c>
      <c r="P348" t="str">
        <f>IF(AND(TBL_Employees3[[#This Row],[Department]]="IT",TBL_Employees3[[#This Row],[Gender]]="Female"),"Yes","No")</f>
        <v>No</v>
      </c>
      <c r="Q348" t="str">
        <f>IF(AND(TBL_Employees3[[#This Row],[Gender]]="Female",TBL_Employees3[[#This Row],[Ethnicity]]="Black"), "Female_Black", "Others")</f>
        <v>Others</v>
      </c>
      <c r="T348" t="str">
        <v>E01924</v>
      </c>
    </row>
    <row r="349" spans="1:20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7">
        <v>44327</v>
      </c>
      <c r="J349" s="1">
        <v>83934</v>
      </c>
      <c r="K349" s="2">
        <v>0</v>
      </c>
      <c r="L349" t="s">
        <v>19</v>
      </c>
      <c r="M349" t="s">
        <v>45</v>
      </c>
      <c r="N349" s="7" t="s">
        <v>21</v>
      </c>
      <c r="O349" s="1">
        <f>TBL_Employees3[[#This Row],[Annual Salary]]+TBL_Employees3[[#This Row],[Bonus %]]*TBL_Employees3[[#This Row],[Annual Salary]]</f>
        <v>83934</v>
      </c>
      <c r="P349" t="str">
        <f>IF(AND(TBL_Employees3[[#This Row],[Department]]="IT",TBL_Employees3[[#This Row],[Gender]]="Female"),"Yes","No")</f>
        <v>Yes</v>
      </c>
      <c r="Q349" t="str">
        <f>IF(AND(TBL_Employees3[[#This Row],[Gender]]="Female",TBL_Employees3[[#This Row],[Ethnicity]]="Black"), "Female_Black", "Others")</f>
        <v>Others</v>
      </c>
      <c r="T349" t="str">
        <v>E04877</v>
      </c>
    </row>
    <row r="350" spans="1:20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7">
        <v>42616</v>
      </c>
      <c r="J350" s="1">
        <v>150399</v>
      </c>
      <c r="K350" s="2">
        <v>0.28000000000000003</v>
      </c>
      <c r="L350" t="s">
        <v>19</v>
      </c>
      <c r="M350" t="s">
        <v>20</v>
      </c>
      <c r="N350" s="7" t="s">
        <v>21</v>
      </c>
      <c r="O350" s="1">
        <f>TBL_Employees3[[#This Row],[Annual Salary]]+TBL_Employees3[[#This Row],[Bonus %]]*TBL_Employees3[[#This Row],[Annual Salary]]</f>
        <v>192510.72</v>
      </c>
      <c r="P350" t="str">
        <f>IF(AND(TBL_Employees3[[#This Row],[Department]]="IT",TBL_Employees3[[#This Row],[Gender]]="Female"),"Yes","No")</f>
        <v>No</v>
      </c>
      <c r="Q350" t="str">
        <f>IF(AND(TBL_Employees3[[#This Row],[Gender]]="Female",TBL_Employees3[[#This Row],[Ethnicity]]="Black"), "Female_Black", "Others")</f>
        <v>Others</v>
      </c>
      <c r="T350" t="str">
        <v>E02770</v>
      </c>
    </row>
    <row r="351" spans="1:20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7">
        <v>41048</v>
      </c>
      <c r="J351" s="1">
        <v>160280</v>
      </c>
      <c r="K351" s="2">
        <v>0.19</v>
      </c>
      <c r="L351" t="s">
        <v>33</v>
      </c>
      <c r="M351" t="s">
        <v>60</v>
      </c>
      <c r="N351" s="7" t="s">
        <v>21</v>
      </c>
      <c r="O351" s="1">
        <f>TBL_Employees3[[#This Row],[Annual Salary]]+TBL_Employees3[[#This Row],[Bonus %]]*TBL_Employees3[[#This Row],[Annual Salary]]</f>
        <v>190733.2</v>
      </c>
      <c r="P351" t="str">
        <f>IF(AND(TBL_Employees3[[#This Row],[Department]]="IT",TBL_Employees3[[#This Row],[Gender]]="Female"),"Yes","No")</f>
        <v>No</v>
      </c>
      <c r="Q351" t="str">
        <f>IF(AND(TBL_Employees3[[#This Row],[Gender]]="Female",TBL_Employees3[[#This Row],[Ethnicity]]="Black"), "Female_Black", "Others")</f>
        <v>Others</v>
      </c>
      <c r="T351" t="str">
        <v>E04590</v>
      </c>
    </row>
    <row r="352" spans="1:20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7">
        <v>35548</v>
      </c>
      <c r="J352" s="1">
        <v>54051</v>
      </c>
      <c r="K352" s="2">
        <v>0</v>
      </c>
      <c r="L352" t="s">
        <v>19</v>
      </c>
      <c r="M352" t="s">
        <v>45</v>
      </c>
      <c r="N352" s="7">
        <v>36079</v>
      </c>
      <c r="O352" s="1">
        <f>TBL_Employees3[[#This Row],[Annual Salary]]+TBL_Employees3[[#This Row],[Bonus %]]*TBL_Employees3[[#This Row],[Annual Salary]]</f>
        <v>54051</v>
      </c>
      <c r="P352" t="str">
        <f>IF(AND(TBL_Employees3[[#This Row],[Department]]="IT",TBL_Employees3[[#This Row],[Gender]]="Female"),"Yes","No")</f>
        <v>No</v>
      </c>
      <c r="Q352" t="str">
        <f>IF(AND(TBL_Employees3[[#This Row],[Gender]]="Female",TBL_Employees3[[#This Row],[Ethnicity]]="Black"), "Female_Black", "Others")</f>
        <v>Others</v>
      </c>
      <c r="T352" t="str">
        <v>E01977</v>
      </c>
    </row>
    <row r="353" spans="1:20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7">
        <v>37726</v>
      </c>
      <c r="J353" s="1">
        <v>150699</v>
      </c>
      <c r="K353" s="2">
        <v>0.28999999999999998</v>
      </c>
      <c r="L353" t="s">
        <v>52</v>
      </c>
      <c r="M353" t="s">
        <v>53</v>
      </c>
      <c r="N353" s="7" t="s">
        <v>21</v>
      </c>
      <c r="O353" s="1">
        <f>TBL_Employees3[[#This Row],[Annual Salary]]+TBL_Employees3[[#This Row],[Bonus %]]*TBL_Employees3[[#This Row],[Annual Salary]]</f>
        <v>194401.71</v>
      </c>
      <c r="P353" t="str">
        <f>IF(AND(TBL_Employees3[[#This Row],[Department]]="IT",TBL_Employees3[[#This Row],[Gender]]="Female"),"Yes","No")</f>
        <v>No</v>
      </c>
      <c r="Q353" t="str">
        <f>IF(AND(TBL_Employees3[[#This Row],[Gender]]="Female",TBL_Employees3[[#This Row],[Ethnicity]]="Black"), "Female_Black", "Others")</f>
        <v>Others</v>
      </c>
      <c r="T353" t="str">
        <v>E01378</v>
      </c>
    </row>
    <row r="354" spans="1:20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7">
        <v>41363</v>
      </c>
      <c r="J354" s="1">
        <v>69570</v>
      </c>
      <c r="K354" s="2">
        <v>0</v>
      </c>
      <c r="L354" t="s">
        <v>19</v>
      </c>
      <c r="M354" t="s">
        <v>45</v>
      </c>
      <c r="N354" s="7" t="s">
        <v>21</v>
      </c>
      <c r="O354" s="1">
        <f>TBL_Employees3[[#This Row],[Annual Salary]]+TBL_Employees3[[#This Row],[Bonus %]]*TBL_Employees3[[#This Row],[Annual Salary]]</f>
        <v>69570</v>
      </c>
      <c r="P354" t="str">
        <f>IF(AND(TBL_Employees3[[#This Row],[Department]]="IT",TBL_Employees3[[#This Row],[Gender]]="Female"),"Yes","No")</f>
        <v>No</v>
      </c>
      <c r="Q354" t="str">
        <f>IF(AND(TBL_Employees3[[#This Row],[Gender]]="Female",TBL_Employees3[[#This Row],[Ethnicity]]="Black"), "Female_Black", "Others")</f>
        <v>Others</v>
      </c>
      <c r="T354" t="str">
        <v>E04224</v>
      </c>
    </row>
    <row r="355" spans="1:20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7">
        <v>43553</v>
      </c>
      <c r="J355" s="1">
        <v>86774</v>
      </c>
      <c r="K355" s="2">
        <v>0</v>
      </c>
      <c r="L355" t="s">
        <v>33</v>
      </c>
      <c r="M355" t="s">
        <v>34</v>
      </c>
      <c r="N355" s="7" t="s">
        <v>21</v>
      </c>
      <c r="O355" s="1">
        <f>TBL_Employees3[[#This Row],[Annual Salary]]+TBL_Employees3[[#This Row],[Bonus %]]*TBL_Employees3[[#This Row],[Annual Salary]]</f>
        <v>86774</v>
      </c>
      <c r="P355" t="str">
        <f>IF(AND(TBL_Employees3[[#This Row],[Department]]="IT",TBL_Employees3[[#This Row],[Gender]]="Female"),"Yes","No")</f>
        <v>Yes</v>
      </c>
      <c r="Q355" t="str">
        <f>IF(AND(TBL_Employees3[[#This Row],[Gender]]="Female",TBL_Employees3[[#This Row],[Ethnicity]]="Black"), "Female_Black", "Others")</f>
        <v>Others</v>
      </c>
      <c r="T355" t="str">
        <v>E03423</v>
      </c>
    </row>
    <row r="356" spans="1:20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7">
        <v>36979</v>
      </c>
      <c r="J356" s="1">
        <v>57606</v>
      </c>
      <c r="K356" s="2">
        <v>0</v>
      </c>
      <c r="L356" t="s">
        <v>19</v>
      </c>
      <c r="M356" t="s">
        <v>45</v>
      </c>
      <c r="N356" s="7" t="s">
        <v>21</v>
      </c>
      <c r="O356" s="1">
        <f>TBL_Employees3[[#This Row],[Annual Salary]]+TBL_Employees3[[#This Row],[Bonus %]]*TBL_Employees3[[#This Row],[Annual Salary]]</f>
        <v>57606</v>
      </c>
      <c r="P356" t="str">
        <f>IF(AND(TBL_Employees3[[#This Row],[Department]]="IT",TBL_Employees3[[#This Row],[Gender]]="Female"),"Yes","No")</f>
        <v>No</v>
      </c>
      <c r="Q356" t="str">
        <f>IF(AND(TBL_Employees3[[#This Row],[Gender]]="Female",TBL_Employees3[[#This Row],[Ethnicity]]="Black"), "Female_Black", "Others")</f>
        <v>Others</v>
      </c>
      <c r="T356" t="str">
        <v>E00788</v>
      </c>
    </row>
    <row r="357" spans="1:20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7">
        <v>37144</v>
      </c>
      <c r="J357" s="1">
        <v>125730</v>
      </c>
      <c r="K357" s="2">
        <v>0.11</v>
      </c>
      <c r="L357" t="s">
        <v>33</v>
      </c>
      <c r="M357" t="s">
        <v>80</v>
      </c>
      <c r="N357" s="7" t="s">
        <v>21</v>
      </c>
      <c r="O357" s="1">
        <f>TBL_Employees3[[#This Row],[Annual Salary]]+TBL_Employees3[[#This Row],[Bonus %]]*TBL_Employees3[[#This Row],[Annual Salary]]</f>
        <v>139560.29999999999</v>
      </c>
      <c r="P357" t="str">
        <f>IF(AND(TBL_Employees3[[#This Row],[Department]]="IT",TBL_Employees3[[#This Row],[Gender]]="Female"),"Yes","No")</f>
        <v>No</v>
      </c>
      <c r="Q357" t="str">
        <f>IF(AND(TBL_Employees3[[#This Row],[Gender]]="Female",TBL_Employees3[[#This Row],[Ethnicity]]="Black"), "Female_Black", "Others")</f>
        <v>Others</v>
      </c>
      <c r="T357" t="str">
        <v>E00207</v>
      </c>
    </row>
    <row r="358" spans="1:20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7">
        <v>40964</v>
      </c>
      <c r="J358" s="1">
        <v>64170</v>
      </c>
      <c r="K358" s="2">
        <v>0</v>
      </c>
      <c r="L358" t="s">
        <v>19</v>
      </c>
      <c r="M358" t="s">
        <v>29</v>
      </c>
      <c r="N358" s="7" t="s">
        <v>21</v>
      </c>
      <c r="O358" s="1">
        <f>TBL_Employees3[[#This Row],[Annual Salary]]+TBL_Employees3[[#This Row],[Bonus %]]*TBL_Employees3[[#This Row],[Annual Salary]]</f>
        <v>64170</v>
      </c>
      <c r="P358" t="str">
        <f>IF(AND(TBL_Employees3[[#This Row],[Department]]="IT",TBL_Employees3[[#This Row],[Gender]]="Female"),"Yes","No")</f>
        <v>Yes</v>
      </c>
      <c r="Q358" t="str">
        <f>IF(AND(TBL_Employees3[[#This Row],[Gender]]="Female",TBL_Employees3[[#This Row],[Ethnicity]]="Black"), "Female_Black", "Others")</f>
        <v>Others</v>
      </c>
      <c r="T358" t="str">
        <v>E00834</v>
      </c>
    </row>
    <row r="359" spans="1:20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7">
        <v>35816</v>
      </c>
      <c r="J359" s="1">
        <v>72303</v>
      </c>
      <c r="K359" s="2">
        <v>0</v>
      </c>
      <c r="L359" t="s">
        <v>19</v>
      </c>
      <c r="M359" t="s">
        <v>39</v>
      </c>
      <c r="N359" s="7" t="s">
        <v>21</v>
      </c>
      <c r="O359" s="1">
        <f>TBL_Employees3[[#This Row],[Annual Salary]]+TBL_Employees3[[#This Row],[Bonus %]]*TBL_Employees3[[#This Row],[Annual Salary]]</f>
        <v>72303</v>
      </c>
      <c r="P359" t="str">
        <f>IF(AND(TBL_Employees3[[#This Row],[Department]]="IT",TBL_Employees3[[#This Row],[Gender]]="Female"),"Yes","No")</f>
        <v>No</v>
      </c>
      <c r="Q359" t="str">
        <f>IF(AND(TBL_Employees3[[#This Row],[Gender]]="Female",TBL_Employees3[[#This Row],[Ethnicity]]="Black"), "Female_Black", "Others")</f>
        <v>Others</v>
      </c>
      <c r="T359" t="str">
        <v>E04571</v>
      </c>
    </row>
    <row r="360" spans="1:20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7">
        <v>41116</v>
      </c>
      <c r="J360" s="1">
        <v>105891</v>
      </c>
      <c r="K360" s="2">
        <v>7.0000000000000007E-2</v>
      </c>
      <c r="L360" t="s">
        <v>19</v>
      </c>
      <c r="M360" t="s">
        <v>63</v>
      </c>
      <c r="N360" s="7" t="s">
        <v>21</v>
      </c>
      <c r="O360" s="1">
        <f>TBL_Employees3[[#This Row],[Annual Salary]]+TBL_Employees3[[#This Row],[Bonus %]]*TBL_Employees3[[#This Row],[Annual Salary]]</f>
        <v>113303.37</v>
      </c>
      <c r="P360" t="str">
        <f>IF(AND(TBL_Employees3[[#This Row],[Department]]="IT",TBL_Employees3[[#This Row],[Gender]]="Female"),"Yes","No")</f>
        <v>No</v>
      </c>
      <c r="Q360" t="str">
        <f>IF(AND(TBL_Employees3[[#This Row],[Gender]]="Female",TBL_Employees3[[#This Row],[Ethnicity]]="Black"), "Female_Black", "Others")</f>
        <v>Others</v>
      </c>
      <c r="T360" t="str">
        <v>E02652</v>
      </c>
    </row>
    <row r="361" spans="1:20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7">
        <v>44433</v>
      </c>
      <c r="J361" s="1">
        <v>255230</v>
      </c>
      <c r="K361" s="2">
        <v>0.36</v>
      </c>
      <c r="L361" t="s">
        <v>19</v>
      </c>
      <c r="M361" t="s">
        <v>25</v>
      </c>
      <c r="N361" s="7" t="s">
        <v>21</v>
      </c>
      <c r="O361" s="1">
        <f>TBL_Employees3[[#This Row],[Annual Salary]]+TBL_Employees3[[#This Row],[Bonus %]]*TBL_Employees3[[#This Row],[Annual Salary]]</f>
        <v>347112.8</v>
      </c>
      <c r="P361" t="str">
        <f>IF(AND(TBL_Employees3[[#This Row],[Department]]="IT",TBL_Employees3[[#This Row],[Gender]]="Female"),"Yes","No")</f>
        <v>No</v>
      </c>
      <c r="Q361" t="str">
        <f>IF(AND(TBL_Employees3[[#This Row],[Gender]]="Female",TBL_Employees3[[#This Row],[Ethnicity]]="Black"), "Female_Black", "Others")</f>
        <v>Others</v>
      </c>
      <c r="T361" t="str">
        <v>E02693</v>
      </c>
    </row>
    <row r="362" spans="1:20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7">
        <v>33770</v>
      </c>
      <c r="J362" s="1">
        <v>59591</v>
      </c>
      <c r="K362" s="2">
        <v>0</v>
      </c>
      <c r="L362" t="s">
        <v>52</v>
      </c>
      <c r="M362" t="s">
        <v>53</v>
      </c>
      <c r="N362" s="7" t="s">
        <v>21</v>
      </c>
      <c r="O362" s="1">
        <f>TBL_Employees3[[#This Row],[Annual Salary]]+TBL_Employees3[[#This Row],[Bonus %]]*TBL_Employees3[[#This Row],[Annual Salary]]</f>
        <v>59591</v>
      </c>
      <c r="P362" t="str">
        <f>IF(AND(TBL_Employees3[[#This Row],[Department]]="IT",TBL_Employees3[[#This Row],[Gender]]="Female"),"Yes","No")</f>
        <v>No</v>
      </c>
      <c r="Q362" t="str">
        <f>IF(AND(TBL_Employees3[[#This Row],[Gender]]="Female",TBL_Employees3[[#This Row],[Ethnicity]]="Black"), "Female_Black", "Others")</f>
        <v>Others</v>
      </c>
      <c r="T362" t="str">
        <v>E03359</v>
      </c>
    </row>
    <row r="363" spans="1:20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7">
        <v>41113</v>
      </c>
      <c r="J363" s="1">
        <v>187048</v>
      </c>
      <c r="K363" s="2">
        <v>0.32</v>
      </c>
      <c r="L363" t="s">
        <v>33</v>
      </c>
      <c r="M363" t="s">
        <v>34</v>
      </c>
      <c r="N363" s="7" t="s">
        <v>21</v>
      </c>
      <c r="O363" s="1">
        <f>TBL_Employees3[[#This Row],[Annual Salary]]+TBL_Employees3[[#This Row],[Bonus %]]*TBL_Employees3[[#This Row],[Annual Salary]]</f>
        <v>246903.36</v>
      </c>
      <c r="P363" t="str">
        <f>IF(AND(TBL_Employees3[[#This Row],[Department]]="IT",TBL_Employees3[[#This Row],[Gender]]="Female"),"Yes","No")</f>
        <v>No</v>
      </c>
      <c r="Q363" t="str">
        <f>IF(AND(TBL_Employees3[[#This Row],[Gender]]="Female",TBL_Employees3[[#This Row],[Ethnicity]]="Black"), "Female_Black", "Others")</f>
        <v>Others</v>
      </c>
      <c r="T363" t="str">
        <v>E00399</v>
      </c>
    </row>
    <row r="364" spans="1:20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7">
        <v>37296</v>
      </c>
      <c r="J364" s="1">
        <v>58605</v>
      </c>
      <c r="K364" s="2">
        <v>0</v>
      </c>
      <c r="L364" t="s">
        <v>19</v>
      </c>
      <c r="M364" t="s">
        <v>39</v>
      </c>
      <c r="N364" s="7" t="s">
        <v>21</v>
      </c>
      <c r="O364" s="1">
        <f>TBL_Employees3[[#This Row],[Annual Salary]]+TBL_Employees3[[#This Row],[Bonus %]]*TBL_Employees3[[#This Row],[Annual Salary]]</f>
        <v>58605</v>
      </c>
      <c r="P364" t="str">
        <f>IF(AND(TBL_Employees3[[#This Row],[Department]]="IT",TBL_Employees3[[#This Row],[Gender]]="Female"),"Yes","No")</f>
        <v>No</v>
      </c>
      <c r="Q364" t="str">
        <f>IF(AND(TBL_Employees3[[#This Row],[Gender]]="Female",TBL_Employees3[[#This Row],[Ethnicity]]="Black"), "Female_Black", "Others")</f>
        <v>Others</v>
      </c>
      <c r="T364" t="str">
        <v>E02971</v>
      </c>
    </row>
    <row r="365" spans="1:20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7">
        <v>42739</v>
      </c>
      <c r="J365" s="1">
        <v>178502</v>
      </c>
      <c r="K365" s="2">
        <v>0.2</v>
      </c>
      <c r="L365" t="s">
        <v>19</v>
      </c>
      <c r="M365" t="s">
        <v>25</v>
      </c>
      <c r="N365" s="7" t="s">
        <v>21</v>
      </c>
      <c r="O365" s="1">
        <f>TBL_Employees3[[#This Row],[Annual Salary]]+TBL_Employees3[[#This Row],[Bonus %]]*TBL_Employees3[[#This Row],[Annual Salary]]</f>
        <v>214202.4</v>
      </c>
      <c r="P365" t="str">
        <f>IF(AND(TBL_Employees3[[#This Row],[Department]]="IT",TBL_Employees3[[#This Row],[Gender]]="Female"),"Yes","No")</f>
        <v>No</v>
      </c>
      <c r="Q365" t="str">
        <f>IF(AND(TBL_Employees3[[#This Row],[Gender]]="Female",TBL_Employees3[[#This Row],[Ethnicity]]="Black"), "Female_Black", "Others")</f>
        <v>Others</v>
      </c>
      <c r="T365" t="str">
        <v>E03327</v>
      </c>
    </row>
    <row r="366" spans="1:20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7">
        <v>42214</v>
      </c>
      <c r="J366" s="1">
        <v>103724</v>
      </c>
      <c r="K366" s="2">
        <v>0.05</v>
      </c>
      <c r="L366" t="s">
        <v>33</v>
      </c>
      <c r="M366" t="s">
        <v>74</v>
      </c>
      <c r="N366" s="7" t="s">
        <v>21</v>
      </c>
      <c r="O366" s="1">
        <f>TBL_Employees3[[#This Row],[Annual Salary]]+TBL_Employees3[[#This Row],[Bonus %]]*TBL_Employees3[[#This Row],[Annual Salary]]</f>
        <v>108910.2</v>
      </c>
      <c r="P366" t="str">
        <f>IF(AND(TBL_Employees3[[#This Row],[Department]]="IT",TBL_Employees3[[#This Row],[Gender]]="Female"),"Yes","No")</f>
        <v>No</v>
      </c>
      <c r="Q366" t="str">
        <f>IF(AND(TBL_Employees3[[#This Row],[Gender]]="Female",TBL_Employees3[[#This Row],[Ethnicity]]="Black"), "Female_Black", "Others")</f>
        <v>Others</v>
      </c>
      <c r="T366" t="str">
        <v>E00900</v>
      </c>
    </row>
    <row r="367" spans="1:20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7">
        <v>39528</v>
      </c>
      <c r="J367" s="1">
        <v>156277</v>
      </c>
      <c r="K367" s="2">
        <v>0.22</v>
      </c>
      <c r="L367" t="s">
        <v>52</v>
      </c>
      <c r="M367" t="s">
        <v>81</v>
      </c>
      <c r="N367" s="7" t="s">
        <v>21</v>
      </c>
      <c r="O367" s="1">
        <f>TBL_Employees3[[#This Row],[Annual Salary]]+TBL_Employees3[[#This Row],[Bonus %]]*TBL_Employees3[[#This Row],[Annual Salary]]</f>
        <v>190657.94</v>
      </c>
      <c r="P367" t="str">
        <f>IF(AND(TBL_Employees3[[#This Row],[Department]]="IT",TBL_Employees3[[#This Row],[Gender]]="Female"),"Yes","No")</f>
        <v>No</v>
      </c>
      <c r="Q367" t="str">
        <f>IF(AND(TBL_Employees3[[#This Row],[Gender]]="Female",TBL_Employees3[[#This Row],[Ethnicity]]="Black"), "Female_Black", "Others")</f>
        <v>Others</v>
      </c>
      <c r="T367" t="str">
        <v>E00836</v>
      </c>
    </row>
    <row r="368" spans="1:20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7">
        <v>43086</v>
      </c>
      <c r="J368" s="1">
        <v>87744</v>
      </c>
      <c r="K368" s="2">
        <v>0</v>
      </c>
      <c r="L368" t="s">
        <v>52</v>
      </c>
      <c r="M368" t="s">
        <v>53</v>
      </c>
      <c r="N368" s="7" t="s">
        <v>21</v>
      </c>
      <c r="O368" s="1">
        <f>TBL_Employees3[[#This Row],[Annual Salary]]+TBL_Employees3[[#This Row],[Bonus %]]*TBL_Employees3[[#This Row],[Annual Salary]]</f>
        <v>87744</v>
      </c>
      <c r="P368" t="str">
        <f>IF(AND(TBL_Employees3[[#This Row],[Department]]="IT",TBL_Employees3[[#This Row],[Gender]]="Female"),"Yes","No")</f>
        <v>No</v>
      </c>
      <c r="Q368" t="str">
        <f>IF(AND(TBL_Employees3[[#This Row],[Gender]]="Female",TBL_Employees3[[#This Row],[Ethnicity]]="Black"), "Female_Black", "Others")</f>
        <v>Others</v>
      </c>
      <c r="T368" t="str">
        <v>E03854</v>
      </c>
    </row>
    <row r="369" spans="1:20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7">
        <v>43542</v>
      </c>
      <c r="J369" s="1">
        <v>54714</v>
      </c>
      <c r="K369" s="2">
        <v>0</v>
      </c>
      <c r="L369" t="s">
        <v>19</v>
      </c>
      <c r="M369" t="s">
        <v>29</v>
      </c>
      <c r="N369" s="7" t="s">
        <v>21</v>
      </c>
      <c r="O369" s="1">
        <f>TBL_Employees3[[#This Row],[Annual Salary]]+TBL_Employees3[[#This Row],[Bonus %]]*TBL_Employees3[[#This Row],[Annual Salary]]</f>
        <v>54714</v>
      </c>
      <c r="P369" t="str">
        <f>IF(AND(TBL_Employees3[[#This Row],[Department]]="IT",TBL_Employees3[[#This Row],[Gender]]="Female"),"Yes","No")</f>
        <v>No</v>
      </c>
      <c r="Q369" t="str">
        <f>IF(AND(TBL_Employees3[[#This Row],[Gender]]="Female",TBL_Employees3[[#This Row],[Ethnicity]]="Black"), "Female_Black", "Others")</f>
        <v>Others</v>
      </c>
      <c r="T369" t="str">
        <v>E04729</v>
      </c>
    </row>
    <row r="370" spans="1:20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7">
        <v>41511</v>
      </c>
      <c r="J370" s="1">
        <v>99169</v>
      </c>
      <c r="K370" s="2">
        <v>0</v>
      </c>
      <c r="L370" t="s">
        <v>33</v>
      </c>
      <c r="M370" t="s">
        <v>60</v>
      </c>
      <c r="N370" s="7" t="s">
        <v>21</v>
      </c>
      <c r="O370" s="1">
        <f>TBL_Employees3[[#This Row],[Annual Salary]]+TBL_Employees3[[#This Row],[Bonus %]]*TBL_Employees3[[#This Row],[Annual Salary]]</f>
        <v>99169</v>
      </c>
      <c r="P370" t="str">
        <f>IF(AND(TBL_Employees3[[#This Row],[Department]]="IT",TBL_Employees3[[#This Row],[Gender]]="Female"),"Yes","No")</f>
        <v>Yes</v>
      </c>
      <c r="Q370" t="str">
        <f>IF(AND(TBL_Employees3[[#This Row],[Gender]]="Female",TBL_Employees3[[#This Row],[Ethnicity]]="Black"), "Female_Black", "Others")</f>
        <v>Others</v>
      </c>
      <c r="T370" t="str">
        <v>E00360</v>
      </c>
    </row>
    <row r="371" spans="1:20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7">
        <v>38888</v>
      </c>
      <c r="J371" s="1">
        <v>142628</v>
      </c>
      <c r="K371" s="2">
        <v>0.12</v>
      </c>
      <c r="L371" t="s">
        <v>33</v>
      </c>
      <c r="M371" t="s">
        <v>80</v>
      </c>
      <c r="N371" s="7" t="s">
        <v>21</v>
      </c>
      <c r="O371" s="1">
        <f>TBL_Employees3[[#This Row],[Annual Salary]]+TBL_Employees3[[#This Row],[Bonus %]]*TBL_Employees3[[#This Row],[Annual Salary]]</f>
        <v>159743.35999999999</v>
      </c>
      <c r="P371" t="str">
        <f>IF(AND(TBL_Employees3[[#This Row],[Department]]="IT",TBL_Employees3[[#This Row],[Gender]]="Female"),"Yes","No")</f>
        <v>No</v>
      </c>
      <c r="Q371" t="str">
        <f>IF(AND(TBL_Employees3[[#This Row],[Gender]]="Female",TBL_Employees3[[#This Row],[Ethnicity]]="Black"), "Female_Black", "Others")</f>
        <v>Others</v>
      </c>
      <c r="T371" t="str">
        <v>E02284</v>
      </c>
    </row>
    <row r="372" spans="1:20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7">
        <v>41756</v>
      </c>
      <c r="J372" s="1">
        <v>75869</v>
      </c>
      <c r="K372" s="2">
        <v>0</v>
      </c>
      <c r="L372" t="s">
        <v>52</v>
      </c>
      <c r="M372" t="s">
        <v>53</v>
      </c>
      <c r="N372" s="7" t="s">
        <v>21</v>
      </c>
      <c r="O372" s="1">
        <f>TBL_Employees3[[#This Row],[Annual Salary]]+TBL_Employees3[[#This Row],[Bonus %]]*TBL_Employees3[[#This Row],[Annual Salary]]</f>
        <v>75869</v>
      </c>
      <c r="P372" t="str">
        <f>IF(AND(TBL_Employees3[[#This Row],[Department]]="IT",TBL_Employees3[[#This Row],[Gender]]="Female"),"Yes","No")</f>
        <v>No</v>
      </c>
      <c r="Q372" t="str">
        <f>IF(AND(TBL_Employees3[[#This Row],[Gender]]="Female",TBL_Employees3[[#This Row],[Ethnicity]]="Black"), "Female_Black", "Others")</f>
        <v>Others</v>
      </c>
      <c r="T372" t="str">
        <v>E00181</v>
      </c>
    </row>
    <row r="373" spans="1:20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7">
        <v>43234</v>
      </c>
      <c r="J373" s="1">
        <v>60985</v>
      </c>
      <c r="K373" s="2">
        <v>0</v>
      </c>
      <c r="L373" t="s">
        <v>19</v>
      </c>
      <c r="M373" t="s">
        <v>63</v>
      </c>
      <c r="N373" s="7" t="s">
        <v>21</v>
      </c>
      <c r="O373" s="1">
        <f>TBL_Employees3[[#This Row],[Annual Salary]]+TBL_Employees3[[#This Row],[Bonus %]]*TBL_Employees3[[#This Row],[Annual Salary]]</f>
        <v>60985</v>
      </c>
      <c r="P373" t="str">
        <f>IF(AND(TBL_Employees3[[#This Row],[Department]]="IT",TBL_Employees3[[#This Row],[Gender]]="Female"),"Yes","No")</f>
        <v>Yes</v>
      </c>
      <c r="Q373" t="str">
        <f>IF(AND(TBL_Employees3[[#This Row],[Gender]]="Female",TBL_Employees3[[#This Row],[Ethnicity]]="Black"), "Female_Black", "Others")</f>
        <v>Others</v>
      </c>
      <c r="T373" t="str">
        <v>E04168</v>
      </c>
    </row>
    <row r="374" spans="1:20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7">
        <v>40383</v>
      </c>
      <c r="J374" s="1">
        <v>126911</v>
      </c>
      <c r="K374" s="2">
        <v>0.1</v>
      </c>
      <c r="L374" t="s">
        <v>33</v>
      </c>
      <c r="M374" t="s">
        <v>74</v>
      </c>
      <c r="N374" s="7" t="s">
        <v>21</v>
      </c>
      <c r="O374" s="1">
        <f>TBL_Employees3[[#This Row],[Annual Salary]]+TBL_Employees3[[#This Row],[Bonus %]]*TBL_Employees3[[#This Row],[Annual Salary]]</f>
        <v>139602.1</v>
      </c>
      <c r="P374" t="str">
        <f>IF(AND(TBL_Employees3[[#This Row],[Department]]="IT",TBL_Employees3[[#This Row],[Gender]]="Female"),"Yes","No")</f>
        <v>Yes</v>
      </c>
      <c r="Q374" t="str">
        <f>IF(AND(TBL_Employees3[[#This Row],[Gender]]="Female",TBL_Employees3[[#This Row],[Ethnicity]]="Black"), "Female_Black", "Others")</f>
        <v>Others</v>
      </c>
      <c r="T374" t="str">
        <v>E02861</v>
      </c>
    </row>
    <row r="375" spans="1:20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7">
        <v>38042</v>
      </c>
      <c r="J375" s="1">
        <v>216949</v>
      </c>
      <c r="K375" s="2">
        <v>0.32</v>
      </c>
      <c r="L375" t="s">
        <v>33</v>
      </c>
      <c r="M375" t="s">
        <v>74</v>
      </c>
      <c r="N375" s="7" t="s">
        <v>21</v>
      </c>
      <c r="O375" s="1">
        <f>TBL_Employees3[[#This Row],[Annual Salary]]+TBL_Employees3[[#This Row],[Bonus %]]*TBL_Employees3[[#This Row],[Annual Salary]]</f>
        <v>286372.68</v>
      </c>
      <c r="P375" t="str">
        <f>IF(AND(TBL_Employees3[[#This Row],[Department]]="IT",TBL_Employees3[[#This Row],[Gender]]="Female"),"Yes","No")</f>
        <v>No</v>
      </c>
      <c r="Q375" t="str">
        <f>IF(AND(TBL_Employees3[[#This Row],[Gender]]="Female",TBL_Employees3[[#This Row],[Ethnicity]]="Black"), "Female_Black", "Others")</f>
        <v>Others</v>
      </c>
      <c r="T375" t="str">
        <v>E01357</v>
      </c>
    </row>
    <row r="376" spans="1:20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7">
        <v>41204</v>
      </c>
      <c r="J376" s="1">
        <v>168510</v>
      </c>
      <c r="K376" s="2">
        <v>0.28999999999999998</v>
      </c>
      <c r="L376" t="s">
        <v>19</v>
      </c>
      <c r="M376" t="s">
        <v>63</v>
      </c>
      <c r="N376" s="7" t="s">
        <v>21</v>
      </c>
      <c r="O376" s="1">
        <f>TBL_Employees3[[#This Row],[Annual Salary]]+TBL_Employees3[[#This Row],[Bonus %]]*TBL_Employees3[[#This Row],[Annual Salary]]</f>
        <v>217377.9</v>
      </c>
      <c r="P376" t="str">
        <f>IF(AND(TBL_Employees3[[#This Row],[Department]]="IT",TBL_Employees3[[#This Row],[Gender]]="Female"),"Yes","No")</f>
        <v>No</v>
      </c>
      <c r="Q376" t="str">
        <f>IF(AND(TBL_Employees3[[#This Row],[Gender]]="Female",TBL_Employees3[[#This Row],[Ethnicity]]="Black"), "Female_Black", "Others")</f>
        <v>Others</v>
      </c>
      <c r="T376" t="str">
        <v>E04387</v>
      </c>
    </row>
    <row r="377" spans="1:20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7">
        <v>42443</v>
      </c>
      <c r="J377" s="1">
        <v>85870</v>
      </c>
      <c r="K377" s="2">
        <v>0</v>
      </c>
      <c r="L377" t="s">
        <v>52</v>
      </c>
      <c r="M377" t="s">
        <v>53</v>
      </c>
      <c r="N377" s="7" t="s">
        <v>21</v>
      </c>
      <c r="O377" s="1">
        <f>TBL_Employees3[[#This Row],[Annual Salary]]+TBL_Employees3[[#This Row],[Bonus %]]*TBL_Employees3[[#This Row],[Annual Salary]]</f>
        <v>85870</v>
      </c>
      <c r="P377" t="str">
        <f>IF(AND(TBL_Employees3[[#This Row],[Department]]="IT",TBL_Employees3[[#This Row],[Gender]]="Female"),"Yes","No")</f>
        <v>No</v>
      </c>
      <c r="Q377" t="str">
        <f>IF(AND(TBL_Employees3[[#This Row],[Gender]]="Female",TBL_Employees3[[#This Row],[Ethnicity]]="Black"), "Female_Black", "Others")</f>
        <v>Others</v>
      </c>
      <c r="T377" t="str">
        <v>E03090</v>
      </c>
    </row>
    <row r="378" spans="1:20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7">
        <v>37271</v>
      </c>
      <c r="J378" s="1">
        <v>86510</v>
      </c>
      <c r="K378" s="2">
        <v>0</v>
      </c>
      <c r="L378" t="s">
        <v>33</v>
      </c>
      <c r="M378" t="s">
        <v>60</v>
      </c>
      <c r="N378" s="7">
        <v>37623</v>
      </c>
      <c r="O378" s="1">
        <f>TBL_Employees3[[#This Row],[Annual Salary]]+TBL_Employees3[[#This Row],[Bonus %]]*TBL_Employees3[[#This Row],[Annual Salary]]</f>
        <v>86510</v>
      </c>
      <c r="P378" t="str">
        <f>IF(AND(TBL_Employees3[[#This Row],[Department]]="IT",TBL_Employees3[[#This Row],[Gender]]="Female"),"Yes","No")</f>
        <v>No</v>
      </c>
      <c r="Q378" t="str">
        <f>IF(AND(TBL_Employees3[[#This Row],[Gender]]="Female",TBL_Employees3[[#This Row],[Ethnicity]]="Black"), "Female_Black", "Others")</f>
        <v>Others</v>
      </c>
      <c r="T378" t="str">
        <v>E03591</v>
      </c>
    </row>
    <row r="379" spans="1:20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7">
        <v>42999</v>
      </c>
      <c r="J379" s="1">
        <v>119647</v>
      </c>
      <c r="K379" s="2">
        <v>0.09</v>
      </c>
      <c r="L379" t="s">
        <v>52</v>
      </c>
      <c r="M379" t="s">
        <v>53</v>
      </c>
      <c r="N379" s="7" t="s">
        <v>21</v>
      </c>
      <c r="O379" s="1">
        <f>TBL_Employees3[[#This Row],[Annual Salary]]+TBL_Employees3[[#This Row],[Bonus %]]*TBL_Employees3[[#This Row],[Annual Salary]]</f>
        <v>130415.23</v>
      </c>
      <c r="P379" t="str">
        <f>IF(AND(TBL_Employees3[[#This Row],[Department]]="IT",TBL_Employees3[[#This Row],[Gender]]="Female"),"Yes","No")</f>
        <v>No</v>
      </c>
      <c r="Q379" t="str">
        <f>IF(AND(TBL_Employees3[[#This Row],[Gender]]="Female",TBL_Employees3[[#This Row],[Ethnicity]]="Black"), "Female_Black", "Others")</f>
        <v>Others</v>
      </c>
      <c r="T379" t="str">
        <v>E03328</v>
      </c>
    </row>
    <row r="380" spans="1:20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7">
        <v>36996</v>
      </c>
      <c r="J380" s="1">
        <v>80921</v>
      </c>
      <c r="K380" s="2">
        <v>0</v>
      </c>
      <c r="L380" t="s">
        <v>19</v>
      </c>
      <c r="M380" t="s">
        <v>29</v>
      </c>
      <c r="N380" s="7" t="s">
        <v>21</v>
      </c>
      <c r="O380" s="1">
        <f>TBL_Employees3[[#This Row],[Annual Salary]]+TBL_Employees3[[#This Row],[Bonus %]]*TBL_Employees3[[#This Row],[Annual Salary]]</f>
        <v>80921</v>
      </c>
      <c r="P380" t="str">
        <f>IF(AND(TBL_Employees3[[#This Row],[Department]]="IT",TBL_Employees3[[#This Row],[Gender]]="Female"),"Yes","No")</f>
        <v>No</v>
      </c>
      <c r="Q380" t="str">
        <f>IF(AND(TBL_Employees3[[#This Row],[Gender]]="Female",TBL_Employees3[[#This Row],[Ethnicity]]="Black"), "Female_Black", "Others")</f>
        <v>Others</v>
      </c>
      <c r="T380" t="str">
        <v>E04937</v>
      </c>
    </row>
    <row r="381" spans="1:20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7">
        <v>40193</v>
      </c>
      <c r="J381" s="1">
        <v>98110</v>
      </c>
      <c r="K381" s="2">
        <v>0.13</v>
      </c>
      <c r="L381" t="s">
        <v>19</v>
      </c>
      <c r="M381" t="s">
        <v>20</v>
      </c>
      <c r="N381" s="7" t="s">
        <v>21</v>
      </c>
      <c r="O381" s="1">
        <f>TBL_Employees3[[#This Row],[Annual Salary]]+TBL_Employees3[[#This Row],[Bonus %]]*TBL_Employees3[[#This Row],[Annual Salary]]</f>
        <v>110864.3</v>
      </c>
      <c r="P381" t="str">
        <f>IF(AND(TBL_Employees3[[#This Row],[Department]]="IT",TBL_Employees3[[#This Row],[Gender]]="Female"),"Yes","No")</f>
        <v>No</v>
      </c>
      <c r="Q381" t="str">
        <f>IF(AND(TBL_Employees3[[#This Row],[Gender]]="Female",TBL_Employees3[[#This Row],[Ethnicity]]="Black"), "Female_Black", "Others")</f>
        <v>Others</v>
      </c>
      <c r="T381" t="str">
        <v>E00515</v>
      </c>
    </row>
    <row r="382" spans="1:20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7">
        <v>43028</v>
      </c>
      <c r="J382" s="1">
        <v>86831</v>
      </c>
      <c r="K382" s="2">
        <v>0</v>
      </c>
      <c r="L382" t="s">
        <v>19</v>
      </c>
      <c r="M382" t="s">
        <v>39</v>
      </c>
      <c r="N382" s="7" t="s">
        <v>21</v>
      </c>
      <c r="O382" s="1">
        <f>TBL_Employees3[[#This Row],[Annual Salary]]+TBL_Employees3[[#This Row],[Bonus %]]*TBL_Employees3[[#This Row],[Annual Salary]]</f>
        <v>86831</v>
      </c>
      <c r="P382" t="str">
        <f>IF(AND(TBL_Employees3[[#This Row],[Department]]="IT",TBL_Employees3[[#This Row],[Gender]]="Female"),"Yes","No")</f>
        <v>Yes</v>
      </c>
      <c r="Q382" t="str">
        <f>IF(AND(TBL_Employees3[[#This Row],[Gender]]="Female",TBL_Employees3[[#This Row],[Ethnicity]]="Black"), "Female_Black", "Others")</f>
        <v>Others</v>
      </c>
      <c r="T382" t="str">
        <v>E01241</v>
      </c>
    </row>
    <row r="383" spans="1:20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7">
        <v>40431</v>
      </c>
      <c r="J383" s="1">
        <v>72826</v>
      </c>
      <c r="K383" s="2">
        <v>0</v>
      </c>
      <c r="L383" t="s">
        <v>33</v>
      </c>
      <c r="M383" t="s">
        <v>60</v>
      </c>
      <c r="N383" s="7" t="s">
        <v>21</v>
      </c>
      <c r="O383" s="1">
        <f>TBL_Employees3[[#This Row],[Annual Salary]]+TBL_Employees3[[#This Row],[Bonus %]]*TBL_Employees3[[#This Row],[Annual Salary]]</f>
        <v>72826</v>
      </c>
      <c r="P383" t="str">
        <f>IF(AND(TBL_Employees3[[#This Row],[Department]]="IT",TBL_Employees3[[#This Row],[Gender]]="Female"),"Yes","No")</f>
        <v>Yes</v>
      </c>
      <c r="Q383" t="str">
        <f>IF(AND(TBL_Employees3[[#This Row],[Gender]]="Female",TBL_Employees3[[#This Row],[Ethnicity]]="Black"), "Female_Black", "Others")</f>
        <v>Others</v>
      </c>
      <c r="T383" t="str">
        <v>E03255</v>
      </c>
    </row>
    <row r="384" spans="1:20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7">
        <v>40588</v>
      </c>
      <c r="J384" s="1">
        <v>171217</v>
      </c>
      <c r="K384" s="2">
        <v>0.19</v>
      </c>
      <c r="L384" t="s">
        <v>19</v>
      </c>
      <c r="M384" t="s">
        <v>63</v>
      </c>
      <c r="N384" s="7" t="s">
        <v>21</v>
      </c>
      <c r="O384" s="1">
        <f>TBL_Employees3[[#This Row],[Annual Salary]]+TBL_Employees3[[#This Row],[Bonus %]]*TBL_Employees3[[#This Row],[Annual Salary]]</f>
        <v>203748.23</v>
      </c>
      <c r="P384" t="str">
        <f>IF(AND(TBL_Employees3[[#This Row],[Department]]="IT",TBL_Employees3[[#This Row],[Gender]]="Female"),"Yes","No")</f>
        <v>No</v>
      </c>
      <c r="Q384" t="str">
        <f>IF(AND(TBL_Employees3[[#This Row],[Gender]]="Female",TBL_Employees3[[#This Row],[Ethnicity]]="Black"), "Female_Black", "Others")</f>
        <v>Others</v>
      </c>
      <c r="T384" t="str">
        <v>E01711</v>
      </c>
    </row>
    <row r="385" spans="1:20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7">
        <v>43948</v>
      </c>
      <c r="J385" s="1">
        <v>103058</v>
      </c>
      <c r="K385" s="2">
        <v>7.0000000000000007E-2</v>
      </c>
      <c r="L385" t="s">
        <v>19</v>
      </c>
      <c r="M385" t="s">
        <v>29</v>
      </c>
      <c r="N385" s="7" t="s">
        <v>21</v>
      </c>
      <c r="O385" s="1">
        <f>TBL_Employees3[[#This Row],[Annual Salary]]+TBL_Employees3[[#This Row],[Bonus %]]*TBL_Employees3[[#This Row],[Annual Salary]]</f>
        <v>110272.06</v>
      </c>
      <c r="P385" t="str">
        <f>IF(AND(TBL_Employees3[[#This Row],[Department]]="IT",TBL_Employees3[[#This Row],[Gender]]="Female"),"Yes","No")</f>
        <v>Yes</v>
      </c>
      <c r="Q385" t="str">
        <f>IF(AND(TBL_Employees3[[#This Row],[Gender]]="Female",TBL_Employees3[[#This Row],[Ethnicity]]="Black"), "Female_Black", "Others")</f>
        <v>Others</v>
      </c>
      <c r="T385" t="str">
        <v>E00500</v>
      </c>
    </row>
    <row r="386" spans="1:20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7">
        <v>41858</v>
      </c>
      <c r="J386" s="1">
        <v>117062</v>
      </c>
      <c r="K386" s="2">
        <v>7.0000000000000007E-2</v>
      </c>
      <c r="L386" t="s">
        <v>19</v>
      </c>
      <c r="M386" t="s">
        <v>39</v>
      </c>
      <c r="N386" s="7" t="s">
        <v>21</v>
      </c>
      <c r="O386" s="1">
        <f>TBL_Employees3[[#This Row],[Annual Salary]]+TBL_Employees3[[#This Row],[Bonus %]]*TBL_Employees3[[#This Row],[Annual Salary]]</f>
        <v>125256.34</v>
      </c>
      <c r="P386" t="str">
        <f>IF(AND(TBL_Employees3[[#This Row],[Department]]="IT",TBL_Employees3[[#This Row],[Gender]]="Female"),"Yes","No")</f>
        <v>No</v>
      </c>
      <c r="Q386" t="str">
        <f>IF(AND(TBL_Employees3[[#This Row],[Gender]]="Female",TBL_Employees3[[#This Row],[Ethnicity]]="Black"), "Female_Black", "Others")</f>
        <v>Others</v>
      </c>
      <c r="T386" t="str">
        <v>E02728</v>
      </c>
    </row>
    <row r="387" spans="1:20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7">
        <v>43488</v>
      </c>
      <c r="J387" s="1">
        <v>159031</v>
      </c>
      <c r="K387" s="2">
        <v>0.1</v>
      </c>
      <c r="L387" t="s">
        <v>19</v>
      </c>
      <c r="M387" t="s">
        <v>45</v>
      </c>
      <c r="N387" s="7" t="s">
        <v>21</v>
      </c>
      <c r="O387" s="1">
        <f>TBL_Employees3[[#This Row],[Annual Salary]]+TBL_Employees3[[#This Row],[Bonus %]]*TBL_Employees3[[#This Row],[Annual Salary]]</f>
        <v>174934.1</v>
      </c>
      <c r="P387" t="str">
        <f>IF(AND(TBL_Employees3[[#This Row],[Department]]="IT",TBL_Employees3[[#This Row],[Gender]]="Female"),"Yes","No")</f>
        <v>No</v>
      </c>
      <c r="Q387" t="str">
        <f>IF(AND(TBL_Employees3[[#This Row],[Gender]]="Female",TBL_Employees3[[#This Row],[Ethnicity]]="Black"), "Female_Black", "Others")</f>
        <v>Others</v>
      </c>
      <c r="T387" t="str">
        <v>E04749</v>
      </c>
    </row>
    <row r="388" spans="1:20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7">
        <v>38000</v>
      </c>
      <c r="J388" s="1">
        <v>125086</v>
      </c>
      <c r="K388" s="2">
        <v>0.1</v>
      </c>
      <c r="L388" t="s">
        <v>52</v>
      </c>
      <c r="M388" t="s">
        <v>53</v>
      </c>
      <c r="N388" s="7" t="s">
        <v>21</v>
      </c>
      <c r="O388" s="1">
        <f>TBL_Employees3[[#This Row],[Annual Salary]]+TBL_Employees3[[#This Row],[Bonus %]]*TBL_Employees3[[#This Row],[Annual Salary]]</f>
        <v>137594.6</v>
      </c>
      <c r="P388" t="str">
        <f>IF(AND(TBL_Employees3[[#This Row],[Department]]="IT",TBL_Employees3[[#This Row],[Gender]]="Female"),"Yes","No")</f>
        <v>Yes</v>
      </c>
      <c r="Q388" t="str">
        <f>IF(AND(TBL_Employees3[[#This Row],[Gender]]="Female",TBL_Employees3[[#This Row],[Ethnicity]]="Black"), "Female_Black", "Others")</f>
        <v>Others</v>
      </c>
      <c r="T388" t="str">
        <v>E02023</v>
      </c>
    </row>
    <row r="389" spans="1:20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7">
        <v>42467</v>
      </c>
      <c r="J389" s="1">
        <v>67976</v>
      </c>
      <c r="K389" s="2">
        <v>0</v>
      </c>
      <c r="L389" t="s">
        <v>19</v>
      </c>
      <c r="M389" t="s">
        <v>63</v>
      </c>
      <c r="N389" s="7" t="s">
        <v>21</v>
      </c>
      <c r="O389" s="1">
        <f>TBL_Employees3[[#This Row],[Annual Salary]]+TBL_Employees3[[#This Row],[Bonus %]]*TBL_Employees3[[#This Row],[Annual Salary]]</f>
        <v>67976</v>
      </c>
      <c r="P389" t="str">
        <f>IF(AND(TBL_Employees3[[#This Row],[Department]]="IT",TBL_Employees3[[#This Row],[Gender]]="Female"),"Yes","No")</f>
        <v>No</v>
      </c>
      <c r="Q389" t="str">
        <f>IF(AND(TBL_Employees3[[#This Row],[Gender]]="Female",TBL_Employees3[[#This Row],[Ethnicity]]="Black"), "Female_Black", "Others")</f>
        <v>Others</v>
      </c>
      <c r="T389" t="str">
        <v>E03166</v>
      </c>
    </row>
    <row r="390" spans="1:20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7">
        <v>44308</v>
      </c>
      <c r="J390" s="1">
        <v>74215</v>
      </c>
      <c r="K390" s="2">
        <v>0</v>
      </c>
      <c r="L390" t="s">
        <v>19</v>
      </c>
      <c r="M390" t="s">
        <v>39</v>
      </c>
      <c r="N390" s="7" t="s">
        <v>21</v>
      </c>
      <c r="O390" s="1">
        <f>TBL_Employees3[[#This Row],[Annual Salary]]+TBL_Employees3[[#This Row],[Bonus %]]*TBL_Employees3[[#This Row],[Annual Salary]]</f>
        <v>74215</v>
      </c>
      <c r="P390" t="str">
        <f>IF(AND(TBL_Employees3[[#This Row],[Department]]="IT",TBL_Employees3[[#This Row],[Gender]]="Female"),"Yes","No")</f>
        <v>No</v>
      </c>
      <c r="Q390" t="str">
        <f>IF(AND(TBL_Employees3[[#This Row],[Gender]]="Female",TBL_Employees3[[#This Row],[Ethnicity]]="Black"), "Female_Black", "Others")</f>
        <v>Others</v>
      </c>
      <c r="T390" t="str">
        <v>E02599</v>
      </c>
    </row>
    <row r="391" spans="1:20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7">
        <v>40340</v>
      </c>
      <c r="J391" s="1">
        <v>187389</v>
      </c>
      <c r="K391" s="2">
        <v>0.25</v>
      </c>
      <c r="L391" t="s">
        <v>33</v>
      </c>
      <c r="M391" t="s">
        <v>34</v>
      </c>
      <c r="N391" s="7" t="s">
        <v>21</v>
      </c>
      <c r="O391" s="1">
        <f>TBL_Employees3[[#This Row],[Annual Salary]]+TBL_Employees3[[#This Row],[Bonus %]]*TBL_Employees3[[#This Row],[Annual Salary]]</f>
        <v>234236.25</v>
      </c>
      <c r="P391" t="str">
        <f>IF(AND(TBL_Employees3[[#This Row],[Department]]="IT",TBL_Employees3[[#This Row],[Gender]]="Female"),"Yes","No")</f>
        <v>No</v>
      </c>
      <c r="Q391" t="str">
        <f>IF(AND(TBL_Employees3[[#This Row],[Gender]]="Female",TBL_Employees3[[#This Row],[Ethnicity]]="Black"), "Female_Black", "Others")</f>
        <v>Others</v>
      </c>
      <c r="T391" t="str">
        <v>E01014</v>
      </c>
    </row>
    <row r="392" spans="1:20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7">
        <v>39747</v>
      </c>
      <c r="J392" s="1">
        <v>131841</v>
      </c>
      <c r="K392" s="2">
        <v>0.13</v>
      </c>
      <c r="L392" t="s">
        <v>19</v>
      </c>
      <c r="M392" t="s">
        <v>29</v>
      </c>
      <c r="N392" s="7" t="s">
        <v>21</v>
      </c>
      <c r="O392" s="1">
        <f>TBL_Employees3[[#This Row],[Annual Salary]]+TBL_Employees3[[#This Row],[Bonus %]]*TBL_Employees3[[#This Row],[Annual Salary]]</f>
        <v>148980.33000000002</v>
      </c>
      <c r="P392" t="str">
        <f>IF(AND(TBL_Employees3[[#This Row],[Department]]="IT",TBL_Employees3[[#This Row],[Gender]]="Female"),"Yes","No")</f>
        <v>No</v>
      </c>
      <c r="Q392" t="str">
        <f>IF(AND(TBL_Employees3[[#This Row],[Gender]]="Female",TBL_Employees3[[#This Row],[Ethnicity]]="Black"), "Female_Black", "Others")</f>
        <v>Others</v>
      </c>
      <c r="T392" t="str">
        <v>E04529</v>
      </c>
    </row>
    <row r="393" spans="1:20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7">
        <v>40750</v>
      </c>
      <c r="J393" s="1">
        <v>97231</v>
      </c>
      <c r="K393" s="2">
        <v>0</v>
      </c>
      <c r="L393" t="s">
        <v>33</v>
      </c>
      <c r="M393" t="s">
        <v>60</v>
      </c>
      <c r="N393" s="7" t="s">
        <v>21</v>
      </c>
      <c r="O393" s="1">
        <f>TBL_Employees3[[#This Row],[Annual Salary]]+TBL_Employees3[[#This Row],[Bonus %]]*TBL_Employees3[[#This Row],[Annual Salary]]</f>
        <v>97231</v>
      </c>
      <c r="P393" t="str">
        <f>IF(AND(TBL_Employees3[[#This Row],[Department]]="IT",TBL_Employees3[[#This Row],[Gender]]="Female"),"Yes","No")</f>
        <v>No</v>
      </c>
      <c r="Q393" t="str">
        <f>IF(AND(TBL_Employees3[[#This Row],[Gender]]="Female",TBL_Employees3[[#This Row],[Ethnicity]]="Black"), "Female_Black", "Others")</f>
        <v>Others</v>
      </c>
      <c r="T393" t="str">
        <v>E00632</v>
      </c>
    </row>
    <row r="394" spans="1:20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7">
        <v>38060</v>
      </c>
      <c r="J394" s="1">
        <v>155004</v>
      </c>
      <c r="K394" s="2">
        <v>0.12</v>
      </c>
      <c r="L394" t="s">
        <v>19</v>
      </c>
      <c r="M394" t="s">
        <v>25</v>
      </c>
      <c r="N394" s="7" t="s">
        <v>21</v>
      </c>
      <c r="O394" s="1">
        <f>TBL_Employees3[[#This Row],[Annual Salary]]+TBL_Employees3[[#This Row],[Bonus %]]*TBL_Employees3[[#This Row],[Annual Salary]]</f>
        <v>173604.48000000001</v>
      </c>
      <c r="P394" t="str">
        <f>IF(AND(TBL_Employees3[[#This Row],[Department]]="IT",TBL_Employees3[[#This Row],[Gender]]="Female"),"Yes","No")</f>
        <v>No</v>
      </c>
      <c r="Q394" t="str">
        <f>IF(AND(TBL_Employees3[[#This Row],[Gender]]="Female",TBL_Employees3[[#This Row],[Ethnicity]]="Black"), "Female_Black", "Others")</f>
        <v>Others</v>
      </c>
      <c r="T394" t="str">
        <v>E02108</v>
      </c>
    </row>
    <row r="395" spans="1:20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7">
        <v>39293</v>
      </c>
      <c r="J395" s="1">
        <v>41859</v>
      </c>
      <c r="K395" s="2">
        <v>0</v>
      </c>
      <c r="L395" t="s">
        <v>19</v>
      </c>
      <c r="M395" t="s">
        <v>63</v>
      </c>
      <c r="N395" s="7" t="s">
        <v>21</v>
      </c>
      <c r="O395" s="1">
        <f>TBL_Employees3[[#This Row],[Annual Salary]]+TBL_Employees3[[#This Row],[Bonus %]]*TBL_Employees3[[#This Row],[Annual Salary]]</f>
        <v>41859</v>
      </c>
      <c r="P395" t="str">
        <f>IF(AND(TBL_Employees3[[#This Row],[Department]]="IT",TBL_Employees3[[#This Row],[Gender]]="Female"),"Yes","No")</f>
        <v>No</v>
      </c>
      <c r="Q395" t="str">
        <f>IF(AND(TBL_Employees3[[#This Row],[Gender]]="Female",TBL_Employees3[[#This Row],[Ethnicity]]="Black"), "Female_Black", "Others")</f>
        <v>Others</v>
      </c>
      <c r="T395" t="str">
        <v>E03802</v>
      </c>
    </row>
    <row r="396" spans="1:20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7">
        <v>38984</v>
      </c>
      <c r="J396" s="1">
        <v>52733</v>
      </c>
      <c r="K396" s="2">
        <v>0</v>
      </c>
      <c r="L396" t="s">
        <v>19</v>
      </c>
      <c r="M396" t="s">
        <v>20</v>
      </c>
      <c r="N396" s="7" t="s">
        <v>21</v>
      </c>
      <c r="O396" s="1">
        <f>TBL_Employees3[[#This Row],[Annual Salary]]+TBL_Employees3[[#This Row],[Bonus %]]*TBL_Employees3[[#This Row],[Annual Salary]]</f>
        <v>52733</v>
      </c>
      <c r="P396" t="str">
        <f>IF(AND(TBL_Employees3[[#This Row],[Department]]="IT",TBL_Employees3[[#This Row],[Gender]]="Female"),"Yes","No")</f>
        <v>No</v>
      </c>
      <c r="Q396" t="str">
        <f>IF(AND(TBL_Employees3[[#This Row],[Gender]]="Female",TBL_Employees3[[#This Row],[Ethnicity]]="Black"), "Female_Black", "Others")</f>
        <v>Others</v>
      </c>
      <c r="T396" t="str">
        <v>E03685</v>
      </c>
    </row>
    <row r="397" spans="1:20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7">
        <v>42250</v>
      </c>
      <c r="J397" s="1">
        <v>250953</v>
      </c>
      <c r="K397" s="2">
        <v>0.34</v>
      </c>
      <c r="L397" t="s">
        <v>19</v>
      </c>
      <c r="M397" t="s">
        <v>29</v>
      </c>
      <c r="N397" s="7" t="s">
        <v>21</v>
      </c>
      <c r="O397" s="1">
        <f>TBL_Employees3[[#This Row],[Annual Salary]]+TBL_Employees3[[#This Row],[Bonus %]]*TBL_Employees3[[#This Row],[Annual Salary]]</f>
        <v>336277.02</v>
      </c>
      <c r="P397" t="str">
        <f>IF(AND(TBL_Employees3[[#This Row],[Department]]="IT",TBL_Employees3[[#This Row],[Gender]]="Female"),"Yes","No")</f>
        <v>No</v>
      </c>
      <c r="Q397" t="str">
        <f>IF(AND(TBL_Employees3[[#This Row],[Gender]]="Female",TBL_Employees3[[#This Row],[Ethnicity]]="Black"), "Female_Black", "Others")</f>
        <v>Others</v>
      </c>
      <c r="T397" t="str">
        <v>E01089</v>
      </c>
    </row>
    <row r="398" spans="1:20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7">
        <v>36210</v>
      </c>
      <c r="J398" s="1">
        <v>191807</v>
      </c>
      <c r="K398" s="2">
        <v>0.21</v>
      </c>
      <c r="L398" t="s">
        <v>33</v>
      </c>
      <c r="M398" t="s">
        <v>80</v>
      </c>
      <c r="N398" s="7" t="s">
        <v>21</v>
      </c>
      <c r="O398" s="1">
        <f>TBL_Employees3[[#This Row],[Annual Salary]]+TBL_Employees3[[#This Row],[Bonus %]]*TBL_Employees3[[#This Row],[Annual Salary]]</f>
        <v>232086.47</v>
      </c>
      <c r="P398" t="str">
        <f>IF(AND(TBL_Employees3[[#This Row],[Department]]="IT",TBL_Employees3[[#This Row],[Gender]]="Female"),"Yes","No")</f>
        <v>No</v>
      </c>
      <c r="Q398" t="str">
        <f>IF(AND(TBL_Employees3[[#This Row],[Gender]]="Female",TBL_Employees3[[#This Row],[Ethnicity]]="Black"), "Female_Black", "Others")</f>
        <v>Others</v>
      </c>
      <c r="T398" t="str">
        <v>E03988</v>
      </c>
    </row>
    <row r="399" spans="1:20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7">
        <v>41813</v>
      </c>
      <c r="J399" s="1">
        <v>64677</v>
      </c>
      <c r="K399" s="2">
        <v>0</v>
      </c>
      <c r="L399" t="s">
        <v>33</v>
      </c>
      <c r="M399" t="s">
        <v>80</v>
      </c>
      <c r="N399" s="7" t="s">
        <v>21</v>
      </c>
      <c r="O399" s="1">
        <f>TBL_Employees3[[#This Row],[Annual Salary]]+TBL_Employees3[[#This Row],[Bonus %]]*TBL_Employees3[[#This Row],[Annual Salary]]</f>
        <v>64677</v>
      </c>
      <c r="P399" t="str">
        <f>IF(AND(TBL_Employees3[[#This Row],[Department]]="IT",TBL_Employees3[[#This Row],[Gender]]="Female"),"Yes","No")</f>
        <v>No</v>
      </c>
      <c r="Q399" t="str">
        <f>IF(AND(TBL_Employees3[[#This Row],[Gender]]="Female",TBL_Employees3[[#This Row],[Ethnicity]]="Black"), "Female_Black", "Others")</f>
        <v>Others</v>
      </c>
      <c r="T399" t="str">
        <v>E00401</v>
      </c>
    </row>
    <row r="400" spans="1:20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7">
        <v>38244</v>
      </c>
      <c r="J400" s="1">
        <v>130274</v>
      </c>
      <c r="K400" s="2">
        <v>0.11</v>
      </c>
      <c r="L400" t="s">
        <v>19</v>
      </c>
      <c r="M400" t="s">
        <v>20</v>
      </c>
      <c r="N400" s="7" t="s">
        <v>21</v>
      </c>
      <c r="O400" s="1">
        <f>TBL_Employees3[[#This Row],[Annual Salary]]+TBL_Employees3[[#This Row],[Bonus %]]*TBL_Employees3[[#This Row],[Annual Salary]]</f>
        <v>144604.14000000001</v>
      </c>
      <c r="P400" t="str">
        <f>IF(AND(TBL_Employees3[[#This Row],[Department]]="IT",TBL_Employees3[[#This Row],[Gender]]="Female"),"Yes","No")</f>
        <v>No</v>
      </c>
      <c r="Q400" t="str">
        <f>IF(AND(TBL_Employees3[[#This Row],[Gender]]="Female",TBL_Employees3[[#This Row],[Ethnicity]]="Black"), "Female_Black", "Others")</f>
        <v>Others</v>
      </c>
      <c r="T400" t="str">
        <v>E03429</v>
      </c>
    </row>
    <row r="401" spans="1:20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7">
        <v>42922</v>
      </c>
      <c r="J401" s="1">
        <v>96331</v>
      </c>
      <c r="K401" s="2">
        <v>0</v>
      </c>
      <c r="L401" t="s">
        <v>33</v>
      </c>
      <c r="M401" t="s">
        <v>74</v>
      </c>
      <c r="N401" s="7" t="s">
        <v>21</v>
      </c>
      <c r="O401" s="1">
        <f>TBL_Employees3[[#This Row],[Annual Salary]]+TBL_Employees3[[#This Row],[Bonus %]]*TBL_Employees3[[#This Row],[Annual Salary]]</f>
        <v>96331</v>
      </c>
      <c r="P401" t="str">
        <f>IF(AND(TBL_Employees3[[#This Row],[Department]]="IT",TBL_Employees3[[#This Row],[Gender]]="Female"),"Yes","No")</f>
        <v>No</v>
      </c>
      <c r="Q401" t="str">
        <f>IF(AND(TBL_Employees3[[#This Row],[Gender]]="Female",TBL_Employees3[[#This Row],[Ethnicity]]="Black"), "Female_Black", "Others")</f>
        <v>Others</v>
      </c>
      <c r="T401" t="str">
        <v>E02417</v>
      </c>
    </row>
    <row r="402" spans="1:20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7">
        <v>38835</v>
      </c>
      <c r="J402" s="1">
        <v>150758</v>
      </c>
      <c r="K402" s="2">
        <v>0.13</v>
      </c>
      <c r="L402" t="s">
        <v>19</v>
      </c>
      <c r="M402" t="s">
        <v>20</v>
      </c>
      <c r="N402" s="7">
        <v>39310</v>
      </c>
      <c r="O402" s="1">
        <f>TBL_Employees3[[#This Row],[Annual Salary]]+TBL_Employees3[[#This Row],[Bonus %]]*TBL_Employees3[[#This Row],[Annual Salary]]</f>
        <v>170356.54</v>
      </c>
      <c r="P402" t="str">
        <f>IF(AND(TBL_Employees3[[#This Row],[Department]]="IT",TBL_Employees3[[#This Row],[Gender]]="Female"),"Yes","No")</f>
        <v>No</v>
      </c>
      <c r="Q402" t="str">
        <f>IF(AND(TBL_Employees3[[#This Row],[Gender]]="Female",TBL_Employees3[[#This Row],[Ethnicity]]="Black"), "Female_Black", "Others")</f>
        <v>Others</v>
      </c>
      <c r="T402" t="str">
        <v>E00359</v>
      </c>
    </row>
    <row r="403" spans="1:20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7">
        <v>41839</v>
      </c>
      <c r="J403" s="1">
        <v>173629</v>
      </c>
      <c r="K403" s="2">
        <v>0.21</v>
      </c>
      <c r="L403" t="s">
        <v>52</v>
      </c>
      <c r="M403" t="s">
        <v>53</v>
      </c>
      <c r="N403" s="7" t="s">
        <v>21</v>
      </c>
      <c r="O403" s="1">
        <f>TBL_Employees3[[#This Row],[Annual Salary]]+TBL_Employees3[[#This Row],[Bonus %]]*TBL_Employees3[[#This Row],[Annual Salary]]</f>
        <v>210091.09</v>
      </c>
      <c r="P403" t="str">
        <f>IF(AND(TBL_Employees3[[#This Row],[Department]]="IT",TBL_Employees3[[#This Row],[Gender]]="Female"),"Yes","No")</f>
        <v>No</v>
      </c>
      <c r="Q403" t="str">
        <f>IF(AND(TBL_Employees3[[#This Row],[Gender]]="Female",TBL_Employees3[[#This Row],[Ethnicity]]="Black"), "Female_Black", "Others")</f>
        <v>Others</v>
      </c>
      <c r="T403" t="str">
        <v>E02044</v>
      </c>
    </row>
    <row r="404" spans="1:20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7">
        <v>35919</v>
      </c>
      <c r="J404" s="1">
        <v>62174</v>
      </c>
      <c r="K404" s="2">
        <v>0</v>
      </c>
      <c r="L404" t="s">
        <v>19</v>
      </c>
      <c r="M404" t="s">
        <v>20</v>
      </c>
      <c r="N404" s="7" t="s">
        <v>21</v>
      </c>
      <c r="O404" s="1">
        <f>TBL_Employees3[[#This Row],[Annual Salary]]+TBL_Employees3[[#This Row],[Bonus %]]*TBL_Employees3[[#This Row],[Annual Salary]]</f>
        <v>62174</v>
      </c>
      <c r="P404" t="str">
        <f>IF(AND(TBL_Employees3[[#This Row],[Department]]="IT",TBL_Employees3[[#This Row],[Gender]]="Female"),"Yes","No")</f>
        <v>No</v>
      </c>
      <c r="Q404" t="str">
        <f>IF(AND(TBL_Employees3[[#This Row],[Gender]]="Female",TBL_Employees3[[#This Row],[Ethnicity]]="Black"), "Female_Black", "Others")</f>
        <v>Others</v>
      </c>
      <c r="T404" t="str">
        <v>E01479</v>
      </c>
    </row>
    <row r="405" spans="1:20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7">
        <v>43028</v>
      </c>
      <c r="J405" s="1">
        <v>56555</v>
      </c>
      <c r="K405" s="2">
        <v>0</v>
      </c>
      <c r="L405" t="s">
        <v>19</v>
      </c>
      <c r="M405" t="s">
        <v>39</v>
      </c>
      <c r="N405" s="7" t="s">
        <v>21</v>
      </c>
      <c r="O405" s="1">
        <f>TBL_Employees3[[#This Row],[Annual Salary]]+TBL_Employees3[[#This Row],[Bonus %]]*TBL_Employees3[[#This Row],[Annual Salary]]</f>
        <v>56555</v>
      </c>
      <c r="P405" t="str">
        <f>IF(AND(TBL_Employees3[[#This Row],[Department]]="IT",TBL_Employees3[[#This Row],[Gender]]="Female"),"Yes","No")</f>
        <v>No</v>
      </c>
      <c r="Q405" t="str">
        <f>IF(AND(TBL_Employees3[[#This Row],[Gender]]="Female",TBL_Employees3[[#This Row],[Ethnicity]]="Black"), "Female_Black", "Others")</f>
        <v>Others</v>
      </c>
      <c r="T405" t="str">
        <v>E04962</v>
      </c>
    </row>
    <row r="406" spans="1:20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7">
        <v>38623</v>
      </c>
      <c r="J406" s="1">
        <v>74655</v>
      </c>
      <c r="K406" s="2">
        <v>0</v>
      </c>
      <c r="L406" t="s">
        <v>19</v>
      </c>
      <c r="M406" t="s">
        <v>25</v>
      </c>
      <c r="N406" s="7" t="s">
        <v>21</v>
      </c>
      <c r="O406" s="1">
        <f>TBL_Employees3[[#This Row],[Annual Salary]]+TBL_Employees3[[#This Row],[Bonus %]]*TBL_Employees3[[#This Row],[Annual Salary]]</f>
        <v>74655</v>
      </c>
      <c r="P406" t="str">
        <f>IF(AND(TBL_Employees3[[#This Row],[Department]]="IT",TBL_Employees3[[#This Row],[Gender]]="Female"),"Yes","No")</f>
        <v>No</v>
      </c>
      <c r="Q406" t="str">
        <f>IF(AND(TBL_Employees3[[#This Row],[Gender]]="Female",TBL_Employees3[[#This Row],[Ethnicity]]="Black"), "Female_Black", "Others")</f>
        <v>Others</v>
      </c>
      <c r="T406" t="str">
        <v>E02769</v>
      </c>
    </row>
    <row r="407" spans="1:20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7">
        <v>37844</v>
      </c>
      <c r="J407" s="1">
        <v>93017</v>
      </c>
      <c r="K407" s="2">
        <v>0</v>
      </c>
      <c r="L407" t="s">
        <v>19</v>
      </c>
      <c r="M407" t="s">
        <v>63</v>
      </c>
      <c r="N407" s="7" t="s">
        <v>21</v>
      </c>
      <c r="O407" s="1">
        <f>TBL_Employees3[[#This Row],[Annual Salary]]+TBL_Employees3[[#This Row],[Bonus %]]*TBL_Employees3[[#This Row],[Annual Salary]]</f>
        <v>93017</v>
      </c>
      <c r="P407" t="str">
        <f>IF(AND(TBL_Employees3[[#This Row],[Department]]="IT",TBL_Employees3[[#This Row],[Gender]]="Female"),"Yes","No")</f>
        <v>No</v>
      </c>
      <c r="Q407" t="str">
        <f>IF(AND(TBL_Employees3[[#This Row],[Gender]]="Female",TBL_Employees3[[#This Row],[Ethnicity]]="Black"), "Female_Black", "Others")</f>
        <v>Others</v>
      </c>
      <c r="T407" t="str">
        <v>E03893</v>
      </c>
    </row>
    <row r="408" spans="1:20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7">
        <v>41013</v>
      </c>
      <c r="J408" s="1">
        <v>82300</v>
      </c>
      <c r="K408" s="2">
        <v>0</v>
      </c>
      <c r="L408" t="s">
        <v>33</v>
      </c>
      <c r="M408" t="s">
        <v>34</v>
      </c>
      <c r="N408" s="7" t="s">
        <v>21</v>
      </c>
      <c r="O408" s="1">
        <f>TBL_Employees3[[#This Row],[Annual Salary]]+TBL_Employees3[[#This Row],[Bonus %]]*TBL_Employees3[[#This Row],[Annual Salary]]</f>
        <v>82300</v>
      </c>
      <c r="P408" t="str">
        <f>IF(AND(TBL_Employees3[[#This Row],[Department]]="IT",TBL_Employees3[[#This Row],[Gender]]="Female"),"Yes","No")</f>
        <v>No</v>
      </c>
      <c r="Q408" t="str">
        <f>IF(AND(TBL_Employees3[[#This Row],[Gender]]="Female",TBL_Employees3[[#This Row],[Ethnicity]]="Black"), "Female_Black", "Others")</f>
        <v>Others</v>
      </c>
      <c r="T408" t="str">
        <v>E00553</v>
      </c>
    </row>
    <row r="409" spans="1:20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7">
        <v>39471</v>
      </c>
      <c r="J409" s="1">
        <v>91621</v>
      </c>
      <c r="K409" s="2">
        <v>0</v>
      </c>
      <c r="L409" t="s">
        <v>19</v>
      </c>
      <c r="M409" t="s">
        <v>20</v>
      </c>
      <c r="N409" s="7" t="s">
        <v>21</v>
      </c>
      <c r="O409" s="1">
        <f>TBL_Employees3[[#This Row],[Annual Salary]]+TBL_Employees3[[#This Row],[Bonus %]]*TBL_Employees3[[#This Row],[Annual Salary]]</f>
        <v>91621</v>
      </c>
      <c r="P409" t="str">
        <f>IF(AND(TBL_Employees3[[#This Row],[Department]]="IT",TBL_Employees3[[#This Row],[Gender]]="Female"),"Yes","No")</f>
        <v>No</v>
      </c>
      <c r="Q409" t="str">
        <f>IF(AND(TBL_Employees3[[#This Row],[Gender]]="Female",TBL_Employees3[[#This Row],[Ethnicity]]="Black"), "Female_Black", "Others")</f>
        <v>Others</v>
      </c>
      <c r="T409" t="str">
        <v>E03540</v>
      </c>
    </row>
    <row r="410" spans="1:20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7">
        <v>41973</v>
      </c>
      <c r="J410" s="1">
        <v>91280</v>
      </c>
      <c r="K410" s="2">
        <v>0</v>
      </c>
      <c r="L410" t="s">
        <v>19</v>
      </c>
      <c r="M410" t="s">
        <v>45</v>
      </c>
      <c r="N410" s="7" t="s">
        <v>21</v>
      </c>
      <c r="O410" s="1">
        <f>TBL_Employees3[[#This Row],[Annual Salary]]+TBL_Employees3[[#This Row],[Bonus %]]*TBL_Employees3[[#This Row],[Annual Salary]]</f>
        <v>91280</v>
      </c>
      <c r="P410" t="str">
        <f>IF(AND(TBL_Employees3[[#This Row],[Department]]="IT",TBL_Employees3[[#This Row],[Gender]]="Female"),"Yes","No")</f>
        <v>No</v>
      </c>
      <c r="Q410" t="str">
        <f>IF(AND(TBL_Employees3[[#This Row],[Gender]]="Female",TBL_Employees3[[#This Row],[Ethnicity]]="Black"), "Female_Black", "Others")</f>
        <v>Others</v>
      </c>
      <c r="T410" t="str">
        <v>E03277</v>
      </c>
    </row>
    <row r="411" spans="1:20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7">
        <v>44092</v>
      </c>
      <c r="J411" s="1">
        <v>47071</v>
      </c>
      <c r="K411" s="2">
        <v>0</v>
      </c>
      <c r="L411" t="s">
        <v>19</v>
      </c>
      <c r="M411" t="s">
        <v>29</v>
      </c>
      <c r="N411" s="7" t="s">
        <v>21</v>
      </c>
      <c r="O411" s="1">
        <f>TBL_Employees3[[#This Row],[Annual Salary]]+TBL_Employees3[[#This Row],[Bonus %]]*TBL_Employees3[[#This Row],[Annual Salary]]</f>
        <v>47071</v>
      </c>
      <c r="P411" t="str">
        <f>IF(AND(TBL_Employees3[[#This Row],[Department]]="IT",TBL_Employees3[[#This Row],[Gender]]="Female"),"Yes","No")</f>
        <v>No</v>
      </c>
      <c r="Q411" t="str">
        <f>IF(AND(TBL_Employees3[[#This Row],[Gender]]="Female",TBL_Employees3[[#This Row],[Ethnicity]]="Black"), "Female_Black", "Others")</f>
        <v>Female_Black</v>
      </c>
      <c r="T411" t="str">
        <v>E04194</v>
      </c>
    </row>
    <row r="412" spans="1:20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7">
        <v>40868</v>
      </c>
      <c r="J412" s="1">
        <v>81218</v>
      </c>
      <c r="K412" s="2">
        <v>0</v>
      </c>
      <c r="L412" t="s">
        <v>19</v>
      </c>
      <c r="M412" t="s">
        <v>20</v>
      </c>
      <c r="N412" s="7" t="s">
        <v>21</v>
      </c>
      <c r="O412" s="1">
        <f>TBL_Employees3[[#This Row],[Annual Salary]]+TBL_Employees3[[#This Row],[Bonus %]]*TBL_Employees3[[#This Row],[Annual Salary]]</f>
        <v>81218</v>
      </c>
      <c r="P412" t="str">
        <f>IF(AND(TBL_Employees3[[#This Row],[Department]]="IT",TBL_Employees3[[#This Row],[Gender]]="Female"),"Yes","No")</f>
        <v>Yes</v>
      </c>
      <c r="Q412" t="str">
        <f>IF(AND(TBL_Employees3[[#This Row],[Gender]]="Female",TBL_Employees3[[#This Row],[Ethnicity]]="Black"), "Female_Black", "Others")</f>
        <v>Others</v>
      </c>
      <c r="T412" t="str">
        <v>E01762</v>
      </c>
    </row>
    <row r="413" spans="1:20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7">
        <v>39734</v>
      </c>
      <c r="J413" s="1">
        <v>181801</v>
      </c>
      <c r="K413" s="2">
        <v>0.4</v>
      </c>
      <c r="L413" t="s">
        <v>33</v>
      </c>
      <c r="M413" t="s">
        <v>80</v>
      </c>
      <c r="N413" s="7">
        <v>43810</v>
      </c>
      <c r="O413" s="1">
        <f>TBL_Employees3[[#This Row],[Annual Salary]]+TBL_Employees3[[#This Row],[Bonus %]]*TBL_Employees3[[#This Row],[Annual Salary]]</f>
        <v>254521.40000000002</v>
      </c>
      <c r="P413" t="str">
        <f>IF(AND(TBL_Employees3[[#This Row],[Department]]="IT",TBL_Employees3[[#This Row],[Gender]]="Female"),"Yes","No")</f>
        <v>No</v>
      </c>
      <c r="Q413" t="str">
        <f>IF(AND(TBL_Employees3[[#This Row],[Gender]]="Female",TBL_Employees3[[#This Row],[Ethnicity]]="Black"), "Female_Black", "Others")</f>
        <v>Others</v>
      </c>
      <c r="T413" t="str">
        <v>E02632</v>
      </c>
    </row>
    <row r="414" spans="1:20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7">
        <v>44521</v>
      </c>
      <c r="J414" s="1">
        <v>63137</v>
      </c>
      <c r="K414" s="2">
        <v>0</v>
      </c>
      <c r="L414" t="s">
        <v>19</v>
      </c>
      <c r="M414" t="s">
        <v>20</v>
      </c>
      <c r="N414" s="7" t="s">
        <v>21</v>
      </c>
      <c r="O414" s="1">
        <f>TBL_Employees3[[#This Row],[Annual Salary]]+TBL_Employees3[[#This Row],[Bonus %]]*TBL_Employees3[[#This Row],[Annual Salary]]</f>
        <v>63137</v>
      </c>
      <c r="P414" t="str">
        <f>IF(AND(TBL_Employees3[[#This Row],[Department]]="IT",TBL_Employees3[[#This Row],[Gender]]="Female"),"Yes","No")</f>
        <v>No</v>
      </c>
      <c r="Q414" t="str">
        <f>IF(AND(TBL_Employees3[[#This Row],[Gender]]="Female",TBL_Employees3[[#This Row],[Ethnicity]]="Black"), "Female_Black", "Others")</f>
        <v>Others</v>
      </c>
      <c r="T414" t="str">
        <v>E04226</v>
      </c>
    </row>
    <row r="415" spans="1:20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7">
        <v>43345</v>
      </c>
      <c r="J415" s="1">
        <v>221465</v>
      </c>
      <c r="K415" s="2">
        <v>0.34</v>
      </c>
      <c r="L415" t="s">
        <v>33</v>
      </c>
      <c r="M415" t="s">
        <v>34</v>
      </c>
      <c r="N415" s="7" t="s">
        <v>21</v>
      </c>
      <c r="O415" s="1">
        <f>TBL_Employees3[[#This Row],[Annual Salary]]+TBL_Employees3[[#This Row],[Bonus %]]*TBL_Employees3[[#This Row],[Annual Salary]]</f>
        <v>296763.09999999998</v>
      </c>
      <c r="P415" t="str">
        <f>IF(AND(TBL_Employees3[[#This Row],[Department]]="IT",TBL_Employees3[[#This Row],[Gender]]="Female"),"Yes","No")</f>
        <v>No</v>
      </c>
      <c r="Q415" t="str">
        <f>IF(AND(TBL_Employees3[[#This Row],[Gender]]="Female",TBL_Employees3[[#This Row],[Ethnicity]]="Black"), "Female_Black", "Others")</f>
        <v>Others</v>
      </c>
      <c r="T415" t="str">
        <v>E04101</v>
      </c>
    </row>
    <row r="416" spans="1:20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7">
        <v>41404</v>
      </c>
      <c r="J416" s="1">
        <v>79388</v>
      </c>
      <c r="K416" s="2">
        <v>0</v>
      </c>
      <c r="L416" t="s">
        <v>19</v>
      </c>
      <c r="M416" t="s">
        <v>25</v>
      </c>
      <c r="N416" s="7">
        <v>43681</v>
      </c>
      <c r="O416" s="1">
        <f>TBL_Employees3[[#This Row],[Annual Salary]]+TBL_Employees3[[#This Row],[Bonus %]]*TBL_Employees3[[#This Row],[Annual Salary]]</f>
        <v>79388</v>
      </c>
      <c r="P416" t="str">
        <f>IF(AND(TBL_Employees3[[#This Row],[Department]]="IT",TBL_Employees3[[#This Row],[Gender]]="Female"),"Yes","No")</f>
        <v>No</v>
      </c>
      <c r="Q416" t="str">
        <f>IF(AND(TBL_Employees3[[#This Row],[Gender]]="Female",TBL_Employees3[[#This Row],[Ethnicity]]="Black"), "Female_Black", "Others")</f>
        <v>Others</v>
      </c>
      <c r="T416" t="str">
        <v>E01981</v>
      </c>
    </row>
    <row r="417" spans="1:20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7">
        <v>43122</v>
      </c>
      <c r="J417" s="1">
        <v>68176</v>
      </c>
      <c r="K417" s="2">
        <v>0</v>
      </c>
      <c r="L417" t="s">
        <v>19</v>
      </c>
      <c r="M417" t="s">
        <v>63</v>
      </c>
      <c r="N417" s="7" t="s">
        <v>21</v>
      </c>
      <c r="O417" s="1">
        <f>TBL_Employees3[[#This Row],[Annual Salary]]+TBL_Employees3[[#This Row],[Bonus %]]*TBL_Employees3[[#This Row],[Annual Salary]]</f>
        <v>68176</v>
      </c>
      <c r="P417" t="str">
        <f>IF(AND(TBL_Employees3[[#This Row],[Department]]="IT",TBL_Employees3[[#This Row],[Gender]]="Female"),"Yes","No")</f>
        <v>Yes</v>
      </c>
      <c r="Q417" t="str">
        <f>IF(AND(TBL_Employees3[[#This Row],[Gender]]="Female",TBL_Employees3[[#This Row],[Ethnicity]]="Black"), "Female_Black", "Others")</f>
        <v>Others</v>
      </c>
      <c r="T417" t="str">
        <v>E02534</v>
      </c>
    </row>
    <row r="418" spans="1:20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7">
        <v>43756</v>
      </c>
      <c r="J418" s="1">
        <v>122829</v>
      </c>
      <c r="K418" s="2">
        <v>0.11</v>
      </c>
      <c r="L418" t="s">
        <v>19</v>
      </c>
      <c r="M418" t="s">
        <v>20</v>
      </c>
      <c r="N418" s="7" t="s">
        <v>21</v>
      </c>
      <c r="O418" s="1">
        <f>TBL_Employees3[[#This Row],[Annual Salary]]+TBL_Employees3[[#This Row],[Bonus %]]*TBL_Employees3[[#This Row],[Annual Salary]]</f>
        <v>136340.19</v>
      </c>
      <c r="P418" t="str">
        <f>IF(AND(TBL_Employees3[[#This Row],[Department]]="IT",TBL_Employees3[[#This Row],[Gender]]="Female"),"Yes","No")</f>
        <v>No</v>
      </c>
      <c r="Q418" t="str">
        <f>IF(AND(TBL_Employees3[[#This Row],[Gender]]="Female",TBL_Employees3[[#This Row],[Ethnicity]]="Black"), "Female_Black", "Others")</f>
        <v>Others</v>
      </c>
      <c r="T418" t="str">
        <v>E01238</v>
      </c>
    </row>
    <row r="419" spans="1:20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7">
        <v>43695</v>
      </c>
      <c r="J419" s="1">
        <v>126353</v>
      </c>
      <c r="K419" s="2">
        <v>0.12</v>
      </c>
      <c r="L419" t="s">
        <v>33</v>
      </c>
      <c r="M419" t="s">
        <v>74</v>
      </c>
      <c r="N419" s="7" t="s">
        <v>21</v>
      </c>
      <c r="O419" s="1">
        <f>TBL_Employees3[[#This Row],[Annual Salary]]+TBL_Employees3[[#This Row],[Bonus %]]*TBL_Employees3[[#This Row],[Annual Salary]]</f>
        <v>141515.35999999999</v>
      </c>
      <c r="P419" t="str">
        <f>IF(AND(TBL_Employees3[[#This Row],[Department]]="IT",TBL_Employees3[[#This Row],[Gender]]="Female"),"Yes","No")</f>
        <v>No</v>
      </c>
      <c r="Q419" t="str">
        <f>IF(AND(TBL_Employees3[[#This Row],[Gender]]="Female",TBL_Employees3[[#This Row],[Ethnicity]]="Black"), "Female_Black", "Others")</f>
        <v>Others</v>
      </c>
      <c r="T419" t="str">
        <v>E01118</v>
      </c>
    </row>
    <row r="420" spans="1:20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7">
        <v>40468</v>
      </c>
      <c r="J420" s="1">
        <v>188727</v>
      </c>
      <c r="K420" s="2">
        <v>0.23</v>
      </c>
      <c r="L420" t="s">
        <v>33</v>
      </c>
      <c r="M420" t="s">
        <v>34</v>
      </c>
      <c r="N420" s="7" t="s">
        <v>21</v>
      </c>
      <c r="O420" s="1">
        <f>TBL_Employees3[[#This Row],[Annual Salary]]+TBL_Employees3[[#This Row],[Bonus %]]*TBL_Employees3[[#This Row],[Annual Salary]]</f>
        <v>232134.21</v>
      </c>
      <c r="P420" t="str">
        <f>IF(AND(TBL_Employees3[[#This Row],[Department]]="IT",TBL_Employees3[[#This Row],[Gender]]="Female"),"Yes","No")</f>
        <v>No</v>
      </c>
      <c r="Q420" t="str">
        <f>IF(AND(TBL_Employees3[[#This Row],[Gender]]="Female",TBL_Employees3[[#This Row],[Ethnicity]]="Black"), "Female_Black", "Others")</f>
        <v>Others</v>
      </c>
      <c r="T420" t="str">
        <v>E04041</v>
      </c>
    </row>
    <row r="421" spans="1:20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7">
        <v>34383</v>
      </c>
      <c r="J421" s="1">
        <v>99624</v>
      </c>
      <c r="K421" s="2">
        <v>0</v>
      </c>
      <c r="L421" t="s">
        <v>19</v>
      </c>
      <c r="M421" t="s">
        <v>63</v>
      </c>
      <c r="N421" s="7" t="s">
        <v>21</v>
      </c>
      <c r="O421" s="1">
        <f>TBL_Employees3[[#This Row],[Annual Salary]]+TBL_Employees3[[#This Row],[Bonus %]]*TBL_Employees3[[#This Row],[Annual Salary]]</f>
        <v>99624</v>
      </c>
      <c r="P421" t="str">
        <f>IF(AND(TBL_Employees3[[#This Row],[Department]]="IT",TBL_Employees3[[#This Row],[Gender]]="Female"),"Yes","No")</f>
        <v>No</v>
      </c>
      <c r="Q421" t="str">
        <f>IF(AND(TBL_Employees3[[#This Row],[Gender]]="Female",TBL_Employees3[[#This Row],[Ethnicity]]="Black"), "Female_Black", "Others")</f>
        <v>Others</v>
      </c>
      <c r="T421" t="str">
        <v>E04308</v>
      </c>
    </row>
    <row r="422" spans="1:20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7">
        <v>41202</v>
      </c>
      <c r="J422" s="1">
        <v>108686</v>
      </c>
      <c r="K422" s="2">
        <v>0.06</v>
      </c>
      <c r="L422" t="s">
        <v>19</v>
      </c>
      <c r="M422" t="s">
        <v>29</v>
      </c>
      <c r="N422" s="7" t="s">
        <v>21</v>
      </c>
      <c r="O422" s="1">
        <f>TBL_Employees3[[#This Row],[Annual Salary]]+TBL_Employees3[[#This Row],[Bonus %]]*TBL_Employees3[[#This Row],[Annual Salary]]</f>
        <v>115207.16</v>
      </c>
      <c r="P422" t="str">
        <f>IF(AND(TBL_Employees3[[#This Row],[Department]]="IT",TBL_Employees3[[#This Row],[Gender]]="Female"),"Yes","No")</f>
        <v>No</v>
      </c>
      <c r="Q422" t="str">
        <f>IF(AND(TBL_Employees3[[#This Row],[Gender]]="Female",TBL_Employees3[[#This Row],[Ethnicity]]="Black"), "Female_Black", "Others")</f>
        <v>Others</v>
      </c>
      <c r="T422" t="str">
        <v>E01052</v>
      </c>
    </row>
    <row r="423" spans="1:20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7">
        <v>34802</v>
      </c>
      <c r="J423" s="1">
        <v>50857</v>
      </c>
      <c r="K423" s="2">
        <v>0</v>
      </c>
      <c r="L423" t="s">
        <v>52</v>
      </c>
      <c r="M423" t="s">
        <v>81</v>
      </c>
      <c r="N423" s="7" t="s">
        <v>21</v>
      </c>
      <c r="O423" s="1">
        <f>TBL_Employees3[[#This Row],[Annual Salary]]+TBL_Employees3[[#This Row],[Bonus %]]*TBL_Employees3[[#This Row],[Annual Salary]]</f>
        <v>50857</v>
      </c>
      <c r="P423" t="str">
        <f>IF(AND(TBL_Employees3[[#This Row],[Department]]="IT",TBL_Employees3[[#This Row],[Gender]]="Female"),"Yes","No")</f>
        <v>No</v>
      </c>
      <c r="Q423" t="str">
        <f>IF(AND(TBL_Employees3[[#This Row],[Gender]]="Female",TBL_Employees3[[#This Row],[Ethnicity]]="Black"), "Female_Black", "Others")</f>
        <v>Others</v>
      </c>
      <c r="T423" t="str">
        <v>E04165</v>
      </c>
    </row>
    <row r="424" spans="1:20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7">
        <v>36893</v>
      </c>
      <c r="J424" s="1">
        <v>120628</v>
      </c>
      <c r="K424" s="2">
        <v>0</v>
      </c>
      <c r="L424" t="s">
        <v>19</v>
      </c>
      <c r="M424" t="s">
        <v>20</v>
      </c>
      <c r="N424" s="7" t="s">
        <v>21</v>
      </c>
      <c r="O424" s="1">
        <f>TBL_Employees3[[#This Row],[Annual Salary]]+TBL_Employees3[[#This Row],[Bonus %]]*TBL_Employees3[[#This Row],[Annual Salary]]</f>
        <v>120628</v>
      </c>
      <c r="P424" t="str">
        <f>IF(AND(TBL_Employees3[[#This Row],[Department]]="IT",TBL_Employees3[[#This Row],[Gender]]="Female"),"Yes","No")</f>
        <v>No</v>
      </c>
      <c r="Q424" t="str">
        <f>IF(AND(TBL_Employees3[[#This Row],[Gender]]="Female",TBL_Employees3[[#This Row],[Ethnicity]]="Black"), "Female_Black", "Others")</f>
        <v>Others</v>
      </c>
      <c r="T424" t="str">
        <v>E02295</v>
      </c>
    </row>
    <row r="425" spans="1:20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7">
        <v>43996</v>
      </c>
      <c r="J425" s="1">
        <v>181216</v>
      </c>
      <c r="K425" s="2">
        <v>0.27</v>
      </c>
      <c r="L425" t="s">
        <v>19</v>
      </c>
      <c r="M425" t="s">
        <v>29</v>
      </c>
      <c r="N425" s="7" t="s">
        <v>21</v>
      </c>
      <c r="O425" s="1">
        <f>TBL_Employees3[[#This Row],[Annual Salary]]+TBL_Employees3[[#This Row],[Bonus %]]*TBL_Employees3[[#This Row],[Annual Salary]]</f>
        <v>230144.32</v>
      </c>
      <c r="P425" t="str">
        <f>IF(AND(TBL_Employees3[[#This Row],[Department]]="IT",TBL_Employees3[[#This Row],[Gender]]="Female"),"Yes","No")</f>
        <v>No</v>
      </c>
      <c r="Q425" t="str">
        <f>IF(AND(TBL_Employees3[[#This Row],[Gender]]="Female",TBL_Employees3[[#This Row],[Ethnicity]]="Black"), "Female_Black", "Others")</f>
        <v>Others</v>
      </c>
      <c r="T425" t="str">
        <v>E04546</v>
      </c>
    </row>
    <row r="426" spans="1:20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7">
        <v>40984</v>
      </c>
      <c r="J426" s="1">
        <v>46081</v>
      </c>
      <c r="K426" s="2">
        <v>0</v>
      </c>
      <c r="L426" t="s">
        <v>19</v>
      </c>
      <c r="M426" t="s">
        <v>20</v>
      </c>
      <c r="N426" s="7" t="s">
        <v>21</v>
      </c>
      <c r="O426" s="1">
        <f>TBL_Employees3[[#This Row],[Annual Salary]]+TBL_Employees3[[#This Row],[Bonus %]]*TBL_Employees3[[#This Row],[Annual Salary]]</f>
        <v>46081</v>
      </c>
      <c r="P426" t="str">
        <f>IF(AND(TBL_Employees3[[#This Row],[Department]]="IT",TBL_Employees3[[#This Row],[Gender]]="Female"),"Yes","No")</f>
        <v>No</v>
      </c>
      <c r="Q426" t="str">
        <f>IF(AND(TBL_Employees3[[#This Row],[Gender]]="Female",TBL_Employees3[[#This Row],[Ethnicity]]="Black"), "Female_Black", "Others")</f>
        <v>Others</v>
      </c>
      <c r="T426" t="str">
        <v>E04217</v>
      </c>
    </row>
    <row r="427" spans="1:20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7">
        <v>38135</v>
      </c>
      <c r="J427" s="1">
        <v>159885</v>
      </c>
      <c r="K427" s="2">
        <v>0.12</v>
      </c>
      <c r="L427" t="s">
        <v>19</v>
      </c>
      <c r="M427" t="s">
        <v>29</v>
      </c>
      <c r="N427" s="7" t="s">
        <v>21</v>
      </c>
      <c r="O427" s="1">
        <f>TBL_Employees3[[#This Row],[Annual Salary]]+TBL_Employees3[[#This Row],[Bonus %]]*TBL_Employees3[[#This Row],[Annual Salary]]</f>
        <v>179071.2</v>
      </c>
      <c r="P427" t="str">
        <f>IF(AND(TBL_Employees3[[#This Row],[Department]]="IT",TBL_Employees3[[#This Row],[Gender]]="Female"),"Yes","No")</f>
        <v>No</v>
      </c>
      <c r="Q427" t="str">
        <f>IF(AND(TBL_Employees3[[#This Row],[Gender]]="Female",TBL_Employees3[[#This Row],[Ethnicity]]="Black"), "Female_Black", "Others")</f>
        <v>Others</v>
      </c>
      <c r="T427" t="str">
        <v>E00650</v>
      </c>
    </row>
    <row r="428" spans="1:20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7">
        <v>35001</v>
      </c>
      <c r="J428" s="1">
        <v>153271</v>
      </c>
      <c r="K428" s="2">
        <v>0.15</v>
      </c>
      <c r="L428" t="s">
        <v>19</v>
      </c>
      <c r="M428" t="s">
        <v>25</v>
      </c>
      <c r="N428" s="7" t="s">
        <v>21</v>
      </c>
      <c r="O428" s="1">
        <f>TBL_Employees3[[#This Row],[Annual Salary]]+TBL_Employees3[[#This Row],[Bonus %]]*TBL_Employees3[[#This Row],[Annual Salary]]</f>
        <v>176261.65</v>
      </c>
      <c r="P428" t="str">
        <f>IF(AND(TBL_Employees3[[#This Row],[Department]]="IT",TBL_Employees3[[#This Row],[Gender]]="Female"),"Yes","No")</f>
        <v>No</v>
      </c>
      <c r="Q428" t="str">
        <f>IF(AND(TBL_Employees3[[#This Row],[Gender]]="Female",TBL_Employees3[[#This Row],[Ethnicity]]="Black"), "Female_Black", "Others")</f>
        <v>Others</v>
      </c>
      <c r="T428" t="str">
        <v>E00344</v>
      </c>
    </row>
    <row r="429" spans="1:20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7">
        <v>40159</v>
      </c>
      <c r="J429" s="1">
        <v>114242</v>
      </c>
      <c r="K429" s="2">
        <v>0.08</v>
      </c>
      <c r="L429" t="s">
        <v>19</v>
      </c>
      <c r="M429" t="s">
        <v>39</v>
      </c>
      <c r="N429" s="7" t="s">
        <v>21</v>
      </c>
      <c r="O429" s="1">
        <f>TBL_Employees3[[#This Row],[Annual Salary]]+TBL_Employees3[[#This Row],[Bonus %]]*TBL_Employees3[[#This Row],[Annual Salary]]</f>
        <v>123381.36</v>
      </c>
      <c r="P429" t="str">
        <f>IF(AND(TBL_Employees3[[#This Row],[Department]]="IT",TBL_Employees3[[#This Row],[Gender]]="Female"),"Yes","No")</f>
        <v>No</v>
      </c>
      <c r="Q429" t="str">
        <f>IF(AND(TBL_Employees3[[#This Row],[Gender]]="Female",TBL_Employees3[[#This Row],[Ethnicity]]="Black"), "Female_Black", "Others")</f>
        <v>Others</v>
      </c>
      <c r="T429" t="str">
        <v>E04645</v>
      </c>
    </row>
    <row r="430" spans="1:20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7">
        <v>44153</v>
      </c>
      <c r="J430" s="1">
        <v>48415</v>
      </c>
      <c r="K430" s="2">
        <v>0</v>
      </c>
      <c r="L430" t="s">
        <v>33</v>
      </c>
      <c r="M430" t="s">
        <v>74</v>
      </c>
      <c r="N430" s="7" t="s">
        <v>21</v>
      </c>
      <c r="O430" s="1">
        <f>TBL_Employees3[[#This Row],[Annual Salary]]+TBL_Employees3[[#This Row],[Bonus %]]*TBL_Employees3[[#This Row],[Annual Salary]]</f>
        <v>48415</v>
      </c>
      <c r="P430" t="str">
        <f>IF(AND(TBL_Employees3[[#This Row],[Department]]="IT",TBL_Employees3[[#This Row],[Gender]]="Female"),"Yes","No")</f>
        <v>Yes</v>
      </c>
      <c r="Q430" t="str">
        <f>IF(AND(TBL_Employees3[[#This Row],[Gender]]="Female",TBL_Employees3[[#This Row],[Ethnicity]]="Black"), "Female_Black", "Others")</f>
        <v>Others</v>
      </c>
      <c r="T430" t="str">
        <v>E03880</v>
      </c>
    </row>
    <row r="431" spans="1:20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7">
        <v>42878</v>
      </c>
      <c r="J431" s="1">
        <v>65566</v>
      </c>
      <c r="K431" s="2">
        <v>0</v>
      </c>
      <c r="L431" t="s">
        <v>19</v>
      </c>
      <c r="M431" t="s">
        <v>63</v>
      </c>
      <c r="N431" s="7" t="s">
        <v>21</v>
      </c>
      <c r="O431" s="1">
        <f>TBL_Employees3[[#This Row],[Annual Salary]]+TBL_Employees3[[#This Row],[Bonus %]]*TBL_Employees3[[#This Row],[Annual Salary]]</f>
        <v>65566</v>
      </c>
      <c r="P431" t="str">
        <f>IF(AND(TBL_Employees3[[#This Row],[Department]]="IT",TBL_Employees3[[#This Row],[Gender]]="Female"),"Yes","No")</f>
        <v>No</v>
      </c>
      <c r="Q431" t="str">
        <f>IF(AND(TBL_Employees3[[#This Row],[Gender]]="Female",TBL_Employees3[[#This Row],[Ethnicity]]="Black"), "Female_Black", "Others")</f>
        <v>Others</v>
      </c>
      <c r="T431" t="str">
        <v>E02730</v>
      </c>
    </row>
    <row r="432" spans="1:20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7">
        <v>37014</v>
      </c>
      <c r="J432" s="1">
        <v>147752</v>
      </c>
      <c r="K432" s="2">
        <v>0.12</v>
      </c>
      <c r="L432" t="s">
        <v>33</v>
      </c>
      <c r="M432" t="s">
        <v>74</v>
      </c>
      <c r="N432" s="7">
        <v>40903</v>
      </c>
      <c r="O432" s="1">
        <f>TBL_Employees3[[#This Row],[Annual Salary]]+TBL_Employees3[[#This Row],[Bonus %]]*TBL_Employees3[[#This Row],[Annual Salary]]</f>
        <v>165482.23999999999</v>
      </c>
      <c r="P432" t="str">
        <f>IF(AND(TBL_Employees3[[#This Row],[Department]]="IT",TBL_Employees3[[#This Row],[Gender]]="Female"),"Yes","No")</f>
        <v>No</v>
      </c>
      <c r="Q432" t="str">
        <f>IF(AND(TBL_Employees3[[#This Row],[Gender]]="Female",TBL_Employees3[[#This Row],[Ethnicity]]="Black"), "Female_Black", "Others")</f>
        <v>Others</v>
      </c>
      <c r="T432" t="str">
        <v>E04517</v>
      </c>
    </row>
    <row r="433" spans="1:20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7">
        <v>44453</v>
      </c>
      <c r="J433" s="1">
        <v>136810</v>
      </c>
      <c r="K433" s="2">
        <v>0.14000000000000001</v>
      </c>
      <c r="L433" t="s">
        <v>33</v>
      </c>
      <c r="M433" t="s">
        <v>80</v>
      </c>
      <c r="N433" s="7" t="s">
        <v>21</v>
      </c>
      <c r="O433" s="1">
        <f>TBL_Employees3[[#This Row],[Annual Salary]]+TBL_Employees3[[#This Row],[Bonus %]]*TBL_Employees3[[#This Row],[Annual Salary]]</f>
        <v>155963.4</v>
      </c>
      <c r="P433" t="str">
        <f>IF(AND(TBL_Employees3[[#This Row],[Department]]="IT",TBL_Employees3[[#This Row],[Gender]]="Female"),"Yes","No")</f>
        <v>No</v>
      </c>
      <c r="Q433" t="str">
        <f>IF(AND(TBL_Employees3[[#This Row],[Gender]]="Female",TBL_Employees3[[#This Row],[Ethnicity]]="Black"), "Female_Black", "Others")</f>
        <v>Others</v>
      </c>
      <c r="T433" t="str">
        <v>E00965</v>
      </c>
    </row>
    <row r="434" spans="1:20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7">
        <v>41333</v>
      </c>
      <c r="J434" s="1">
        <v>54635</v>
      </c>
      <c r="K434" s="2">
        <v>0</v>
      </c>
      <c r="L434" t="s">
        <v>19</v>
      </c>
      <c r="M434" t="s">
        <v>20</v>
      </c>
      <c r="N434" s="7" t="s">
        <v>21</v>
      </c>
      <c r="O434" s="1">
        <f>TBL_Employees3[[#This Row],[Annual Salary]]+TBL_Employees3[[#This Row],[Bonus %]]*TBL_Employees3[[#This Row],[Annual Salary]]</f>
        <v>54635</v>
      </c>
      <c r="P434" t="str">
        <f>IF(AND(TBL_Employees3[[#This Row],[Department]]="IT",TBL_Employees3[[#This Row],[Gender]]="Female"),"Yes","No")</f>
        <v>No</v>
      </c>
      <c r="Q434" t="str">
        <f>IF(AND(TBL_Employees3[[#This Row],[Gender]]="Female",TBL_Employees3[[#This Row],[Ethnicity]]="Black"), "Female_Black", "Others")</f>
        <v>Others</v>
      </c>
      <c r="T434" t="str">
        <v>E04639</v>
      </c>
    </row>
    <row r="435" spans="1:20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7">
        <v>43866</v>
      </c>
      <c r="J435" s="1">
        <v>96636</v>
      </c>
      <c r="K435" s="2">
        <v>0</v>
      </c>
      <c r="L435" t="s">
        <v>19</v>
      </c>
      <c r="M435" t="s">
        <v>29</v>
      </c>
      <c r="N435" s="7" t="s">
        <v>21</v>
      </c>
      <c r="O435" s="1">
        <f>TBL_Employees3[[#This Row],[Annual Salary]]+TBL_Employees3[[#This Row],[Bonus %]]*TBL_Employees3[[#This Row],[Annual Salary]]</f>
        <v>96636</v>
      </c>
      <c r="P435" t="str">
        <f>IF(AND(TBL_Employees3[[#This Row],[Department]]="IT",TBL_Employees3[[#This Row],[Gender]]="Female"),"Yes","No")</f>
        <v>Yes</v>
      </c>
      <c r="Q435" t="str">
        <f>IF(AND(TBL_Employees3[[#This Row],[Gender]]="Female",TBL_Employees3[[#This Row],[Ethnicity]]="Black"), "Female_Black", "Others")</f>
        <v>Others</v>
      </c>
      <c r="T435" t="str">
        <v>E00465</v>
      </c>
    </row>
    <row r="436" spans="1:20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7">
        <v>41941</v>
      </c>
      <c r="J436" s="1">
        <v>91592</v>
      </c>
      <c r="K436" s="2">
        <v>0</v>
      </c>
      <c r="L436" t="s">
        <v>19</v>
      </c>
      <c r="M436" t="s">
        <v>20</v>
      </c>
      <c r="N436" s="7" t="s">
        <v>21</v>
      </c>
      <c r="O436" s="1">
        <f>TBL_Employees3[[#This Row],[Annual Salary]]+TBL_Employees3[[#This Row],[Bonus %]]*TBL_Employees3[[#This Row],[Annual Salary]]</f>
        <v>91592</v>
      </c>
      <c r="P436" t="str">
        <f>IF(AND(TBL_Employees3[[#This Row],[Department]]="IT",TBL_Employees3[[#This Row],[Gender]]="Female"),"Yes","No")</f>
        <v>Yes</v>
      </c>
      <c r="Q436" t="str">
        <f>IF(AND(TBL_Employees3[[#This Row],[Gender]]="Female",TBL_Employees3[[#This Row],[Ethnicity]]="Black"), "Female_Black", "Others")</f>
        <v>Female_Black</v>
      </c>
      <c r="T436" t="str">
        <v>E03058</v>
      </c>
    </row>
    <row r="437" spans="1:20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7">
        <v>36755</v>
      </c>
      <c r="J437" s="1">
        <v>55563</v>
      </c>
      <c r="K437" s="2">
        <v>0</v>
      </c>
      <c r="L437" t="s">
        <v>33</v>
      </c>
      <c r="M437" t="s">
        <v>34</v>
      </c>
      <c r="N437" s="7" t="s">
        <v>21</v>
      </c>
      <c r="O437" s="1">
        <f>TBL_Employees3[[#This Row],[Annual Salary]]+TBL_Employees3[[#This Row],[Bonus %]]*TBL_Employees3[[#This Row],[Annual Salary]]</f>
        <v>55563</v>
      </c>
      <c r="P437" t="str">
        <f>IF(AND(TBL_Employees3[[#This Row],[Department]]="IT",TBL_Employees3[[#This Row],[Gender]]="Female"),"Yes","No")</f>
        <v>No</v>
      </c>
      <c r="Q437" t="str">
        <f>IF(AND(TBL_Employees3[[#This Row],[Gender]]="Female",TBL_Employees3[[#This Row],[Ethnicity]]="Black"), "Female_Black", "Others")</f>
        <v>Others</v>
      </c>
      <c r="T437" t="str">
        <v>E02337</v>
      </c>
    </row>
    <row r="438" spans="1:20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7">
        <v>35109</v>
      </c>
      <c r="J438" s="1">
        <v>159724</v>
      </c>
      <c r="K438" s="2">
        <v>0.23</v>
      </c>
      <c r="L438" t="s">
        <v>33</v>
      </c>
      <c r="M438" t="s">
        <v>60</v>
      </c>
      <c r="N438" s="7" t="s">
        <v>21</v>
      </c>
      <c r="O438" s="1">
        <f>TBL_Employees3[[#This Row],[Annual Salary]]+TBL_Employees3[[#This Row],[Bonus %]]*TBL_Employees3[[#This Row],[Annual Salary]]</f>
        <v>196460.52000000002</v>
      </c>
      <c r="P438" t="str">
        <f>IF(AND(TBL_Employees3[[#This Row],[Department]]="IT",TBL_Employees3[[#This Row],[Gender]]="Female"),"Yes","No")</f>
        <v>Yes</v>
      </c>
      <c r="Q438" t="str">
        <f>IF(AND(TBL_Employees3[[#This Row],[Gender]]="Female",TBL_Employees3[[#This Row],[Ethnicity]]="Black"), "Female_Black", "Others")</f>
        <v>Others</v>
      </c>
      <c r="T438" t="str">
        <v>E04927</v>
      </c>
    </row>
    <row r="439" spans="1:20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7">
        <v>42951</v>
      </c>
      <c r="J439" s="1">
        <v>183190</v>
      </c>
      <c r="K439" s="2">
        <v>0.36</v>
      </c>
      <c r="L439" t="s">
        <v>19</v>
      </c>
      <c r="M439" t="s">
        <v>20</v>
      </c>
      <c r="N439" s="7" t="s">
        <v>21</v>
      </c>
      <c r="O439" s="1">
        <f>TBL_Employees3[[#This Row],[Annual Salary]]+TBL_Employees3[[#This Row],[Bonus %]]*TBL_Employees3[[#This Row],[Annual Salary]]</f>
        <v>249138.4</v>
      </c>
      <c r="P439" t="str">
        <f>IF(AND(TBL_Employees3[[#This Row],[Department]]="IT",TBL_Employees3[[#This Row],[Gender]]="Female"),"Yes","No")</f>
        <v>No</v>
      </c>
      <c r="Q439" t="str">
        <f>IF(AND(TBL_Employees3[[#This Row],[Gender]]="Female",TBL_Employees3[[#This Row],[Ethnicity]]="Black"), "Female_Black", "Others")</f>
        <v>Others</v>
      </c>
      <c r="T439" t="str">
        <v>E03799</v>
      </c>
    </row>
    <row r="440" spans="1:20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7">
        <v>43824</v>
      </c>
      <c r="J440" s="1">
        <v>54829</v>
      </c>
      <c r="K440" s="2">
        <v>0</v>
      </c>
      <c r="L440" t="s">
        <v>19</v>
      </c>
      <c r="M440" t="s">
        <v>39</v>
      </c>
      <c r="N440" s="7" t="s">
        <v>21</v>
      </c>
      <c r="O440" s="1">
        <f>TBL_Employees3[[#This Row],[Annual Salary]]+TBL_Employees3[[#This Row],[Bonus %]]*TBL_Employees3[[#This Row],[Annual Salary]]</f>
        <v>54829</v>
      </c>
      <c r="P440" t="str">
        <f>IF(AND(TBL_Employees3[[#This Row],[Department]]="IT",TBL_Employees3[[#This Row],[Gender]]="Female"),"Yes","No")</f>
        <v>No</v>
      </c>
      <c r="Q440" t="str">
        <f>IF(AND(TBL_Employees3[[#This Row],[Gender]]="Female",TBL_Employees3[[#This Row],[Ethnicity]]="Black"), "Female_Black", "Others")</f>
        <v>Others</v>
      </c>
      <c r="T440" t="str">
        <v>E04538</v>
      </c>
    </row>
    <row r="441" spans="1:20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7">
        <v>38464</v>
      </c>
      <c r="J441" s="1">
        <v>96639</v>
      </c>
      <c r="K441" s="2">
        <v>0</v>
      </c>
      <c r="L441" t="s">
        <v>52</v>
      </c>
      <c r="M441" t="s">
        <v>66</v>
      </c>
      <c r="N441" s="7" t="s">
        <v>21</v>
      </c>
      <c r="O441" s="1">
        <f>TBL_Employees3[[#This Row],[Annual Salary]]+TBL_Employees3[[#This Row],[Bonus %]]*TBL_Employees3[[#This Row],[Annual Salary]]</f>
        <v>96639</v>
      </c>
      <c r="P441" t="str">
        <f>IF(AND(TBL_Employees3[[#This Row],[Department]]="IT",TBL_Employees3[[#This Row],[Gender]]="Female"),"Yes","No")</f>
        <v>No</v>
      </c>
      <c r="Q441" t="str">
        <f>IF(AND(TBL_Employees3[[#This Row],[Gender]]="Female",TBL_Employees3[[#This Row],[Ethnicity]]="Black"), "Female_Black", "Others")</f>
        <v>Others</v>
      </c>
      <c r="T441" t="str">
        <v>E02633</v>
      </c>
    </row>
    <row r="442" spans="1:20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7">
        <v>38879</v>
      </c>
      <c r="J442" s="1">
        <v>117278</v>
      </c>
      <c r="K442" s="2">
        <v>0.09</v>
      </c>
      <c r="L442" t="s">
        <v>19</v>
      </c>
      <c r="M442" t="s">
        <v>45</v>
      </c>
      <c r="N442" s="7" t="s">
        <v>21</v>
      </c>
      <c r="O442" s="1">
        <f>TBL_Employees3[[#This Row],[Annual Salary]]+TBL_Employees3[[#This Row],[Bonus %]]*TBL_Employees3[[#This Row],[Annual Salary]]</f>
        <v>127833.02</v>
      </c>
      <c r="P442" t="str">
        <f>IF(AND(TBL_Employees3[[#This Row],[Department]]="IT",TBL_Employees3[[#This Row],[Gender]]="Female"),"Yes","No")</f>
        <v>No</v>
      </c>
      <c r="Q442" t="str">
        <f>IF(AND(TBL_Employees3[[#This Row],[Gender]]="Female",TBL_Employees3[[#This Row],[Ethnicity]]="Black"), "Female_Black", "Others")</f>
        <v>Others</v>
      </c>
      <c r="T442" t="str">
        <v>E02965</v>
      </c>
    </row>
    <row r="443" spans="1:20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7">
        <v>39487</v>
      </c>
      <c r="J443" s="1">
        <v>84193</v>
      </c>
      <c r="K443" s="2">
        <v>0.09</v>
      </c>
      <c r="L443" t="s">
        <v>33</v>
      </c>
      <c r="M443" t="s">
        <v>74</v>
      </c>
      <c r="N443" s="7" t="s">
        <v>21</v>
      </c>
      <c r="O443" s="1">
        <f>TBL_Employees3[[#This Row],[Annual Salary]]+TBL_Employees3[[#This Row],[Bonus %]]*TBL_Employees3[[#This Row],[Annual Salary]]</f>
        <v>91770.37</v>
      </c>
      <c r="P443" t="str">
        <f>IF(AND(TBL_Employees3[[#This Row],[Department]]="IT",TBL_Employees3[[#This Row],[Gender]]="Female"),"Yes","No")</f>
        <v>No</v>
      </c>
      <c r="Q443" t="str">
        <f>IF(AND(TBL_Employees3[[#This Row],[Gender]]="Female",TBL_Employees3[[#This Row],[Ethnicity]]="Black"), "Female_Black", "Others")</f>
        <v>Others</v>
      </c>
      <c r="T443" t="str">
        <v>E04345</v>
      </c>
    </row>
    <row r="444" spans="1:20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7">
        <v>43309</v>
      </c>
      <c r="J444" s="1">
        <v>87806</v>
      </c>
      <c r="K444" s="2">
        <v>0</v>
      </c>
      <c r="L444" t="s">
        <v>19</v>
      </c>
      <c r="M444" t="s">
        <v>63</v>
      </c>
      <c r="N444" s="7" t="s">
        <v>21</v>
      </c>
      <c r="O444" s="1">
        <f>TBL_Employees3[[#This Row],[Annual Salary]]+TBL_Employees3[[#This Row],[Bonus %]]*TBL_Employees3[[#This Row],[Annual Salary]]</f>
        <v>87806</v>
      </c>
      <c r="P444" t="str">
        <f>IF(AND(TBL_Employees3[[#This Row],[Department]]="IT",TBL_Employees3[[#This Row],[Gender]]="Female"),"Yes","No")</f>
        <v>Yes</v>
      </c>
      <c r="Q444" t="str">
        <f>IF(AND(TBL_Employees3[[#This Row],[Gender]]="Female",TBL_Employees3[[#This Row],[Ethnicity]]="Black"), "Female_Black", "Others")</f>
        <v>Others</v>
      </c>
      <c r="T444" t="str">
        <v>E02895</v>
      </c>
    </row>
    <row r="445" spans="1:20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7">
        <v>40820</v>
      </c>
      <c r="J445" s="1">
        <v>63959</v>
      </c>
      <c r="K445" s="2">
        <v>0</v>
      </c>
      <c r="L445" t="s">
        <v>19</v>
      </c>
      <c r="M445" t="s">
        <v>63</v>
      </c>
      <c r="N445" s="7" t="s">
        <v>21</v>
      </c>
      <c r="O445" s="1">
        <f>TBL_Employees3[[#This Row],[Annual Salary]]+TBL_Employees3[[#This Row],[Bonus %]]*TBL_Employees3[[#This Row],[Annual Salary]]</f>
        <v>63959</v>
      </c>
      <c r="P445" t="str">
        <f>IF(AND(TBL_Employees3[[#This Row],[Department]]="IT",TBL_Employees3[[#This Row],[Gender]]="Female"),"Yes","No")</f>
        <v>No</v>
      </c>
      <c r="Q445" t="str">
        <f>IF(AND(TBL_Employees3[[#This Row],[Gender]]="Female",TBL_Employees3[[#This Row],[Ethnicity]]="Black"), "Female_Black", "Others")</f>
        <v>Others</v>
      </c>
      <c r="T445" t="str">
        <v>E00758</v>
      </c>
    </row>
    <row r="446" spans="1:20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7">
        <v>42166</v>
      </c>
      <c r="J446" s="1">
        <v>234723</v>
      </c>
      <c r="K446" s="2">
        <v>0.36</v>
      </c>
      <c r="L446" t="s">
        <v>33</v>
      </c>
      <c r="M446" t="s">
        <v>74</v>
      </c>
      <c r="N446" s="7" t="s">
        <v>21</v>
      </c>
      <c r="O446" s="1">
        <f>TBL_Employees3[[#This Row],[Annual Salary]]+TBL_Employees3[[#This Row],[Bonus %]]*TBL_Employees3[[#This Row],[Annual Salary]]</f>
        <v>319223.28000000003</v>
      </c>
      <c r="P446" t="str">
        <f>IF(AND(TBL_Employees3[[#This Row],[Department]]="IT",TBL_Employees3[[#This Row],[Gender]]="Female"),"Yes","No")</f>
        <v>No</v>
      </c>
      <c r="Q446" t="str">
        <f>IF(AND(TBL_Employees3[[#This Row],[Gender]]="Female",TBL_Employees3[[#This Row],[Ethnicity]]="Black"), "Female_Black", "Others")</f>
        <v>Others</v>
      </c>
      <c r="T446" t="str">
        <v>E03750</v>
      </c>
    </row>
    <row r="447" spans="1:20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7">
        <v>43701</v>
      </c>
      <c r="J447" s="1">
        <v>50809</v>
      </c>
      <c r="K447" s="2">
        <v>0</v>
      </c>
      <c r="L447" t="s">
        <v>33</v>
      </c>
      <c r="M447" t="s">
        <v>80</v>
      </c>
      <c r="N447" s="7" t="s">
        <v>21</v>
      </c>
      <c r="O447" s="1">
        <f>TBL_Employees3[[#This Row],[Annual Salary]]+TBL_Employees3[[#This Row],[Bonus %]]*TBL_Employees3[[#This Row],[Annual Salary]]</f>
        <v>50809</v>
      </c>
      <c r="P447" t="str">
        <f>IF(AND(TBL_Employees3[[#This Row],[Department]]="IT",TBL_Employees3[[#This Row],[Gender]]="Female"),"Yes","No")</f>
        <v>No</v>
      </c>
      <c r="Q447" t="str">
        <f>IF(AND(TBL_Employees3[[#This Row],[Gender]]="Female",TBL_Employees3[[#This Row],[Ethnicity]]="Black"), "Female_Black", "Others")</f>
        <v>Others</v>
      </c>
      <c r="T447" t="str">
        <v>E00144</v>
      </c>
    </row>
    <row r="448" spans="1:20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7">
        <v>37456</v>
      </c>
      <c r="J448" s="1">
        <v>77396</v>
      </c>
      <c r="K448" s="2">
        <v>0</v>
      </c>
      <c r="L448" t="s">
        <v>19</v>
      </c>
      <c r="M448" t="s">
        <v>45</v>
      </c>
      <c r="N448" s="7" t="s">
        <v>21</v>
      </c>
      <c r="O448" s="1">
        <f>TBL_Employees3[[#This Row],[Annual Salary]]+TBL_Employees3[[#This Row],[Bonus %]]*TBL_Employees3[[#This Row],[Annual Salary]]</f>
        <v>77396</v>
      </c>
      <c r="P448" t="str">
        <f>IF(AND(TBL_Employees3[[#This Row],[Department]]="IT",TBL_Employees3[[#This Row],[Gender]]="Female"),"Yes","No")</f>
        <v>No</v>
      </c>
      <c r="Q448" t="str">
        <f>IF(AND(TBL_Employees3[[#This Row],[Gender]]="Female",TBL_Employees3[[#This Row],[Ethnicity]]="Black"), "Female_Black", "Others")</f>
        <v>Others</v>
      </c>
      <c r="T448" t="str">
        <v>E02943</v>
      </c>
    </row>
    <row r="449" spans="1:20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7">
        <v>36525</v>
      </c>
      <c r="J449" s="1">
        <v>89523</v>
      </c>
      <c r="K449" s="2">
        <v>0</v>
      </c>
      <c r="L449" t="s">
        <v>19</v>
      </c>
      <c r="M449" t="s">
        <v>39</v>
      </c>
      <c r="N449" s="7" t="s">
        <v>21</v>
      </c>
      <c r="O449" s="1">
        <f>TBL_Employees3[[#This Row],[Annual Salary]]+TBL_Employees3[[#This Row],[Bonus %]]*TBL_Employees3[[#This Row],[Annual Salary]]</f>
        <v>89523</v>
      </c>
      <c r="P449" t="str">
        <f>IF(AND(TBL_Employees3[[#This Row],[Department]]="IT",TBL_Employees3[[#This Row],[Gender]]="Female"),"Yes","No")</f>
        <v>No</v>
      </c>
      <c r="Q449" t="str">
        <f>IF(AND(TBL_Employees3[[#This Row],[Gender]]="Female",TBL_Employees3[[#This Row],[Ethnicity]]="Black"), "Female_Black", "Others")</f>
        <v>Others</v>
      </c>
      <c r="T449" t="str">
        <v>E03901</v>
      </c>
    </row>
    <row r="450" spans="1:20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7">
        <v>40744</v>
      </c>
      <c r="J450" s="1">
        <v>86173</v>
      </c>
      <c r="K450" s="2">
        <v>0</v>
      </c>
      <c r="L450" t="s">
        <v>33</v>
      </c>
      <c r="M450" t="s">
        <v>80</v>
      </c>
      <c r="N450" s="7" t="s">
        <v>21</v>
      </c>
      <c r="O450" s="1">
        <f>TBL_Employees3[[#This Row],[Annual Salary]]+TBL_Employees3[[#This Row],[Bonus %]]*TBL_Employees3[[#This Row],[Annual Salary]]</f>
        <v>86173</v>
      </c>
      <c r="P450" t="str">
        <f>IF(AND(TBL_Employees3[[#This Row],[Department]]="IT",TBL_Employees3[[#This Row],[Gender]]="Female"),"Yes","No")</f>
        <v>Yes</v>
      </c>
      <c r="Q450" t="str">
        <f>IF(AND(TBL_Employees3[[#This Row],[Gender]]="Female",TBL_Employees3[[#This Row],[Ethnicity]]="Black"), "Female_Black", "Others")</f>
        <v>Others</v>
      </c>
      <c r="T450" t="str">
        <v>E03461</v>
      </c>
    </row>
    <row r="451" spans="1:20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7">
        <v>36757</v>
      </c>
      <c r="J451" s="1">
        <v>222224</v>
      </c>
      <c r="K451" s="2">
        <v>0.38</v>
      </c>
      <c r="L451" t="s">
        <v>19</v>
      </c>
      <c r="M451" t="s">
        <v>29</v>
      </c>
      <c r="N451" s="7" t="s">
        <v>21</v>
      </c>
      <c r="O451" s="1">
        <f>TBL_Employees3[[#This Row],[Annual Salary]]+TBL_Employees3[[#This Row],[Bonus %]]*TBL_Employees3[[#This Row],[Annual Salary]]</f>
        <v>306669.12</v>
      </c>
      <c r="P451" t="str">
        <f>IF(AND(TBL_Employees3[[#This Row],[Department]]="IT",TBL_Employees3[[#This Row],[Gender]]="Female"),"Yes","No")</f>
        <v>No</v>
      </c>
      <c r="Q451" t="str">
        <f>IF(AND(TBL_Employees3[[#This Row],[Gender]]="Female",TBL_Employees3[[#This Row],[Ethnicity]]="Black"), "Female_Black", "Others")</f>
        <v>Female_Black</v>
      </c>
      <c r="T451" t="str">
        <v>E03490</v>
      </c>
    </row>
    <row r="452" spans="1:20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7">
        <v>44303</v>
      </c>
      <c r="J452" s="1">
        <v>146140</v>
      </c>
      <c r="K452" s="2">
        <v>0.15</v>
      </c>
      <c r="L452" t="s">
        <v>19</v>
      </c>
      <c r="M452" t="s">
        <v>63</v>
      </c>
      <c r="N452" s="7" t="s">
        <v>21</v>
      </c>
      <c r="O452" s="1">
        <f>TBL_Employees3[[#This Row],[Annual Salary]]+TBL_Employees3[[#This Row],[Bonus %]]*TBL_Employees3[[#This Row],[Annual Salary]]</f>
        <v>168061</v>
      </c>
      <c r="P452" t="str">
        <f>IF(AND(TBL_Employees3[[#This Row],[Department]]="IT",TBL_Employees3[[#This Row],[Gender]]="Female"),"Yes","No")</f>
        <v>No</v>
      </c>
      <c r="Q452" t="str">
        <f>IF(AND(TBL_Employees3[[#This Row],[Gender]]="Female",TBL_Employees3[[#This Row],[Ethnicity]]="Black"), "Female_Black", "Others")</f>
        <v>Others</v>
      </c>
      <c r="T452" t="str">
        <v>E04466</v>
      </c>
    </row>
    <row r="453" spans="1:20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7">
        <v>34505</v>
      </c>
      <c r="J453" s="1">
        <v>109456</v>
      </c>
      <c r="K453" s="2">
        <v>0.1</v>
      </c>
      <c r="L453" t="s">
        <v>19</v>
      </c>
      <c r="M453" t="s">
        <v>20</v>
      </c>
      <c r="N453" s="7" t="s">
        <v>21</v>
      </c>
      <c r="O453" s="1">
        <f>TBL_Employees3[[#This Row],[Annual Salary]]+TBL_Employees3[[#This Row],[Bonus %]]*TBL_Employees3[[#This Row],[Annual Salary]]</f>
        <v>120401.60000000001</v>
      </c>
      <c r="P453" t="str">
        <f>IF(AND(TBL_Employees3[[#This Row],[Department]]="IT",TBL_Employees3[[#This Row],[Gender]]="Female"),"Yes","No")</f>
        <v>No</v>
      </c>
      <c r="Q453" t="str">
        <f>IF(AND(TBL_Employees3[[#This Row],[Gender]]="Female",TBL_Employees3[[#This Row],[Ethnicity]]="Black"), "Female_Black", "Others")</f>
        <v>Others</v>
      </c>
      <c r="T453" t="str">
        <v>E03226</v>
      </c>
    </row>
    <row r="454" spans="1:20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7">
        <v>39728</v>
      </c>
      <c r="J454" s="1">
        <v>170221</v>
      </c>
      <c r="K454" s="2">
        <v>0.15</v>
      </c>
      <c r="L454" t="s">
        <v>52</v>
      </c>
      <c r="M454" t="s">
        <v>81</v>
      </c>
      <c r="N454" s="7" t="s">
        <v>21</v>
      </c>
      <c r="O454" s="1">
        <f>TBL_Employees3[[#This Row],[Annual Salary]]+TBL_Employees3[[#This Row],[Bonus %]]*TBL_Employees3[[#This Row],[Annual Salary]]</f>
        <v>195754.15</v>
      </c>
      <c r="P454" t="str">
        <f>IF(AND(TBL_Employees3[[#This Row],[Department]]="IT",TBL_Employees3[[#This Row],[Gender]]="Female"),"Yes","No")</f>
        <v>No</v>
      </c>
      <c r="Q454" t="str">
        <f>IF(AND(TBL_Employees3[[#This Row],[Gender]]="Female",TBL_Employees3[[#This Row],[Ethnicity]]="Black"), "Female_Black", "Others")</f>
        <v>Others</v>
      </c>
      <c r="T454" t="str">
        <v>E04607</v>
      </c>
    </row>
    <row r="455" spans="1:20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7">
        <v>38777</v>
      </c>
      <c r="J455" s="1">
        <v>97433</v>
      </c>
      <c r="K455" s="2">
        <v>0.05</v>
      </c>
      <c r="L455" t="s">
        <v>19</v>
      </c>
      <c r="M455" t="s">
        <v>63</v>
      </c>
      <c r="N455" s="7">
        <v>42224</v>
      </c>
      <c r="O455" s="1">
        <f>TBL_Employees3[[#This Row],[Annual Salary]]+TBL_Employees3[[#This Row],[Bonus %]]*TBL_Employees3[[#This Row],[Annual Salary]]</f>
        <v>102304.65</v>
      </c>
      <c r="P455" t="str">
        <f>IF(AND(TBL_Employees3[[#This Row],[Department]]="IT",TBL_Employees3[[#This Row],[Gender]]="Female"),"Yes","No")</f>
        <v>Yes</v>
      </c>
      <c r="Q455" t="str">
        <f>IF(AND(TBL_Employees3[[#This Row],[Gender]]="Female",TBL_Employees3[[#This Row],[Ethnicity]]="Black"), "Female_Black", "Others")</f>
        <v>Others</v>
      </c>
      <c r="T455" t="str">
        <v>E02678</v>
      </c>
    </row>
    <row r="456" spans="1:20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7">
        <v>41516</v>
      </c>
      <c r="J456" s="1">
        <v>59646</v>
      </c>
      <c r="K456" s="2">
        <v>0</v>
      </c>
      <c r="L456" t="s">
        <v>33</v>
      </c>
      <c r="M456" t="s">
        <v>74</v>
      </c>
      <c r="N456" s="7" t="s">
        <v>21</v>
      </c>
      <c r="O456" s="1">
        <f>TBL_Employees3[[#This Row],[Annual Salary]]+TBL_Employees3[[#This Row],[Bonus %]]*TBL_Employees3[[#This Row],[Annual Salary]]</f>
        <v>59646</v>
      </c>
      <c r="P456" t="str">
        <f>IF(AND(TBL_Employees3[[#This Row],[Department]]="IT",TBL_Employees3[[#This Row],[Gender]]="Female"),"Yes","No")</f>
        <v>No</v>
      </c>
      <c r="Q456" t="str">
        <f>IF(AND(TBL_Employees3[[#This Row],[Gender]]="Female",TBL_Employees3[[#This Row],[Ethnicity]]="Black"), "Female_Black", "Others")</f>
        <v>Others</v>
      </c>
      <c r="T456" t="str">
        <v>E02190</v>
      </c>
    </row>
    <row r="457" spans="1:20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7">
        <v>34940</v>
      </c>
      <c r="J457" s="1">
        <v>158787</v>
      </c>
      <c r="K457" s="2">
        <v>0.18</v>
      </c>
      <c r="L457" t="s">
        <v>33</v>
      </c>
      <c r="M457" t="s">
        <v>34</v>
      </c>
      <c r="N457" s="7" t="s">
        <v>21</v>
      </c>
      <c r="O457" s="1">
        <f>TBL_Employees3[[#This Row],[Annual Salary]]+TBL_Employees3[[#This Row],[Bonus %]]*TBL_Employees3[[#This Row],[Annual Salary]]</f>
        <v>187368.66</v>
      </c>
      <c r="P457" t="str">
        <f>IF(AND(TBL_Employees3[[#This Row],[Department]]="IT",TBL_Employees3[[#This Row],[Gender]]="Female"),"Yes","No")</f>
        <v>No</v>
      </c>
      <c r="Q457" t="str">
        <f>IF(AND(TBL_Employees3[[#This Row],[Gender]]="Female",TBL_Employees3[[#This Row],[Ethnicity]]="Black"), "Female_Black", "Others")</f>
        <v>Others</v>
      </c>
      <c r="T457" t="str">
        <v>E00747</v>
      </c>
    </row>
    <row r="458" spans="1:20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7">
        <v>43219</v>
      </c>
      <c r="J458" s="1">
        <v>83378</v>
      </c>
      <c r="K458" s="2">
        <v>0</v>
      </c>
      <c r="L458" t="s">
        <v>33</v>
      </c>
      <c r="M458" t="s">
        <v>60</v>
      </c>
      <c r="N458" s="7" t="s">
        <v>21</v>
      </c>
      <c r="O458" s="1">
        <f>TBL_Employees3[[#This Row],[Annual Salary]]+TBL_Employees3[[#This Row],[Bonus %]]*TBL_Employees3[[#This Row],[Annual Salary]]</f>
        <v>83378</v>
      </c>
      <c r="P458" t="str">
        <f>IF(AND(TBL_Employees3[[#This Row],[Department]]="IT",TBL_Employees3[[#This Row],[Gender]]="Female"),"Yes","No")</f>
        <v>No</v>
      </c>
      <c r="Q458" t="str">
        <f>IF(AND(TBL_Employees3[[#This Row],[Gender]]="Female",TBL_Employees3[[#This Row],[Ethnicity]]="Black"), "Female_Black", "Others")</f>
        <v>Others</v>
      </c>
      <c r="T458" t="str">
        <v>E00268</v>
      </c>
    </row>
    <row r="459" spans="1:20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7">
        <v>41590</v>
      </c>
      <c r="J459" s="1">
        <v>88895</v>
      </c>
      <c r="K459" s="2">
        <v>0</v>
      </c>
      <c r="L459" t="s">
        <v>19</v>
      </c>
      <c r="M459" t="s">
        <v>20</v>
      </c>
      <c r="N459" s="7" t="s">
        <v>21</v>
      </c>
      <c r="O459" s="1">
        <f>TBL_Employees3[[#This Row],[Annual Salary]]+TBL_Employees3[[#This Row],[Bonus %]]*TBL_Employees3[[#This Row],[Annual Salary]]</f>
        <v>88895</v>
      </c>
      <c r="P459" t="str">
        <f>IF(AND(TBL_Employees3[[#This Row],[Department]]="IT",TBL_Employees3[[#This Row],[Gender]]="Female"),"Yes","No")</f>
        <v>No</v>
      </c>
      <c r="Q459" t="str">
        <f>IF(AND(TBL_Employees3[[#This Row],[Gender]]="Female",TBL_Employees3[[#This Row],[Ethnicity]]="Black"), "Female_Black", "Others")</f>
        <v>Others</v>
      </c>
      <c r="T459" t="str">
        <v>E01416</v>
      </c>
    </row>
    <row r="460" spans="1:20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7">
        <v>38332</v>
      </c>
      <c r="J460" s="1">
        <v>168846</v>
      </c>
      <c r="K460" s="2">
        <v>0.24</v>
      </c>
      <c r="L460" t="s">
        <v>33</v>
      </c>
      <c r="M460" t="s">
        <v>80</v>
      </c>
      <c r="N460" s="7" t="s">
        <v>21</v>
      </c>
      <c r="O460" s="1">
        <f>TBL_Employees3[[#This Row],[Annual Salary]]+TBL_Employees3[[#This Row],[Bonus %]]*TBL_Employees3[[#This Row],[Annual Salary]]</f>
        <v>209369.04</v>
      </c>
      <c r="P460" t="str">
        <f>IF(AND(TBL_Employees3[[#This Row],[Department]]="IT",TBL_Employees3[[#This Row],[Gender]]="Female"),"Yes","No")</f>
        <v>No</v>
      </c>
      <c r="Q460" t="str">
        <f>IF(AND(TBL_Employees3[[#This Row],[Gender]]="Female",TBL_Employees3[[#This Row],[Ethnicity]]="Black"), "Female_Black", "Others")</f>
        <v>Others</v>
      </c>
      <c r="T460" t="str">
        <v>E01524</v>
      </c>
    </row>
    <row r="461" spans="1:20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7">
        <v>40596</v>
      </c>
      <c r="J461" s="1">
        <v>43336</v>
      </c>
      <c r="K461" s="2">
        <v>0</v>
      </c>
      <c r="L461" t="s">
        <v>19</v>
      </c>
      <c r="M461" t="s">
        <v>25</v>
      </c>
      <c r="N461" s="7">
        <v>44024</v>
      </c>
      <c r="O461" s="1">
        <f>TBL_Employees3[[#This Row],[Annual Salary]]+TBL_Employees3[[#This Row],[Bonus %]]*TBL_Employees3[[#This Row],[Annual Salary]]</f>
        <v>43336</v>
      </c>
      <c r="P461" t="str">
        <f>IF(AND(TBL_Employees3[[#This Row],[Department]]="IT",TBL_Employees3[[#This Row],[Gender]]="Female"),"Yes","No")</f>
        <v>No</v>
      </c>
      <c r="Q461" t="str">
        <f>IF(AND(TBL_Employees3[[#This Row],[Gender]]="Female",TBL_Employees3[[#This Row],[Ethnicity]]="Black"), "Female_Black", "Others")</f>
        <v>Others</v>
      </c>
      <c r="T461" t="str">
        <v>E02801</v>
      </c>
    </row>
    <row r="462" spans="1:20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7">
        <v>40083</v>
      </c>
      <c r="J462" s="1">
        <v>127801</v>
      </c>
      <c r="K462" s="2">
        <v>0.15</v>
      </c>
      <c r="L462" t="s">
        <v>19</v>
      </c>
      <c r="M462" t="s">
        <v>39</v>
      </c>
      <c r="N462" s="7" t="s">
        <v>21</v>
      </c>
      <c r="O462" s="1">
        <f>TBL_Employees3[[#This Row],[Annual Salary]]+TBL_Employees3[[#This Row],[Bonus %]]*TBL_Employees3[[#This Row],[Annual Salary]]</f>
        <v>146971.15</v>
      </c>
      <c r="P462" t="str">
        <f>IF(AND(TBL_Employees3[[#This Row],[Department]]="IT",TBL_Employees3[[#This Row],[Gender]]="Female"),"Yes","No")</f>
        <v>No</v>
      </c>
      <c r="Q462" t="str">
        <f>IF(AND(TBL_Employees3[[#This Row],[Gender]]="Female",TBL_Employees3[[#This Row],[Ethnicity]]="Black"), "Female_Black", "Others")</f>
        <v>Others</v>
      </c>
      <c r="T462" t="str">
        <v>E04155</v>
      </c>
    </row>
    <row r="463" spans="1:20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7">
        <v>36617</v>
      </c>
      <c r="J463" s="1">
        <v>76352</v>
      </c>
      <c r="K463" s="2">
        <v>0</v>
      </c>
      <c r="L463" t="s">
        <v>19</v>
      </c>
      <c r="M463" t="s">
        <v>25</v>
      </c>
      <c r="N463" s="7" t="s">
        <v>21</v>
      </c>
      <c r="O463" s="1">
        <f>TBL_Employees3[[#This Row],[Annual Salary]]+TBL_Employees3[[#This Row],[Bonus %]]*TBL_Employees3[[#This Row],[Annual Salary]]</f>
        <v>76352</v>
      </c>
      <c r="P463" t="str">
        <f>IF(AND(TBL_Employees3[[#This Row],[Department]]="IT",TBL_Employees3[[#This Row],[Gender]]="Female"),"Yes","No")</f>
        <v>No</v>
      </c>
      <c r="Q463" t="str">
        <f>IF(AND(TBL_Employees3[[#This Row],[Gender]]="Female",TBL_Employees3[[#This Row],[Ethnicity]]="Black"), "Female_Black", "Others")</f>
        <v>Others</v>
      </c>
      <c r="T463" t="str">
        <v>E01952</v>
      </c>
    </row>
    <row r="464" spans="1:20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7">
        <v>43638</v>
      </c>
      <c r="J464" s="1">
        <v>250767</v>
      </c>
      <c r="K464" s="2">
        <v>0.38</v>
      </c>
      <c r="L464" t="s">
        <v>19</v>
      </c>
      <c r="M464" t="s">
        <v>63</v>
      </c>
      <c r="N464" s="7" t="s">
        <v>21</v>
      </c>
      <c r="O464" s="1">
        <f>TBL_Employees3[[#This Row],[Annual Salary]]+TBL_Employees3[[#This Row],[Bonus %]]*TBL_Employees3[[#This Row],[Annual Salary]]</f>
        <v>346058.46</v>
      </c>
      <c r="P464" t="str">
        <f>IF(AND(TBL_Employees3[[#This Row],[Department]]="IT",TBL_Employees3[[#This Row],[Gender]]="Female"),"Yes","No")</f>
        <v>No</v>
      </c>
      <c r="Q464" t="str">
        <f>IF(AND(TBL_Employees3[[#This Row],[Gender]]="Female",TBL_Employees3[[#This Row],[Ethnicity]]="Black"), "Female_Black", "Others")</f>
        <v>Others</v>
      </c>
      <c r="T464" t="str">
        <v>E00116</v>
      </c>
    </row>
    <row r="465" spans="1:20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7">
        <v>44101</v>
      </c>
      <c r="J465" s="1">
        <v>223055</v>
      </c>
      <c r="K465" s="2">
        <v>0.3</v>
      </c>
      <c r="L465" t="s">
        <v>19</v>
      </c>
      <c r="M465" t="s">
        <v>29</v>
      </c>
      <c r="N465" s="7" t="s">
        <v>21</v>
      </c>
      <c r="O465" s="1">
        <f>TBL_Employees3[[#This Row],[Annual Salary]]+TBL_Employees3[[#This Row],[Bonus %]]*TBL_Employees3[[#This Row],[Annual Salary]]</f>
        <v>289971.5</v>
      </c>
      <c r="P465" t="str">
        <f>IF(AND(TBL_Employees3[[#This Row],[Department]]="IT",TBL_Employees3[[#This Row],[Gender]]="Female"),"Yes","No")</f>
        <v>No</v>
      </c>
      <c r="Q465" t="str">
        <f>IF(AND(TBL_Employees3[[#This Row],[Gender]]="Female",TBL_Employees3[[#This Row],[Ethnicity]]="Black"), "Female_Black", "Others")</f>
        <v>Others</v>
      </c>
      <c r="T465" t="str">
        <v>E04811</v>
      </c>
    </row>
    <row r="466" spans="1:20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7">
        <v>39185</v>
      </c>
      <c r="J466" s="1">
        <v>189680</v>
      </c>
      <c r="K466" s="2">
        <v>0.23</v>
      </c>
      <c r="L466" t="s">
        <v>52</v>
      </c>
      <c r="M466" t="s">
        <v>53</v>
      </c>
      <c r="N466" s="7" t="s">
        <v>21</v>
      </c>
      <c r="O466" s="1">
        <f>TBL_Employees3[[#This Row],[Annual Salary]]+TBL_Employees3[[#This Row],[Bonus %]]*TBL_Employees3[[#This Row],[Annual Salary]]</f>
        <v>233306.4</v>
      </c>
      <c r="P466" t="str">
        <f>IF(AND(TBL_Employees3[[#This Row],[Department]]="IT",TBL_Employees3[[#This Row],[Gender]]="Female"),"Yes","No")</f>
        <v>No</v>
      </c>
      <c r="Q466" t="str">
        <f>IF(AND(TBL_Employees3[[#This Row],[Gender]]="Female",TBL_Employees3[[#This Row],[Ethnicity]]="Black"), "Female_Black", "Others")</f>
        <v>Others</v>
      </c>
      <c r="T466" t="str">
        <v>E00624</v>
      </c>
    </row>
    <row r="467" spans="1:20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7">
        <v>43299</v>
      </c>
      <c r="J467" s="1">
        <v>71167</v>
      </c>
      <c r="K467" s="2">
        <v>0</v>
      </c>
      <c r="L467" t="s">
        <v>19</v>
      </c>
      <c r="M467" t="s">
        <v>29</v>
      </c>
      <c r="N467" s="7" t="s">
        <v>21</v>
      </c>
      <c r="O467" s="1">
        <f>TBL_Employees3[[#This Row],[Annual Salary]]+TBL_Employees3[[#This Row],[Bonus %]]*TBL_Employees3[[#This Row],[Annual Salary]]</f>
        <v>71167</v>
      </c>
      <c r="P467" t="str">
        <f>IF(AND(TBL_Employees3[[#This Row],[Department]]="IT",TBL_Employees3[[#This Row],[Gender]]="Female"),"Yes","No")</f>
        <v>No</v>
      </c>
      <c r="Q467" t="str">
        <f>IF(AND(TBL_Employees3[[#This Row],[Gender]]="Female",TBL_Employees3[[#This Row],[Ethnicity]]="Black"), "Female_Black", "Others")</f>
        <v>Others</v>
      </c>
      <c r="T467" t="str">
        <v>E03404</v>
      </c>
    </row>
    <row r="468" spans="1:20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7">
        <v>40272</v>
      </c>
      <c r="J468" s="1">
        <v>76027</v>
      </c>
      <c r="K468" s="2">
        <v>0</v>
      </c>
      <c r="L468" t="s">
        <v>19</v>
      </c>
      <c r="M468" t="s">
        <v>63</v>
      </c>
      <c r="N468" s="7" t="s">
        <v>21</v>
      </c>
      <c r="O468" s="1">
        <f>TBL_Employees3[[#This Row],[Annual Salary]]+TBL_Employees3[[#This Row],[Bonus %]]*TBL_Employees3[[#This Row],[Annual Salary]]</f>
        <v>76027</v>
      </c>
      <c r="P468" t="str">
        <f>IF(AND(TBL_Employees3[[#This Row],[Department]]="IT",TBL_Employees3[[#This Row],[Gender]]="Female"),"Yes","No")</f>
        <v>Yes</v>
      </c>
      <c r="Q468" t="str">
        <f>IF(AND(TBL_Employees3[[#This Row],[Gender]]="Female",TBL_Employees3[[#This Row],[Ethnicity]]="Black"), "Female_Black", "Others")</f>
        <v>Others</v>
      </c>
      <c r="T468" t="str">
        <v>E01845</v>
      </c>
    </row>
    <row r="469" spans="1:20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7">
        <v>43809</v>
      </c>
      <c r="J469" s="1">
        <v>183113</v>
      </c>
      <c r="K469" s="2">
        <v>0.24</v>
      </c>
      <c r="L469" t="s">
        <v>52</v>
      </c>
      <c r="M469" t="s">
        <v>66</v>
      </c>
      <c r="N469" s="7" t="s">
        <v>21</v>
      </c>
      <c r="O469" s="1">
        <f>TBL_Employees3[[#This Row],[Annual Salary]]+TBL_Employees3[[#This Row],[Bonus %]]*TBL_Employees3[[#This Row],[Annual Salary]]</f>
        <v>227060.12</v>
      </c>
      <c r="P469" t="str">
        <f>IF(AND(TBL_Employees3[[#This Row],[Department]]="IT",TBL_Employees3[[#This Row],[Gender]]="Female"),"Yes","No")</f>
        <v>No</v>
      </c>
      <c r="Q469" t="str">
        <f>IF(AND(TBL_Employees3[[#This Row],[Gender]]="Female",TBL_Employees3[[#This Row],[Ethnicity]]="Black"), "Female_Black", "Others")</f>
        <v>Others</v>
      </c>
      <c r="T469" t="str">
        <v>E04784</v>
      </c>
    </row>
    <row r="470" spans="1:20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7">
        <v>44124</v>
      </c>
      <c r="J470" s="1">
        <v>67753</v>
      </c>
      <c r="K470" s="2">
        <v>0</v>
      </c>
      <c r="L470" t="s">
        <v>19</v>
      </c>
      <c r="M470" t="s">
        <v>39</v>
      </c>
      <c r="N470" s="7" t="s">
        <v>21</v>
      </c>
      <c r="O470" s="1">
        <f>TBL_Employees3[[#This Row],[Annual Salary]]+TBL_Employees3[[#This Row],[Bonus %]]*TBL_Employees3[[#This Row],[Annual Salary]]</f>
        <v>67753</v>
      </c>
      <c r="P470" t="str">
        <f>IF(AND(TBL_Employees3[[#This Row],[Department]]="IT",TBL_Employees3[[#This Row],[Gender]]="Female"),"Yes","No")</f>
        <v>No</v>
      </c>
      <c r="Q470" t="str">
        <f>IF(AND(TBL_Employees3[[#This Row],[Gender]]="Female",TBL_Employees3[[#This Row],[Ethnicity]]="Black"), "Female_Black", "Others")</f>
        <v>Others</v>
      </c>
      <c r="T470" t="str">
        <v>E00145</v>
      </c>
    </row>
    <row r="471" spans="1:20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7">
        <v>42656</v>
      </c>
      <c r="J471" s="1">
        <v>63744</v>
      </c>
      <c r="K471" s="2">
        <v>0.08</v>
      </c>
      <c r="L471" t="s">
        <v>19</v>
      </c>
      <c r="M471" t="s">
        <v>25</v>
      </c>
      <c r="N471" s="7" t="s">
        <v>21</v>
      </c>
      <c r="O471" s="1">
        <f>TBL_Employees3[[#This Row],[Annual Salary]]+TBL_Employees3[[#This Row],[Bonus %]]*TBL_Employees3[[#This Row],[Annual Salary]]</f>
        <v>68843.520000000004</v>
      </c>
      <c r="P471" t="str">
        <f>IF(AND(TBL_Employees3[[#This Row],[Department]]="IT",TBL_Employees3[[#This Row],[Gender]]="Female"),"Yes","No")</f>
        <v>No</v>
      </c>
      <c r="Q471" t="str">
        <f>IF(AND(TBL_Employees3[[#This Row],[Gender]]="Female",TBL_Employees3[[#This Row],[Ethnicity]]="Black"), "Female_Black", "Others")</f>
        <v>Others</v>
      </c>
      <c r="T471" t="str">
        <v>E00218</v>
      </c>
    </row>
    <row r="472" spans="1:20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7">
        <v>37446</v>
      </c>
      <c r="J472" s="1">
        <v>92209</v>
      </c>
      <c r="K472" s="2">
        <v>0</v>
      </c>
      <c r="L472" t="s">
        <v>33</v>
      </c>
      <c r="M472" t="s">
        <v>74</v>
      </c>
      <c r="N472" s="7" t="s">
        <v>21</v>
      </c>
      <c r="O472" s="1">
        <f>TBL_Employees3[[#This Row],[Annual Salary]]+TBL_Employees3[[#This Row],[Bonus %]]*TBL_Employees3[[#This Row],[Annual Salary]]</f>
        <v>92209</v>
      </c>
      <c r="P472" t="str">
        <f>IF(AND(TBL_Employees3[[#This Row],[Department]]="IT",TBL_Employees3[[#This Row],[Gender]]="Female"),"Yes","No")</f>
        <v>No</v>
      </c>
      <c r="Q472" t="str">
        <f>IF(AND(TBL_Employees3[[#This Row],[Gender]]="Female",TBL_Employees3[[#This Row],[Ethnicity]]="Black"), "Female_Black", "Others")</f>
        <v>Others</v>
      </c>
      <c r="T472" t="str">
        <v>E00784</v>
      </c>
    </row>
    <row r="473" spans="1:20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7">
        <v>36770</v>
      </c>
      <c r="J473" s="1">
        <v>157487</v>
      </c>
      <c r="K473" s="2">
        <v>0.12</v>
      </c>
      <c r="L473" t="s">
        <v>19</v>
      </c>
      <c r="M473" t="s">
        <v>39</v>
      </c>
      <c r="N473" s="7" t="s">
        <v>21</v>
      </c>
      <c r="O473" s="1">
        <f>TBL_Employees3[[#This Row],[Annual Salary]]+TBL_Employees3[[#This Row],[Bonus %]]*TBL_Employees3[[#This Row],[Annual Salary]]</f>
        <v>176385.44</v>
      </c>
      <c r="P473" t="str">
        <f>IF(AND(TBL_Employees3[[#This Row],[Department]]="IT",TBL_Employees3[[#This Row],[Gender]]="Female"),"Yes","No")</f>
        <v>No</v>
      </c>
      <c r="Q473" t="str">
        <f>IF(AND(TBL_Employees3[[#This Row],[Gender]]="Female",TBL_Employees3[[#This Row],[Ethnicity]]="Black"), "Female_Black", "Others")</f>
        <v>Others</v>
      </c>
      <c r="T473" t="str">
        <v>E04925</v>
      </c>
    </row>
    <row r="474" spans="1:20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7">
        <v>42101</v>
      </c>
      <c r="J474" s="1">
        <v>99697</v>
      </c>
      <c r="K474" s="2">
        <v>0</v>
      </c>
      <c r="L474" t="s">
        <v>52</v>
      </c>
      <c r="M474" t="s">
        <v>66</v>
      </c>
      <c r="N474" s="7" t="s">
        <v>21</v>
      </c>
      <c r="O474" s="1">
        <f>TBL_Employees3[[#This Row],[Annual Salary]]+TBL_Employees3[[#This Row],[Bonus %]]*TBL_Employees3[[#This Row],[Annual Salary]]</f>
        <v>99697</v>
      </c>
      <c r="P474" t="str">
        <f>IF(AND(TBL_Employees3[[#This Row],[Department]]="IT",TBL_Employees3[[#This Row],[Gender]]="Female"),"Yes","No")</f>
        <v>No</v>
      </c>
      <c r="Q474" t="str">
        <f>IF(AND(TBL_Employees3[[#This Row],[Gender]]="Female",TBL_Employees3[[#This Row],[Ethnicity]]="Black"), "Female_Black", "Others")</f>
        <v>Others</v>
      </c>
      <c r="T474" t="str">
        <v>E04448</v>
      </c>
    </row>
    <row r="475" spans="1:20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7">
        <v>40235</v>
      </c>
      <c r="J475" s="1">
        <v>90770</v>
      </c>
      <c r="K475" s="2">
        <v>0</v>
      </c>
      <c r="L475" t="s">
        <v>19</v>
      </c>
      <c r="M475" t="s">
        <v>29</v>
      </c>
      <c r="N475" s="7" t="s">
        <v>21</v>
      </c>
      <c r="O475" s="1">
        <f>TBL_Employees3[[#This Row],[Annual Salary]]+TBL_Employees3[[#This Row],[Bonus %]]*TBL_Employees3[[#This Row],[Annual Salary]]</f>
        <v>90770</v>
      </c>
      <c r="P475" t="str">
        <f>IF(AND(TBL_Employees3[[#This Row],[Department]]="IT",TBL_Employees3[[#This Row],[Gender]]="Female"),"Yes","No")</f>
        <v>No</v>
      </c>
      <c r="Q475" t="str">
        <f>IF(AND(TBL_Employees3[[#This Row],[Gender]]="Female",TBL_Employees3[[#This Row],[Ethnicity]]="Black"), "Female_Black", "Others")</f>
        <v>Others</v>
      </c>
      <c r="T475" t="str">
        <v>E04817</v>
      </c>
    </row>
    <row r="476" spans="1:20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7">
        <v>38380</v>
      </c>
      <c r="J476" s="1">
        <v>55369</v>
      </c>
      <c r="K476" s="2">
        <v>0</v>
      </c>
      <c r="L476" t="s">
        <v>19</v>
      </c>
      <c r="M476" t="s">
        <v>39</v>
      </c>
      <c r="N476" s="7" t="s">
        <v>21</v>
      </c>
      <c r="O476" s="1">
        <f>TBL_Employees3[[#This Row],[Annual Salary]]+TBL_Employees3[[#This Row],[Bonus %]]*TBL_Employees3[[#This Row],[Annual Salary]]</f>
        <v>55369</v>
      </c>
      <c r="P476" t="str">
        <f>IF(AND(TBL_Employees3[[#This Row],[Department]]="IT",TBL_Employees3[[#This Row],[Gender]]="Female"),"Yes","No")</f>
        <v>No</v>
      </c>
      <c r="Q476" t="str">
        <f>IF(AND(TBL_Employees3[[#This Row],[Gender]]="Female",TBL_Employees3[[#This Row],[Ethnicity]]="Black"), "Female_Black", "Others")</f>
        <v>Others</v>
      </c>
      <c r="T476" t="str">
        <v>E00325</v>
      </c>
    </row>
    <row r="477" spans="1:20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7">
        <v>41898</v>
      </c>
      <c r="J477" s="1">
        <v>69578</v>
      </c>
      <c r="K477" s="2">
        <v>0</v>
      </c>
      <c r="L477" t="s">
        <v>52</v>
      </c>
      <c r="M477" t="s">
        <v>66</v>
      </c>
      <c r="N477" s="7" t="s">
        <v>21</v>
      </c>
      <c r="O477" s="1">
        <f>TBL_Employees3[[#This Row],[Annual Salary]]+TBL_Employees3[[#This Row],[Bonus %]]*TBL_Employees3[[#This Row],[Annual Salary]]</f>
        <v>69578</v>
      </c>
      <c r="P477" t="str">
        <f>IF(AND(TBL_Employees3[[#This Row],[Department]]="IT",TBL_Employees3[[#This Row],[Gender]]="Female"),"Yes","No")</f>
        <v>No</v>
      </c>
      <c r="Q477" t="str">
        <f>IF(AND(TBL_Employees3[[#This Row],[Gender]]="Female",TBL_Employees3[[#This Row],[Ethnicity]]="Black"), "Female_Black", "Others")</f>
        <v>Others</v>
      </c>
      <c r="T477" t="str">
        <v>E00403</v>
      </c>
    </row>
    <row r="478" spans="1:20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7">
        <v>41429</v>
      </c>
      <c r="J478" s="1">
        <v>167526</v>
      </c>
      <c r="K478" s="2">
        <v>0.26</v>
      </c>
      <c r="L478" t="s">
        <v>19</v>
      </c>
      <c r="M478" t="s">
        <v>45</v>
      </c>
      <c r="N478" s="7" t="s">
        <v>21</v>
      </c>
      <c r="O478" s="1">
        <f>TBL_Employees3[[#This Row],[Annual Salary]]+TBL_Employees3[[#This Row],[Bonus %]]*TBL_Employees3[[#This Row],[Annual Salary]]</f>
        <v>211082.76</v>
      </c>
      <c r="P478" t="str">
        <f>IF(AND(TBL_Employees3[[#This Row],[Department]]="IT",TBL_Employees3[[#This Row],[Gender]]="Female"),"Yes","No")</f>
        <v>No</v>
      </c>
      <c r="Q478" t="str">
        <f>IF(AND(TBL_Employees3[[#This Row],[Gender]]="Female",TBL_Employees3[[#This Row],[Ethnicity]]="Black"), "Female_Black", "Others")</f>
        <v>Others</v>
      </c>
      <c r="T478" t="str">
        <v>E04358</v>
      </c>
    </row>
    <row r="479" spans="1:20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7">
        <v>44232</v>
      </c>
      <c r="J479" s="1">
        <v>65507</v>
      </c>
      <c r="K479" s="2">
        <v>0</v>
      </c>
      <c r="L479" t="s">
        <v>52</v>
      </c>
      <c r="M479" t="s">
        <v>81</v>
      </c>
      <c r="N479" s="7" t="s">
        <v>21</v>
      </c>
      <c r="O479" s="1">
        <f>TBL_Employees3[[#This Row],[Annual Salary]]+TBL_Employees3[[#This Row],[Bonus %]]*TBL_Employees3[[#This Row],[Annual Salary]]</f>
        <v>65507</v>
      </c>
      <c r="P479" t="str">
        <f>IF(AND(TBL_Employees3[[#This Row],[Department]]="IT",TBL_Employees3[[#This Row],[Gender]]="Female"),"Yes","No")</f>
        <v>No</v>
      </c>
      <c r="Q479" t="str">
        <f>IF(AND(TBL_Employees3[[#This Row],[Gender]]="Female",TBL_Employees3[[#This Row],[Ethnicity]]="Black"), "Female_Black", "Others")</f>
        <v>Others</v>
      </c>
      <c r="T479" t="str">
        <v>E04662</v>
      </c>
    </row>
    <row r="480" spans="1:20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7">
        <v>35913</v>
      </c>
      <c r="J480" s="1">
        <v>108268</v>
      </c>
      <c r="K480" s="2">
        <v>0.09</v>
      </c>
      <c r="L480" t="s">
        <v>52</v>
      </c>
      <c r="M480" t="s">
        <v>53</v>
      </c>
      <c r="N480" s="7">
        <v>38122</v>
      </c>
      <c r="O480" s="1">
        <f>TBL_Employees3[[#This Row],[Annual Salary]]+TBL_Employees3[[#This Row],[Bonus %]]*TBL_Employees3[[#This Row],[Annual Salary]]</f>
        <v>118012.12</v>
      </c>
      <c r="P480" t="str">
        <f>IF(AND(TBL_Employees3[[#This Row],[Department]]="IT",TBL_Employees3[[#This Row],[Gender]]="Female"),"Yes","No")</f>
        <v>No</v>
      </c>
      <c r="Q480" t="str">
        <f>IF(AND(TBL_Employees3[[#This Row],[Gender]]="Female",TBL_Employees3[[#This Row],[Ethnicity]]="Black"), "Female_Black", "Others")</f>
        <v>Others</v>
      </c>
      <c r="T480" t="str">
        <v>E01496</v>
      </c>
    </row>
    <row r="481" spans="1:20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7">
        <v>42405</v>
      </c>
      <c r="J481" s="1">
        <v>80055</v>
      </c>
      <c r="K481" s="2">
        <v>0</v>
      </c>
      <c r="L481" t="s">
        <v>33</v>
      </c>
      <c r="M481" t="s">
        <v>60</v>
      </c>
      <c r="N481" s="7" t="s">
        <v>21</v>
      </c>
      <c r="O481" s="1">
        <f>TBL_Employees3[[#This Row],[Annual Salary]]+TBL_Employees3[[#This Row],[Bonus %]]*TBL_Employees3[[#This Row],[Annual Salary]]</f>
        <v>80055</v>
      </c>
      <c r="P481" t="str">
        <f>IF(AND(TBL_Employees3[[#This Row],[Department]]="IT",TBL_Employees3[[#This Row],[Gender]]="Female"),"Yes","No")</f>
        <v>No</v>
      </c>
      <c r="Q481" t="str">
        <f>IF(AND(TBL_Employees3[[#This Row],[Gender]]="Female",TBL_Employees3[[#This Row],[Ethnicity]]="Black"), "Female_Black", "Others")</f>
        <v>Others</v>
      </c>
      <c r="T481" t="str">
        <v>E01870</v>
      </c>
    </row>
    <row r="482" spans="1:20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7">
        <v>39930</v>
      </c>
      <c r="J482" s="1">
        <v>76802</v>
      </c>
      <c r="K482" s="2">
        <v>0</v>
      </c>
      <c r="L482" t="s">
        <v>52</v>
      </c>
      <c r="M482" t="s">
        <v>81</v>
      </c>
      <c r="N482" s="7" t="s">
        <v>21</v>
      </c>
      <c r="O482" s="1">
        <f>TBL_Employees3[[#This Row],[Annual Salary]]+TBL_Employees3[[#This Row],[Bonus %]]*TBL_Employees3[[#This Row],[Annual Salary]]</f>
        <v>76802</v>
      </c>
      <c r="P482" t="str">
        <f>IF(AND(TBL_Employees3[[#This Row],[Department]]="IT",TBL_Employees3[[#This Row],[Gender]]="Female"),"Yes","No")</f>
        <v>No</v>
      </c>
      <c r="Q482" t="str">
        <f>IF(AND(TBL_Employees3[[#This Row],[Gender]]="Female",TBL_Employees3[[#This Row],[Ethnicity]]="Black"), "Female_Black", "Others")</f>
        <v>Others</v>
      </c>
      <c r="T482" t="str">
        <v>E03971</v>
      </c>
    </row>
    <row r="483" spans="1:20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7">
        <v>42696</v>
      </c>
      <c r="J483" s="1">
        <v>253249</v>
      </c>
      <c r="K483" s="2">
        <v>0.31</v>
      </c>
      <c r="L483" t="s">
        <v>19</v>
      </c>
      <c r="M483" t="s">
        <v>25</v>
      </c>
      <c r="N483" s="7" t="s">
        <v>21</v>
      </c>
      <c r="O483" s="1">
        <f>TBL_Employees3[[#This Row],[Annual Salary]]+TBL_Employees3[[#This Row],[Bonus %]]*TBL_Employees3[[#This Row],[Annual Salary]]</f>
        <v>331756.19</v>
      </c>
      <c r="P483" t="str">
        <f>IF(AND(TBL_Employees3[[#This Row],[Department]]="IT",TBL_Employees3[[#This Row],[Gender]]="Female"),"Yes","No")</f>
        <v>No</v>
      </c>
      <c r="Q483" t="str">
        <f>IF(AND(TBL_Employees3[[#This Row],[Gender]]="Female",TBL_Employees3[[#This Row],[Ethnicity]]="Black"), "Female_Black", "Others")</f>
        <v>Others</v>
      </c>
      <c r="T483" t="str">
        <v>E03616</v>
      </c>
    </row>
    <row r="484" spans="1:20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7">
        <v>38667</v>
      </c>
      <c r="J484" s="1">
        <v>78388</v>
      </c>
      <c r="K484" s="2">
        <v>0</v>
      </c>
      <c r="L484" t="s">
        <v>33</v>
      </c>
      <c r="M484" t="s">
        <v>80</v>
      </c>
      <c r="N484" s="7" t="s">
        <v>21</v>
      </c>
      <c r="O484" s="1">
        <f>TBL_Employees3[[#This Row],[Annual Salary]]+TBL_Employees3[[#This Row],[Bonus %]]*TBL_Employees3[[#This Row],[Annual Salary]]</f>
        <v>78388</v>
      </c>
      <c r="P484" t="str">
        <f>IF(AND(TBL_Employees3[[#This Row],[Department]]="IT",TBL_Employees3[[#This Row],[Gender]]="Female"),"Yes","No")</f>
        <v>No</v>
      </c>
      <c r="Q484" t="str">
        <f>IF(AND(TBL_Employees3[[#This Row],[Gender]]="Female",TBL_Employees3[[#This Row],[Ethnicity]]="Black"), "Female_Black", "Others")</f>
        <v>Others</v>
      </c>
      <c r="T484" t="str">
        <v>E00153</v>
      </c>
    </row>
    <row r="485" spans="1:20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7">
        <v>42543</v>
      </c>
      <c r="J485" s="1">
        <v>249870</v>
      </c>
      <c r="K485" s="2">
        <v>0.34</v>
      </c>
      <c r="L485" t="s">
        <v>19</v>
      </c>
      <c r="M485" t="s">
        <v>20</v>
      </c>
      <c r="N485" s="7" t="s">
        <v>21</v>
      </c>
      <c r="O485" s="1">
        <f>TBL_Employees3[[#This Row],[Annual Salary]]+TBL_Employees3[[#This Row],[Bonus %]]*TBL_Employees3[[#This Row],[Annual Salary]]</f>
        <v>334825.8</v>
      </c>
      <c r="P485" t="str">
        <f>IF(AND(TBL_Employees3[[#This Row],[Department]]="IT",TBL_Employees3[[#This Row],[Gender]]="Female"),"Yes","No")</f>
        <v>No</v>
      </c>
      <c r="Q485" t="str">
        <f>IF(AND(TBL_Employees3[[#This Row],[Gender]]="Female",TBL_Employees3[[#This Row],[Ethnicity]]="Black"), "Female_Black", "Others")</f>
        <v>Others</v>
      </c>
      <c r="T485" t="str">
        <v>E02313</v>
      </c>
    </row>
    <row r="486" spans="1:20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7">
        <v>42064</v>
      </c>
      <c r="J486" s="1">
        <v>148321</v>
      </c>
      <c r="K486" s="2">
        <v>0.15</v>
      </c>
      <c r="L486" t="s">
        <v>33</v>
      </c>
      <c r="M486" t="s">
        <v>60</v>
      </c>
      <c r="N486" s="7" t="s">
        <v>21</v>
      </c>
      <c r="O486" s="1">
        <f>TBL_Employees3[[#This Row],[Annual Salary]]+TBL_Employees3[[#This Row],[Bonus %]]*TBL_Employees3[[#This Row],[Annual Salary]]</f>
        <v>170569.15</v>
      </c>
      <c r="P486" t="str">
        <f>IF(AND(TBL_Employees3[[#This Row],[Department]]="IT",TBL_Employees3[[#This Row],[Gender]]="Female"),"Yes","No")</f>
        <v>No</v>
      </c>
      <c r="Q486" t="str">
        <f>IF(AND(TBL_Employees3[[#This Row],[Gender]]="Female",TBL_Employees3[[#This Row],[Ethnicity]]="Black"), "Female_Black", "Others")</f>
        <v>Others</v>
      </c>
      <c r="T486" t="str">
        <v>E02960</v>
      </c>
    </row>
    <row r="487" spans="1:20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7">
        <v>38027</v>
      </c>
      <c r="J487" s="1">
        <v>90258</v>
      </c>
      <c r="K487" s="2">
        <v>0</v>
      </c>
      <c r="L487" t="s">
        <v>33</v>
      </c>
      <c r="M487" t="s">
        <v>80</v>
      </c>
      <c r="N487" s="7" t="s">
        <v>21</v>
      </c>
      <c r="O487" s="1">
        <f>TBL_Employees3[[#This Row],[Annual Salary]]+TBL_Employees3[[#This Row],[Bonus %]]*TBL_Employees3[[#This Row],[Annual Salary]]</f>
        <v>90258</v>
      </c>
      <c r="P487" t="str">
        <f>IF(AND(TBL_Employees3[[#This Row],[Department]]="IT",TBL_Employees3[[#This Row],[Gender]]="Female"),"Yes","No")</f>
        <v>Yes</v>
      </c>
      <c r="Q487" t="str">
        <f>IF(AND(TBL_Employees3[[#This Row],[Gender]]="Female",TBL_Employees3[[#This Row],[Ethnicity]]="Black"), "Female_Black", "Others")</f>
        <v>Others</v>
      </c>
      <c r="T487" t="str">
        <v>E00096</v>
      </c>
    </row>
    <row r="488" spans="1:20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7">
        <v>40593</v>
      </c>
      <c r="J488" s="1">
        <v>72486</v>
      </c>
      <c r="K488" s="2">
        <v>0</v>
      </c>
      <c r="L488" t="s">
        <v>19</v>
      </c>
      <c r="M488" t="s">
        <v>63</v>
      </c>
      <c r="N488" s="7" t="s">
        <v>21</v>
      </c>
      <c r="O488" s="1">
        <f>TBL_Employees3[[#This Row],[Annual Salary]]+TBL_Employees3[[#This Row],[Bonus %]]*TBL_Employees3[[#This Row],[Annual Salary]]</f>
        <v>72486</v>
      </c>
      <c r="P488" t="str">
        <f>IF(AND(TBL_Employees3[[#This Row],[Department]]="IT",TBL_Employees3[[#This Row],[Gender]]="Female"),"Yes","No")</f>
        <v>Yes</v>
      </c>
      <c r="Q488" t="str">
        <f>IF(AND(TBL_Employees3[[#This Row],[Gender]]="Female",TBL_Employees3[[#This Row],[Ethnicity]]="Black"), "Female_Black", "Others")</f>
        <v>Female_Black</v>
      </c>
      <c r="T488" t="str">
        <v>E02140</v>
      </c>
    </row>
    <row r="489" spans="1:20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7">
        <v>41886</v>
      </c>
      <c r="J489" s="1">
        <v>95499</v>
      </c>
      <c r="K489" s="2">
        <v>0</v>
      </c>
      <c r="L489" t="s">
        <v>52</v>
      </c>
      <c r="M489" t="s">
        <v>53</v>
      </c>
      <c r="N489" s="7">
        <v>42958</v>
      </c>
      <c r="O489" s="1">
        <f>TBL_Employees3[[#This Row],[Annual Salary]]+TBL_Employees3[[#This Row],[Bonus %]]*TBL_Employees3[[#This Row],[Annual Salary]]</f>
        <v>95499</v>
      </c>
      <c r="P489" t="str">
        <f>IF(AND(TBL_Employees3[[#This Row],[Department]]="IT",TBL_Employees3[[#This Row],[Gender]]="Female"),"Yes","No")</f>
        <v>No</v>
      </c>
      <c r="Q489" t="str">
        <f>IF(AND(TBL_Employees3[[#This Row],[Gender]]="Female",TBL_Employees3[[#This Row],[Ethnicity]]="Black"), "Female_Black", "Others")</f>
        <v>Others</v>
      </c>
      <c r="T489" t="str">
        <v>E00826</v>
      </c>
    </row>
    <row r="490" spans="1:20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7">
        <v>38344</v>
      </c>
      <c r="J490" s="1">
        <v>90212</v>
      </c>
      <c r="K490" s="2">
        <v>0</v>
      </c>
      <c r="L490" t="s">
        <v>52</v>
      </c>
      <c r="M490" t="s">
        <v>53</v>
      </c>
      <c r="N490" s="7" t="s">
        <v>21</v>
      </c>
      <c r="O490" s="1">
        <f>TBL_Employees3[[#This Row],[Annual Salary]]+TBL_Employees3[[#This Row],[Bonus %]]*TBL_Employees3[[#This Row],[Annual Salary]]</f>
        <v>90212</v>
      </c>
      <c r="P490" t="str">
        <f>IF(AND(TBL_Employees3[[#This Row],[Department]]="IT",TBL_Employees3[[#This Row],[Gender]]="Female"),"Yes","No")</f>
        <v>No</v>
      </c>
      <c r="Q490" t="str">
        <f>IF(AND(TBL_Employees3[[#This Row],[Gender]]="Female",TBL_Employees3[[#This Row],[Ethnicity]]="Black"), "Female_Black", "Others")</f>
        <v>Others</v>
      </c>
      <c r="T490" t="str">
        <v>E03881</v>
      </c>
    </row>
    <row r="491" spans="1:20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7">
        <v>43804</v>
      </c>
      <c r="J491" s="1">
        <v>254057</v>
      </c>
      <c r="K491" s="2">
        <v>0.39</v>
      </c>
      <c r="L491" t="s">
        <v>33</v>
      </c>
      <c r="M491" t="s">
        <v>74</v>
      </c>
      <c r="N491" s="7" t="s">
        <v>21</v>
      </c>
      <c r="O491" s="1">
        <f>TBL_Employees3[[#This Row],[Annual Salary]]+TBL_Employees3[[#This Row],[Bonus %]]*TBL_Employees3[[#This Row],[Annual Salary]]</f>
        <v>353139.23</v>
      </c>
      <c r="P491" t="str">
        <f>IF(AND(TBL_Employees3[[#This Row],[Department]]="IT",TBL_Employees3[[#This Row],[Gender]]="Female"),"Yes","No")</f>
        <v>No</v>
      </c>
      <c r="Q491" t="str">
        <f>IF(AND(TBL_Employees3[[#This Row],[Gender]]="Female",TBL_Employees3[[#This Row],[Ethnicity]]="Black"), "Female_Black", "Others")</f>
        <v>Others</v>
      </c>
      <c r="T491" t="str">
        <v>E02604</v>
      </c>
    </row>
    <row r="492" spans="1:20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7">
        <v>40463</v>
      </c>
      <c r="J492" s="1">
        <v>43001</v>
      </c>
      <c r="K492" s="2">
        <v>0</v>
      </c>
      <c r="L492" t="s">
        <v>19</v>
      </c>
      <c r="M492" t="s">
        <v>25</v>
      </c>
      <c r="N492" s="7" t="s">
        <v>21</v>
      </c>
      <c r="O492" s="1">
        <f>TBL_Employees3[[#This Row],[Annual Salary]]+TBL_Employees3[[#This Row],[Bonus %]]*TBL_Employees3[[#This Row],[Annual Salary]]</f>
        <v>43001</v>
      </c>
      <c r="P492" t="str">
        <f>IF(AND(TBL_Employees3[[#This Row],[Department]]="IT",TBL_Employees3[[#This Row],[Gender]]="Female"),"Yes","No")</f>
        <v>No</v>
      </c>
      <c r="Q492" t="str">
        <f>IF(AND(TBL_Employees3[[#This Row],[Gender]]="Female",TBL_Employees3[[#This Row],[Ethnicity]]="Black"), "Female_Black", "Others")</f>
        <v>Others</v>
      </c>
      <c r="T492" t="str">
        <v>E02613</v>
      </c>
    </row>
    <row r="493" spans="1:20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7">
        <v>36010</v>
      </c>
      <c r="J493" s="1">
        <v>85120</v>
      </c>
      <c r="K493" s="2">
        <v>0.09</v>
      </c>
      <c r="L493" t="s">
        <v>19</v>
      </c>
      <c r="M493" t="s">
        <v>63</v>
      </c>
      <c r="N493" s="7" t="s">
        <v>21</v>
      </c>
      <c r="O493" s="1">
        <f>TBL_Employees3[[#This Row],[Annual Salary]]+TBL_Employees3[[#This Row],[Bonus %]]*TBL_Employees3[[#This Row],[Annual Salary]]</f>
        <v>92780.800000000003</v>
      </c>
      <c r="P493" t="str">
        <f>IF(AND(TBL_Employees3[[#This Row],[Department]]="IT",TBL_Employees3[[#This Row],[Gender]]="Female"),"Yes","No")</f>
        <v>No</v>
      </c>
      <c r="Q493" t="str">
        <f>IF(AND(TBL_Employees3[[#This Row],[Gender]]="Female",TBL_Employees3[[#This Row],[Ethnicity]]="Black"), "Female_Black", "Others")</f>
        <v>Others</v>
      </c>
      <c r="T493" t="str">
        <v>E00864</v>
      </c>
    </row>
    <row r="494" spans="1:20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7">
        <v>42219</v>
      </c>
      <c r="J494" s="1">
        <v>52200</v>
      </c>
      <c r="K494" s="2">
        <v>0</v>
      </c>
      <c r="L494" t="s">
        <v>19</v>
      </c>
      <c r="M494" t="s">
        <v>29</v>
      </c>
      <c r="N494" s="7" t="s">
        <v>21</v>
      </c>
      <c r="O494" s="1">
        <f>TBL_Employees3[[#This Row],[Annual Salary]]+TBL_Employees3[[#This Row],[Bonus %]]*TBL_Employees3[[#This Row],[Annual Salary]]</f>
        <v>52200</v>
      </c>
      <c r="P494" t="str">
        <f>IF(AND(TBL_Employees3[[#This Row],[Department]]="IT",TBL_Employees3[[#This Row],[Gender]]="Female"),"Yes","No")</f>
        <v>No</v>
      </c>
      <c r="Q494" t="str">
        <f>IF(AND(TBL_Employees3[[#This Row],[Gender]]="Female",TBL_Employees3[[#This Row],[Ethnicity]]="Black"), "Female_Black", "Others")</f>
        <v>Others</v>
      </c>
      <c r="T494" t="str">
        <v>E01760</v>
      </c>
    </row>
    <row r="495" spans="1:20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7">
        <v>39739</v>
      </c>
      <c r="J495" s="1">
        <v>150855</v>
      </c>
      <c r="K495" s="2">
        <v>0.11</v>
      </c>
      <c r="L495" t="s">
        <v>19</v>
      </c>
      <c r="M495" t="s">
        <v>39</v>
      </c>
      <c r="N495" s="7" t="s">
        <v>21</v>
      </c>
      <c r="O495" s="1">
        <f>TBL_Employees3[[#This Row],[Annual Salary]]+TBL_Employees3[[#This Row],[Bonus %]]*TBL_Employees3[[#This Row],[Annual Salary]]</f>
        <v>167449.04999999999</v>
      </c>
      <c r="P495" t="str">
        <f>IF(AND(TBL_Employees3[[#This Row],[Department]]="IT",TBL_Employees3[[#This Row],[Gender]]="Female"),"Yes","No")</f>
        <v>No</v>
      </c>
      <c r="Q495" t="str">
        <f>IF(AND(TBL_Employees3[[#This Row],[Gender]]="Female",TBL_Employees3[[#This Row],[Ethnicity]]="Black"), "Female_Black", "Others")</f>
        <v>Others</v>
      </c>
      <c r="T495" t="str">
        <v>E03223</v>
      </c>
    </row>
    <row r="496" spans="1:20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7">
        <v>38188</v>
      </c>
      <c r="J496" s="1">
        <v>65702</v>
      </c>
      <c r="K496" s="2">
        <v>0</v>
      </c>
      <c r="L496" t="s">
        <v>19</v>
      </c>
      <c r="M496" t="s">
        <v>29</v>
      </c>
      <c r="N496" s="7" t="s">
        <v>21</v>
      </c>
      <c r="O496" s="1">
        <f>TBL_Employees3[[#This Row],[Annual Salary]]+TBL_Employees3[[#This Row],[Bonus %]]*TBL_Employees3[[#This Row],[Annual Salary]]</f>
        <v>65702</v>
      </c>
      <c r="P496" t="str">
        <f>IF(AND(TBL_Employees3[[#This Row],[Department]]="IT",TBL_Employees3[[#This Row],[Gender]]="Female"),"Yes","No")</f>
        <v>Yes</v>
      </c>
      <c r="Q496" t="str">
        <f>IF(AND(TBL_Employees3[[#This Row],[Gender]]="Female",TBL_Employees3[[#This Row],[Ethnicity]]="Black"), "Female_Black", "Others")</f>
        <v>Others</v>
      </c>
      <c r="T496" t="str">
        <v>E01262</v>
      </c>
    </row>
    <row r="497" spans="1:20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7">
        <v>39367</v>
      </c>
      <c r="J497" s="1">
        <v>162038</v>
      </c>
      <c r="K497" s="2">
        <v>0.24</v>
      </c>
      <c r="L497" t="s">
        <v>33</v>
      </c>
      <c r="M497" t="s">
        <v>80</v>
      </c>
      <c r="N497" s="7" t="s">
        <v>21</v>
      </c>
      <c r="O497" s="1">
        <f>TBL_Employees3[[#This Row],[Annual Salary]]+TBL_Employees3[[#This Row],[Bonus %]]*TBL_Employees3[[#This Row],[Annual Salary]]</f>
        <v>200927.12</v>
      </c>
      <c r="P497" t="str">
        <f>IF(AND(TBL_Employees3[[#This Row],[Department]]="IT",TBL_Employees3[[#This Row],[Gender]]="Female"),"Yes","No")</f>
        <v>No</v>
      </c>
      <c r="Q497" t="str">
        <f>IF(AND(TBL_Employees3[[#This Row],[Gender]]="Female",TBL_Employees3[[#This Row],[Ethnicity]]="Black"), "Female_Black", "Others")</f>
        <v>Others</v>
      </c>
      <c r="T497" t="str">
        <v>E01075</v>
      </c>
    </row>
    <row r="498" spans="1:20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7">
        <v>43930</v>
      </c>
      <c r="J498" s="1">
        <v>157057</v>
      </c>
      <c r="K498" s="2">
        <v>0.1</v>
      </c>
      <c r="L498" t="s">
        <v>19</v>
      </c>
      <c r="M498" t="s">
        <v>29</v>
      </c>
      <c r="N498" s="7" t="s">
        <v>21</v>
      </c>
      <c r="O498" s="1">
        <f>TBL_Employees3[[#This Row],[Annual Salary]]+TBL_Employees3[[#This Row],[Bonus %]]*TBL_Employees3[[#This Row],[Annual Salary]]</f>
        <v>172762.7</v>
      </c>
      <c r="P498" t="str">
        <f>IF(AND(TBL_Employees3[[#This Row],[Department]]="IT",TBL_Employees3[[#This Row],[Gender]]="Female"),"Yes","No")</f>
        <v>No</v>
      </c>
      <c r="Q498" t="str">
        <f>IF(AND(TBL_Employees3[[#This Row],[Gender]]="Female",TBL_Employees3[[#This Row],[Ethnicity]]="Black"), "Female_Black", "Others")</f>
        <v>Others</v>
      </c>
      <c r="T498" t="str">
        <v>E00364</v>
      </c>
    </row>
    <row r="499" spans="1:20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7">
        <v>44419</v>
      </c>
      <c r="J499" s="1">
        <v>127559</v>
      </c>
      <c r="K499" s="2">
        <v>0.1</v>
      </c>
      <c r="L499" t="s">
        <v>19</v>
      </c>
      <c r="M499" t="s">
        <v>25</v>
      </c>
      <c r="N499" s="7" t="s">
        <v>21</v>
      </c>
      <c r="O499" s="1">
        <f>TBL_Employees3[[#This Row],[Annual Salary]]+TBL_Employees3[[#This Row],[Bonus %]]*TBL_Employees3[[#This Row],[Annual Salary]]</f>
        <v>140314.9</v>
      </c>
      <c r="P499" t="str">
        <f>IF(AND(TBL_Employees3[[#This Row],[Department]]="IT",TBL_Employees3[[#This Row],[Gender]]="Female"),"Yes","No")</f>
        <v>No</v>
      </c>
      <c r="Q499" t="str">
        <f>IF(AND(TBL_Employees3[[#This Row],[Gender]]="Female",TBL_Employees3[[#This Row],[Ethnicity]]="Black"), "Female_Black", "Others")</f>
        <v>Others</v>
      </c>
      <c r="T499" t="str">
        <v>E04108</v>
      </c>
    </row>
    <row r="500" spans="1:20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7">
        <v>43536</v>
      </c>
      <c r="J500" s="1">
        <v>62644</v>
      </c>
      <c r="K500" s="2">
        <v>0</v>
      </c>
      <c r="L500" t="s">
        <v>19</v>
      </c>
      <c r="M500" t="s">
        <v>63</v>
      </c>
      <c r="N500" s="7" t="s">
        <v>21</v>
      </c>
      <c r="O500" s="1">
        <f>TBL_Employees3[[#This Row],[Annual Salary]]+TBL_Employees3[[#This Row],[Bonus %]]*TBL_Employees3[[#This Row],[Annual Salary]]</f>
        <v>62644</v>
      </c>
      <c r="P500" t="str">
        <f>IF(AND(TBL_Employees3[[#This Row],[Department]]="IT",TBL_Employees3[[#This Row],[Gender]]="Female"),"Yes","No")</f>
        <v>No</v>
      </c>
      <c r="Q500" t="str">
        <f>IF(AND(TBL_Employees3[[#This Row],[Gender]]="Female",TBL_Employees3[[#This Row],[Ethnicity]]="Black"), "Female_Black", "Others")</f>
        <v>Others</v>
      </c>
      <c r="T500" t="str">
        <v>E02917</v>
      </c>
    </row>
    <row r="501" spans="1:20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7">
        <v>36956</v>
      </c>
      <c r="J501" s="1">
        <v>73907</v>
      </c>
      <c r="K501" s="2">
        <v>0</v>
      </c>
      <c r="L501" t="s">
        <v>33</v>
      </c>
      <c r="M501" t="s">
        <v>74</v>
      </c>
      <c r="N501" s="7" t="s">
        <v>21</v>
      </c>
      <c r="O501" s="1">
        <f>TBL_Employees3[[#This Row],[Annual Salary]]+TBL_Employees3[[#This Row],[Bonus %]]*TBL_Employees3[[#This Row],[Annual Salary]]</f>
        <v>73907</v>
      </c>
      <c r="P501" t="str">
        <f>IF(AND(TBL_Employees3[[#This Row],[Department]]="IT",TBL_Employees3[[#This Row],[Gender]]="Female"),"Yes","No")</f>
        <v>No</v>
      </c>
      <c r="Q501" t="str">
        <f>IF(AND(TBL_Employees3[[#This Row],[Gender]]="Female",TBL_Employees3[[#This Row],[Ethnicity]]="Black"), "Female_Black", "Others")</f>
        <v>Others</v>
      </c>
      <c r="T501" t="str">
        <v>E03393</v>
      </c>
    </row>
    <row r="502" spans="1:20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7">
        <v>43169</v>
      </c>
      <c r="J502" s="1">
        <v>90040</v>
      </c>
      <c r="K502" s="2">
        <v>0</v>
      </c>
      <c r="L502" t="s">
        <v>19</v>
      </c>
      <c r="M502" t="s">
        <v>20</v>
      </c>
      <c r="N502" s="7" t="s">
        <v>21</v>
      </c>
      <c r="O502" s="1">
        <f>TBL_Employees3[[#This Row],[Annual Salary]]+TBL_Employees3[[#This Row],[Bonus %]]*TBL_Employees3[[#This Row],[Annual Salary]]</f>
        <v>90040</v>
      </c>
      <c r="P502" t="str">
        <f>IF(AND(TBL_Employees3[[#This Row],[Department]]="IT",TBL_Employees3[[#This Row],[Gender]]="Female"),"Yes","No")</f>
        <v>No</v>
      </c>
      <c r="Q502" t="str">
        <f>IF(AND(TBL_Employees3[[#This Row],[Gender]]="Female",TBL_Employees3[[#This Row],[Ethnicity]]="Black"), "Female_Black", "Others")</f>
        <v>Others</v>
      </c>
      <c r="T502" t="str">
        <v>E02977</v>
      </c>
    </row>
    <row r="503" spans="1:20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7">
        <v>42516</v>
      </c>
      <c r="J503" s="1">
        <v>91134</v>
      </c>
      <c r="K503" s="2">
        <v>0</v>
      </c>
      <c r="L503" t="s">
        <v>52</v>
      </c>
      <c r="M503" t="s">
        <v>53</v>
      </c>
      <c r="N503" s="7" t="s">
        <v>21</v>
      </c>
      <c r="O503" s="1">
        <f>TBL_Employees3[[#This Row],[Annual Salary]]+TBL_Employees3[[#This Row],[Bonus %]]*TBL_Employees3[[#This Row],[Annual Salary]]</f>
        <v>91134</v>
      </c>
      <c r="P503" t="str">
        <f>IF(AND(TBL_Employees3[[#This Row],[Department]]="IT",TBL_Employees3[[#This Row],[Gender]]="Female"),"Yes","No")</f>
        <v>No</v>
      </c>
      <c r="Q503" t="str">
        <f>IF(AND(TBL_Employees3[[#This Row],[Gender]]="Female",TBL_Employees3[[#This Row],[Ethnicity]]="Black"), "Female_Black", "Others")</f>
        <v>Others</v>
      </c>
      <c r="T503" t="str">
        <v>E03371</v>
      </c>
    </row>
    <row r="504" spans="1:20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7">
        <v>44461</v>
      </c>
      <c r="J504" s="1">
        <v>201396</v>
      </c>
      <c r="K504" s="2">
        <v>0.32</v>
      </c>
      <c r="L504" t="s">
        <v>19</v>
      </c>
      <c r="M504" t="s">
        <v>45</v>
      </c>
      <c r="N504" s="7" t="s">
        <v>21</v>
      </c>
      <c r="O504" s="1">
        <f>TBL_Employees3[[#This Row],[Annual Salary]]+TBL_Employees3[[#This Row],[Bonus %]]*TBL_Employees3[[#This Row],[Annual Salary]]</f>
        <v>265842.71999999997</v>
      </c>
      <c r="P504" t="str">
        <f>IF(AND(TBL_Employees3[[#This Row],[Department]]="IT",TBL_Employees3[[#This Row],[Gender]]="Female"),"Yes","No")</f>
        <v>No</v>
      </c>
      <c r="Q504" t="str">
        <f>IF(AND(TBL_Employees3[[#This Row],[Gender]]="Female",TBL_Employees3[[#This Row],[Ethnicity]]="Black"), "Female_Black", "Others")</f>
        <v>Others</v>
      </c>
      <c r="T504" t="str">
        <v>E02531</v>
      </c>
    </row>
    <row r="505" spans="1:20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7">
        <v>40899</v>
      </c>
      <c r="J505" s="1">
        <v>54733</v>
      </c>
      <c r="K505" s="2">
        <v>0</v>
      </c>
      <c r="L505" t="s">
        <v>33</v>
      </c>
      <c r="M505" t="s">
        <v>80</v>
      </c>
      <c r="N505" s="7" t="s">
        <v>21</v>
      </c>
      <c r="O505" s="1">
        <f>TBL_Employees3[[#This Row],[Annual Salary]]+TBL_Employees3[[#This Row],[Bonus %]]*TBL_Employees3[[#This Row],[Annual Salary]]</f>
        <v>54733</v>
      </c>
      <c r="P505" t="str">
        <f>IF(AND(TBL_Employees3[[#This Row],[Department]]="IT",TBL_Employees3[[#This Row],[Gender]]="Female"),"Yes","No")</f>
        <v>No</v>
      </c>
      <c r="Q505" t="str">
        <f>IF(AND(TBL_Employees3[[#This Row],[Gender]]="Female",TBL_Employees3[[#This Row],[Ethnicity]]="Black"), "Female_Black", "Others")</f>
        <v>Others</v>
      </c>
      <c r="T505" t="str">
        <v>E02473</v>
      </c>
    </row>
    <row r="506" spans="1:20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7">
        <v>43633</v>
      </c>
      <c r="J506" s="1">
        <v>65341</v>
      </c>
      <c r="K506" s="2">
        <v>0</v>
      </c>
      <c r="L506" t="s">
        <v>19</v>
      </c>
      <c r="M506" t="s">
        <v>45</v>
      </c>
      <c r="N506" s="7">
        <v>44662</v>
      </c>
      <c r="O506" s="1">
        <f>TBL_Employees3[[#This Row],[Annual Salary]]+TBL_Employees3[[#This Row],[Bonus %]]*TBL_Employees3[[#This Row],[Annual Salary]]</f>
        <v>65341</v>
      </c>
      <c r="P506" t="str">
        <f>IF(AND(TBL_Employees3[[#This Row],[Department]]="IT",TBL_Employees3[[#This Row],[Gender]]="Female"),"Yes","No")</f>
        <v>No</v>
      </c>
      <c r="Q506" t="str">
        <f>IF(AND(TBL_Employees3[[#This Row],[Gender]]="Female",TBL_Employees3[[#This Row],[Ethnicity]]="Black"), "Female_Black", "Others")</f>
        <v>Others</v>
      </c>
      <c r="T506" t="str">
        <v>E02468</v>
      </c>
    </row>
    <row r="507" spans="1:20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7">
        <v>43400</v>
      </c>
      <c r="J507" s="1">
        <v>139208</v>
      </c>
      <c r="K507" s="2">
        <v>0.11</v>
      </c>
      <c r="L507" t="s">
        <v>19</v>
      </c>
      <c r="M507" t="s">
        <v>25</v>
      </c>
      <c r="N507" s="7" t="s">
        <v>21</v>
      </c>
      <c r="O507" s="1">
        <f>TBL_Employees3[[#This Row],[Annual Salary]]+TBL_Employees3[[#This Row],[Bonus %]]*TBL_Employees3[[#This Row],[Annual Salary]]</f>
        <v>154520.88</v>
      </c>
      <c r="P507" t="str">
        <f>IF(AND(TBL_Employees3[[#This Row],[Department]]="IT",TBL_Employees3[[#This Row],[Gender]]="Female"),"Yes","No")</f>
        <v>No</v>
      </c>
      <c r="Q507" t="str">
        <f>IF(AND(TBL_Employees3[[#This Row],[Gender]]="Female",TBL_Employees3[[#This Row],[Ethnicity]]="Black"), "Female_Black", "Others")</f>
        <v>Female_Black</v>
      </c>
      <c r="T507" t="str">
        <v>E03697</v>
      </c>
    </row>
    <row r="508" spans="1:20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7">
        <v>43171</v>
      </c>
      <c r="J508" s="1">
        <v>73200</v>
      </c>
      <c r="K508" s="2">
        <v>0</v>
      </c>
      <c r="L508" t="s">
        <v>33</v>
      </c>
      <c r="M508" t="s">
        <v>74</v>
      </c>
      <c r="N508" s="7" t="s">
        <v>21</v>
      </c>
      <c r="O508" s="1">
        <f>TBL_Employees3[[#This Row],[Annual Salary]]+TBL_Employees3[[#This Row],[Bonus %]]*TBL_Employees3[[#This Row],[Annual Salary]]</f>
        <v>73200</v>
      </c>
      <c r="P508" t="str">
        <f>IF(AND(TBL_Employees3[[#This Row],[Department]]="IT",TBL_Employees3[[#This Row],[Gender]]="Female"),"Yes","No")</f>
        <v>No</v>
      </c>
      <c r="Q508" t="str">
        <f>IF(AND(TBL_Employees3[[#This Row],[Gender]]="Female",TBL_Employees3[[#This Row],[Ethnicity]]="Black"), "Female_Black", "Others")</f>
        <v>Others</v>
      </c>
      <c r="T508" t="str">
        <v>E00593</v>
      </c>
    </row>
    <row r="509" spans="1:20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7">
        <v>40292</v>
      </c>
      <c r="J509" s="1">
        <v>102636</v>
      </c>
      <c r="K509" s="2">
        <v>0.06</v>
      </c>
      <c r="L509" t="s">
        <v>19</v>
      </c>
      <c r="M509" t="s">
        <v>63</v>
      </c>
      <c r="N509" s="7" t="s">
        <v>21</v>
      </c>
      <c r="O509" s="1">
        <f>TBL_Employees3[[#This Row],[Annual Salary]]+TBL_Employees3[[#This Row],[Bonus %]]*TBL_Employees3[[#This Row],[Annual Salary]]</f>
        <v>108794.16</v>
      </c>
      <c r="P509" t="str">
        <f>IF(AND(TBL_Employees3[[#This Row],[Department]]="IT",TBL_Employees3[[#This Row],[Gender]]="Female"),"Yes","No")</f>
        <v>No</v>
      </c>
      <c r="Q509" t="str">
        <f>IF(AND(TBL_Employees3[[#This Row],[Gender]]="Female",TBL_Employees3[[#This Row],[Ethnicity]]="Black"), "Female_Black", "Others")</f>
        <v>Others</v>
      </c>
      <c r="T509" t="str">
        <v>E01103</v>
      </c>
    </row>
    <row r="510" spans="1:20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7">
        <v>44236</v>
      </c>
      <c r="J510" s="1">
        <v>87427</v>
      </c>
      <c r="K510" s="2">
        <v>0</v>
      </c>
      <c r="L510" t="s">
        <v>52</v>
      </c>
      <c r="M510" t="s">
        <v>53</v>
      </c>
      <c r="N510" s="7" t="s">
        <v>21</v>
      </c>
      <c r="O510" s="1">
        <f>TBL_Employees3[[#This Row],[Annual Salary]]+TBL_Employees3[[#This Row],[Bonus %]]*TBL_Employees3[[#This Row],[Annual Salary]]</f>
        <v>87427</v>
      </c>
      <c r="P510" t="str">
        <f>IF(AND(TBL_Employees3[[#This Row],[Department]]="IT",TBL_Employees3[[#This Row],[Gender]]="Female"),"Yes","No")</f>
        <v>No</v>
      </c>
      <c r="Q510" t="str">
        <f>IF(AND(TBL_Employees3[[#This Row],[Gender]]="Female",TBL_Employees3[[#This Row],[Ethnicity]]="Black"), "Female_Black", "Others")</f>
        <v>Others</v>
      </c>
      <c r="T510" t="str">
        <v>E03889</v>
      </c>
    </row>
    <row r="511" spans="1:20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7">
        <v>43248</v>
      </c>
      <c r="J511" s="1">
        <v>49219</v>
      </c>
      <c r="K511" s="2">
        <v>0</v>
      </c>
      <c r="L511" t="s">
        <v>19</v>
      </c>
      <c r="M511" t="s">
        <v>29</v>
      </c>
      <c r="N511" s="7" t="s">
        <v>21</v>
      </c>
      <c r="O511" s="1">
        <f>TBL_Employees3[[#This Row],[Annual Salary]]+TBL_Employees3[[#This Row],[Bonus %]]*TBL_Employees3[[#This Row],[Annual Salary]]</f>
        <v>49219</v>
      </c>
      <c r="P511" t="str">
        <f>IF(AND(TBL_Employees3[[#This Row],[Department]]="IT",TBL_Employees3[[#This Row],[Gender]]="Female"),"Yes","No")</f>
        <v>No</v>
      </c>
      <c r="Q511" t="str">
        <f>IF(AND(TBL_Employees3[[#This Row],[Gender]]="Female",TBL_Employees3[[#This Row],[Ethnicity]]="Black"), "Female_Black", "Others")</f>
        <v>Others</v>
      </c>
      <c r="T511" t="str">
        <v>E01958</v>
      </c>
    </row>
    <row r="512" spans="1:20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7">
        <v>43239</v>
      </c>
      <c r="J512" s="1">
        <v>106437</v>
      </c>
      <c r="K512" s="2">
        <v>7.0000000000000007E-2</v>
      </c>
      <c r="L512" t="s">
        <v>33</v>
      </c>
      <c r="M512" t="s">
        <v>80</v>
      </c>
      <c r="N512" s="7" t="s">
        <v>21</v>
      </c>
      <c r="O512" s="1">
        <f>TBL_Employees3[[#This Row],[Annual Salary]]+TBL_Employees3[[#This Row],[Bonus %]]*TBL_Employees3[[#This Row],[Annual Salary]]</f>
        <v>113887.59</v>
      </c>
      <c r="P512" t="str">
        <f>IF(AND(TBL_Employees3[[#This Row],[Department]]="IT",TBL_Employees3[[#This Row],[Gender]]="Female"),"Yes","No")</f>
        <v>No</v>
      </c>
      <c r="Q512" t="str">
        <f>IF(AND(TBL_Employees3[[#This Row],[Gender]]="Female",TBL_Employees3[[#This Row],[Ethnicity]]="Black"), "Female_Black", "Others")</f>
        <v>Others</v>
      </c>
      <c r="T512" t="str">
        <v>E01167</v>
      </c>
    </row>
    <row r="513" spans="1:20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7">
        <v>42129</v>
      </c>
      <c r="J513" s="1">
        <v>64364</v>
      </c>
      <c r="K513" s="2">
        <v>0</v>
      </c>
      <c r="L513" t="s">
        <v>52</v>
      </c>
      <c r="M513" t="s">
        <v>53</v>
      </c>
      <c r="N513" s="7" t="s">
        <v>21</v>
      </c>
      <c r="O513" s="1">
        <f>TBL_Employees3[[#This Row],[Annual Salary]]+TBL_Employees3[[#This Row],[Bonus %]]*TBL_Employees3[[#This Row],[Annual Salary]]</f>
        <v>64364</v>
      </c>
      <c r="P513" t="str">
        <f>IF(AND(TBL_Employees3[[#This Row],[Department]]="IT",TBL_Employees3[[#This Row],[Gender]]="Female"),"Yes","No")</f>
        <v>No</v>
      </c>
      <c r="Q513" t="str">
        <f>IF(AND(TBL_Employees3[[#This Row],[Gender]]="Female",TBL_Employees3[[#This Row],[Ethnicity]]="Black"), "Female_Black", "Others")</f>
        <v>Others</v>
      </c>
      <c r="T513" t="str">
        <v>E00099</v>
      </c>
    </row>
    <row r="514" spans="1:20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7">
        <v>44486</v>
      </c>
      <c r="J514" s="1">
        <v>172180</v>
      </c>
      <c r="K514" s="2">
        <v>0.3</v>
      </c>
      <c r="L514" t="s">
        <v>19</v>
      </c>
      <c r="M514" t="s">
        <v>29</v>
      </c>
      <c r="N514" s="7" t="s">
        <v>21</v>
      </c>
      <c r="O514" s="1">
        <f>TBL_Employees3[[#This Row],[Annual Salary]]+TBL_Employees3[[#This Row],[Bonus %]]*TBL_Employees3[[#This Row],[Annual Salary]]</f>
        <v>223834</v>
      </c>
      <c r="P514" t="str">
        <f>IF(AND(TBL_Employees3[[#This Row],[Department]]="IT",TBL_Employees3[[#This Row],[Gender]]="Female"),"Yes","No")</f>
        <v>No</v>
      </c>
      <c r="Q514" t="str">
        <f>IF(AND(TBL_Employees3[[#This Row],[Gender]]="Female",TBL_Employees3[[#This Row],[Ethnicity]]="Black"), "Female_Black", "Others")</f>
        <v>Others</v>
      </c>
      <c r="T514" t="str">
        <v>E00044</v>
      </c>
    </row>
    <row r="515" spans="1:20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7">
        <v>41043</v>
      </c>
      <c r="J515" s="1">
        <v>88343</v>
      </c>
      <c r="K515" s="2">
        <v>0</v>
      </c>
      <c r="L515" t="s">
        <v>52</v>
      </c>
      <c r="M515" t="s">
        <v>66</v>
      </c>
      <c r="N515" s="7" t="s">
        <v>21</v>
      </c>
      <c r="O515" s="1">
        <f>TBL_Employees3[[#This Row],[Annual Salary]]+TBL_Employees3[[#This Row],[Bonus %]]*TBL_Employees3[[#This Row],[Annual Salary]]</f>
        <v>88343</v>
      </c>
      <c r="P515" t="str">
        <f>IF(AND(TBL_Employees3[[#This Row],[Department]]="IT",TBL_Employees3[[#This Row],[Gender]]="Female"),"Yes","No")</f>
        <v>No</v>
      </c>
      <c r="Q515" t="str">
        <f>IF(AND(TBL_Employees3[[#This Row],[Gender]]="Female",TBL_Employees3[[#This Row],[Ethnicity]]="Black"), "Female_Black", "Others")</f>
        <v>Others</v>
      </c>
      <c r="T515" t="str">
        <v>E00711</v>
      </c>
    </row>
    <row r="516" spans="1:20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7">
        <v>41830</v>
      </c>
      <c r="J516" s="1">
        <v>66649</v>
      </c>
      <c r="K516" s="2">
        <v>0</v>
      </c>
      <c r="L516" t="s">
        <v>52</v>
      </c>
      <c r="M516" t="s">
        <v>66</v>
      </c>
      <c r="N516" s="7" t="s">
        <v>21</v>
      </c>
      <c r="O516" s="1">
        <f>TBL_Employees3[[#This Row],[Annual Salary]]+TBL_Employees3[[#This Row],[Bonus %]]*TBL_Employees3[[#This Row],[Annual Salary]]</f>
        <v>66649</v>
      </c>
      <c r="P516" t="str">
        <f>IF(AND(TBL_Employees3[[#This Row],[Department]]="IT",TBL_Employees3[[#This Row],[Gender]]="Female"),"Yes","No")</f>
        <v>No</v>
      </c>
      <c r="Q516" t="str">
        <f>IF(AND(TBL_Employees3[[#This Row],[Gender]]="Female",TBL_Employees3[[#This Row],[Ethnicity]]="Black"), "Female_Black", "Others")</f>
        <v>Others</v>
      </c>
      <c r="T516" t="str">
        <v>E04795</v>
      </c>
    </row>
    <row r="517" spans="1:20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7">
        <v>36272</v>
      </c>
      <c r="J517" s="1">
        <v>102847</v>
      </c>
      <c r="K517" s="2">
        <v>0.05</v>
      </c>
      <c r="L517" t="s">
        <v>19</v>
      </c>
      <c r="M517" t="s">
        <v>20</v>
      </c>
      <c r="N517" s="7" t="s">
        <v>21</v>
      </c>
      <c r="O517" s="1">
        <f>TBL_Employees3[[#This Row],[Annual Salary]]+TBL_Employees3[[#This Row],[Bonus %]]*TBL_Employees3[[#This Row],[Annual Salary]]</f>
        <v>107989.35</v>
      </c>
      <c r="P517" t="str">
        <f>IF(AND(TBL_Employees3[[#This Row],[Department]]="IT",TBL_Employees3[[#This Row],[Gender]]="Female"),"Yes","No")</f>
        <v>No</v>
      </c>
      <c r="Q517" t="str">
        <f>IF(AND(TBL_Employees3[[#This Row],[Gender]]="Female",TBL_Employees3[[#This Row],[Ethnicity]]="Black"), "Female_Black", "Others")</f>
        <v>Others</v>
      </c>
      <c r="T517" t="str">
        <v>E03912</v>
      </c>
    </row>
    <row r="518" spans="1:20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7">
        <v>40378</v>
      </c>
      <c r="J518" s="1">
        <v>134881</v>
      </c>
      <c r="K518" s="2">
        <v>0.15</v>
      </c>
      <c r="L518" t="s">
        <v>52</v>
      </c>
      <c r="M518" t="s">
        <v>81</v>
      </c>
      <c r="N518" s="7" t="s">
        <v>21</v>
      </c>
      <c r="O518" s="1">
        <f>TBL_Employees3[[#This Row],[Annual Salary]]+TBL_Employees3[[#This Row],[Bonus %]]*TBL_Employees3[[#This Row],[Annual Salary]]</f>
        <v>155113.15</v>
      </c>
      <c r="P518" t="str">
        <f>IF(AND(TBL_Employees3[[#This Row],[Department]]="IT",TBL_Employees3[[#This Row],[Gender]]="Female"),"Yes","No")</f>
        <v>No</v>
      </c>
      <c r="Q518" t="str">
        <f>IF(AND(TBL_Employees3[[#This Row],[Gender]]="Female",TBL_Employees3[[#This Row],[Ethnicity]]="Black"), "Female_Black", "Others")</f>
        <v>Others</v>
      </c>
      <c r="T518" t="str">
        <v>E02103</v>
      </c>
    </row>
    <row r="519" spans="1:20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7">
        <v>36303</v>
      </c>
      <c r="J519" s="1">
        <v>68807</v>
      </c>
      <c r="K519" s="2">
        <v>0</v>
      </c>
      <c r="L519" t="s">
        <v>33</v>
      </c>
      <c r="M519" t="s">
        <v>34</v>
      </c>
      <c r="N519" s="7">
        <v>42338</v>
      </c>
      <c r="O519" s="1">
        <f>TBL_Employees3[[#This Row],[Annual Salary]]+TBL_Employees3[[#This Row],[Bonus %]]*TBL_Employees3[[#This Row],[Annual Salary]]</f>
        <v>68807</v>
      </c>
      <c r="P519" t="str">
        <f>IF(AND(TBL_Employees3[[#This Row],[Department]]="IT",TBL_Employees3[[#This Row],[Gender]]="Female"),"Yes","No")</f>
        <v>No</v>
      </c>
      <c r="Q519" t="str">
        <f>IF(AND(TBL_Employees3[[#This Row],[Gender]]="Female",TBL_Employees3[[#This Row],[Ethnicity]]="Black"), "Female_Black", "Others")</f>
        <v>Others</v>
      </c>
      <c r="T519" t="str">
        <v>E04213</v>
      </c>
    </row>
    <row r="520" spans="1:20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7">
        <v>38866</v>
      </c>
      <c r="J520" s="1">
        <v>228822</v>
      </c>
      <c r="K520" s="2">
        <v>0.36</v>
      </c>
      <c r="L520" t="s">
        <v>19</v>
      </c>
      <c r="M520" t="s">
        <v>45</v>
      </c>
      <c r="N520" s="7" t="s">
        <v>21</v>
      </c>
      <c r="O520" s="1">
        <f>TBL_Employees3[[#This Row],[Annual Salary]]+TBL_Employees3[[#This Row],[Bonus %]]*TBL_Employees3[[#This Row],[Annual Salary]]</f>
        <v>311197.92</v>
      </c>
      <c r="P520" t="str">
        <f>IF(AND(TBL_Employees3[[#This Row],[Department]]="IT",TBL_Employees3[[#This Row],[Gender]]="Female"),"Yes","No")</f>
        <v>No</v>
      </c>
      <c r="Q520" t="str">
        <f>IF(AND(TBL_Employees3[[#This Row],[Gender]]="Female",TBL_Employees3[[#This Row],[Ethnicity]]="Black"), "Female_Black", "Others")</f>
        <v>Others</v>
      </c>
      <c r="T520" t="str">
        <v>E04756</v>
      </c>
    </row>
    <row r="521" spans="1:20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7">
        <v>44395</v>
      </c>
      <c r="J521" s="1">
        <v>43391</v>
      </c>
      <c r="K521" s="2">
        <v>0</v>
      </c>
      <c r="L521" t="s">
        <v>19</v>
      </c>
      <c r="M521" t="s">
        <v>29</v>
      </c>
      <c r="N521" s="7" t="s">
        <v>21</v>
      </c>
      <c r="O521" s="1">
        <f>TBL_Employees3[[#This Row],[Annual Salary]]+TBL_Employees3[[#This Row],[Bonus %]]*TBL_Employees3[[#This Row],[Annual Salary]]</f>
        <v>43391</v>
      </c>
      <c r="P521" t="str">
        <f>IF(AND(TBL_Employees3[[#This Row],[Department]]="IT",TBL_Employees3[[#This Row],[Gender]]="Female"),"Yes","No")</f>
        <v>No</v>
      </c>
      <c r="Q521" t="str">
        <f>IF(AND(TBL_Employees3[[#This Row],[Gender]]="Female",TBL_Employees3[[#This Row],[Ethnicity]]="Black"), "Female_Black", "Others")</f>
        <v>Others</v>
      </c>
      <c r="T521" t="str">
        <v>E04114</v>
      </c>
    </row>
    <row r="522" spans="1:20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7">
        <v>44515</v>
      </c>
      <c r="J522" s="1">
        <v>91782</v>
      </c>
      <c r="K522" s="2">
        <v>0</v>
      </c>
      <c r="L522" t="s">
        <v>33</v>
      </c>
      <c r="M522" t="s">
        <v>80</v>
      </c>
      <c r="N522" s="7" t="s">
        <v>21</v>
      </c>
      <c r="O522" s="1">
        <f>TBL_Employees3[[#This Row],[Annual Salary]]+TBL_Employees3[[#This Row],[Bonus %]]*TBL_Employees3[[#This Row],[Annual Salary]]</f>
        <v>91782</v>
      </c>
      <c r="P522" t="str">
        <f>IF(AND(TBL_Employees3[[#This Row],[Department]]="IT",TBL_Employees3[[#This Row],[Gender]]="Female"),"Yes","No")</f>
        <v>No</v>
      </c>
      <c r="Q522" t="str">
        <f>IF(AND(TBL_Employees3[[#This Row],[Gender]]="Female",TBL_Employees3[[#This Row],[Ethnicity]]="Black"), "Female_Black", "Others")</f>
        <v>Others</v>
      </c>
      <c r="T522" t="str">
        <v>E01423</v>
      </c>
    </row>
    <row r="523" spans="1:20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7">
        <v>42428</v>
      </c>
      <c r="J523" s="1">
        <v>211637</v>
      </c>
      <c r="K523" s="2">
        <v>0.31</v>
      </c>
      <c r="L523" t="s">
        <v>19</v>
      </c>
      <c r="M523" t="s">
        <v>20</v>
      </c>
      <c r="N523" s="7" t="s">
        <v>21</v>
      </c>
      <c r="O523" s="1">
        <f>TBL_Employees3[[#This Row],[Annual Salary]]+TBL_Employees3[[#This Row],[Bonus %]]*TBL_Employees3[[#This Row],[Annual Salary]]</f>
        <v>277244.46999999997</v>
      </c>
      <c r="P523" t="str">
        <f>IF(AND(TBL_Employees3[[#This Row],[Department]]="IT",TBL_Employees3[[#This Row],[Gender]]="Female"),"Yes","No")</f>
        <v>No</v>
      </c>
      <c r="Q523" t="str">
        <f>IF(AND(TBL_Employees3[[#This Row],[Gender]]="Female",TBL_Employees3[[#This Row],[Ethnicity]]="Black"), "Female_Black", "Others")</f>
        <v>Others</v>
      </c>
      <c r="T523" t="str">
        <v>E03181</v>
      </c>
    </row>
    <row r="524" spans="1:20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7">
        <v>44051</v>
      </c>
      <c r="J524" s="1">
        <v>73255</v>
      </c>
      <c r="K524" s="2">
        <v>0.09</v>
      </c>
      <c r="L524" t="s">
        <v>19</v>
      </c>
      <c r="M524" t="s">
        <v>39</v>
      </c>
      <c r="N524" s="7" t="s">
        <v>21</v>
      </c>
      <c r="O524" s="1">
        <f>TBL_Employees3[[#This Row],[Annual Salary]]+TBL_Employees3[[#This Row],[Bonus %]]*TBL_Employees3[[#This Row],[Annual Salary]]</f>
        <v>79847.95</v>
      </c>
      <c r="P524" t="str">
        <f>IF(AND(TBL_Employees3[[#This Row],[Department]]="IT",TBL_Employees3[[#This Row],[Gender]]="Female"),"Yes","No")</f>
        <v>No</v>
      </c>
      <c r="Q524" t="str">
        <f>IF(AND(TBL_Employees3[[#This Row],[Gender]]="Female",TBL_Employees3[[#This Row],[Ethnicity]]="Black"), "Female_Black", "Others")</f>
        <v>Others</v>
      </c>
      <c r="T524" t="str">
        <v>E03305</v>
      </c>
    </row>
    <row r="525" spans="1:20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7">
        <v>44204</v>
      </c>
      <c r="J525" s="1">
        <v>108826</v>
      </c>
      <c r="K525" s="2">
        <v>0.1</v>
      </c>
      <c r="L525" t="s">
        <v>19</v>
      </c>
      <c r="M525" t="s">
        <v>45</v>
      </c>
      <c r="N525" s="7" t="s">
        <v>21</v>
      </c>
      <c r="O525" s="1">
        <f>TBL_Employees3[[#This Row],[Annual Salary]]+TBL_Employees3[[#This Row],[Bonus %]]*TBL_Employees3[[#This Row],[Annual Salary]]</f>
        <v>119708.6</v>
      </c>
      <c r="P525" t="str">
        <f>IF(AND(TBL_Employees3[[#This Row],[Department]]="IT",TBL_Employees3[[#This Row],[Gender]]="Female"),"Yes","No")</f>
        <v>No</v>
      </c>
      <c r="Q525" t="str">
        <f>IF(AND(TBL_Employees3[[#This Row],[Gender]]="Female",TBL_Employees3[[#This Row],[Ethnicity]]="Black"), "Female_Black", "Others")</f>
        <v>Others</v>
      </c>
      <c r="T525" t="str">
        <v>E00703</v>
      </c>
    </row>
    <row r="526" spans="1:20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7">
        <v>42514</v>
      </c>
      <c r="J526" s="1">
        <v>94352</v>
      </c>
      <c r="K526" s="2">
        <v>0</v>
      </c>
      <c r="L526" t="s">
        <v>19</v>
      </c>
      <c r="M526" t="s">
        <v>45</v>
      </c>
      <c r="N526" s="7" t="s">
        <v>21</v>
      </c>
      <c r="O526" s="1">
        <f>TBL_Employees3[[#This Row],[Annual Salary]]+TBL_Employees3[[#This Row],[Bonus %]]*TBL_Employees3[[#This Row],[Annual Salary]]</f>
        <v>94352</v>
      </c>
      <c r="P526" t="str">
        <f>IF(AND(TBL_Employees3[[#This Row],[Department]]="IT",TBL_Employees3[[#This Row],[Gender]]="Female"),"Yes","No")</f>
        <v>No</v>
      </c>
      <c r="Q526" t="str">
        <f>IF(AND(TBL_Employees3[[#This Row],[Gender]]="Female",TBL_Employees3[[#This Row],[Ethnicity]]="Black"), "Female_Black", "Others")</f>
        <v>Others</v>
      </c>
      <c r="T526" t="str">
        <v>E04403</v>
      </c>
    </row>
    <row r="527" spans="1:20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7">
        <v>34576</v>
      </c>
      <c r="J527" s="1">
        <v>73955</v>
      </c>
      <c r="K527" s="2">
        <v>0</v>
      </c>
      <c r="L527" t="s">
        <v>19</v>
      </c>
      <c r="M527" t="s">
        <v>39</v>
      </c>
      <c r="N527" s="7" t="s">
        <v>21</v>
      </c>
      <c r="O527" s="1">
        <f>TBL_Employees3[[#This Row],[Annual Salary]]+TBL_Employees3[[#This Row],[Bonus %]]*TBL_Employees3[[#This Row],[Annual Salary]]</f>
        <v>73955</v>
      </c>
      <c r="P527" t="str">
        <f>IF(AND(TBL_Employees3[[#This Row],[Department]]="IT",TBL_Employees3[[#This Row],[Gender]]="Female"),"Yes","No")</f>
        <v>Yes</v>
      </c>
      <c r="Q527" t="str">
        <f>IF(AND(TBL_Employees3[[#This Row],[Gender]]="Female",TBL_Employees3[[#This Row],[Ethnicity]]="Black"), "Female_Black", "Others")</f>
        <v>Others</v>
      </c>
      <c r="T527" t="str">
        <v>E00103</v>
      </c>
    </row>
    <row r="528" spans="1:20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7">
        <v>41499</v>
      </c>
      <c r="J528" s="1">
        <v>113909</v>
      </c>
      <c r="K528" s="2">
        <v>0.06</v>
      </c>
      <c r="L528" t="s">
        <v>52</v>
      </c>
      <c r="M528" t="s">
        <v>66</v>
      </c>
      <c r="N528" s="7" t="s">
        <v>21</v>
      </c>
      <c r="O528" s="1">
        <f>TBL_Employees3[[#This Row],[Annual Salary]]+TBL_Employees3[[#This Row],[Bonus %]]*TBL_Employees3[[#This Row],[Annual Salary]]</f>
        <v>120743.54</v>
      </c>
      <c r="P528" t="str">
        <f>IF(AND(TBL_Employees3[[#This Row],[Department]]="IT",TBL_Employees3[[#This Row],[Gender]]="Female"),"Yes","No")</f>
        <v>No</v>
      </c>
      <c r="Q528" t="str">
        <f>IF(AND(TBL_Employees3[[#This Row],[Gender]]="Female",TBL_Employees3[[#This Row],[Ethnicity]]="Black"), "Female_Black", "Others")</f>
        <v>Others</v>
      </c>
      <c r="T528" t="str">
        <v>E04487</v>
      </c>
    </row>
    <row r="529" spans="1:20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7">
        <v>44189</v>
      </c>
      <c r="J529" s="1">
        <v>92321</v>
      </c>
      <c r="K529" s="2">
        <v>0</v>
      </c>
      <c r="L529" t="s">
        <v>19</v>
      </c>
      <c r="M529" t="s">
        <v>20</v>
      </c>
      <c r="N529" s="7" t="s">
        <v>21</v>
      </c>
      <c r="O529" s="1">
        <f>TBL_Employees3[[#This Row],[Annual Salary]]+TBL_Employees3[[#This Row],[Bonus %]]*TBL_Employees3[[#This Row],[Annual Salary]]</f>
        <v>92321</v>
      </c>
      <c r="P529" t="str">
        <f>IF(AND(TBL_Employees3[[#This Row],[Department]]="IT",TBL_Employees3[[#This Row],[Gender]]="Female"),"Yes","No")</f>
        <v>No</v>
      </c>
      <c r="Q529" t="str">
        <f>IF(AND(TBL_Employees3[[#This Row],[Gender]]="Female",TBL_Employees3[[#This Row],[Ethnicity]]="Black"), "Female_Black", "Others")</f>
        <v>Others</v>
      </c>
      <c r="T529" t="str">
        <v>E02179</v>
      </c>
    </row>
    <row r="530" spans="1:20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7">
        <v>41417</v>
      </c>
      <c r="J530" s="1">
        <v>99557</v>
      </c>
      <c r="K530" s="2">
        <v>0.09</v>
      </c>
      <c r="L530" t="s">
        <v>19</v>
      </c>
      <c r="M530" t="s">
        <v>63</v>
      </c>
      <c r="N530" s="7" t="s">
        <v>21</v>
      </c>
      <c r="O530" s="1">
        <f>TBL_Employees3[[#This Row],[Annual Salary]]+TBL_Employees3[[#This Row],[Bonus %]]*TBL_Employees3[[#This Row],[Annual Salary]]</f>
        <v>108517.13</v>
      </c>
      <c r="P530" t="str">
        <f>IF(AND(TBL_Employees3[[#This Row],[Department]]="IT",TBL_Employees3[[#This Row],[Gender]]="Female"),"Yes","No")</f>
        <v>No</v>
      </c>
      <c r="Q530" t="str">
        <f>IF(AND(TBL_Employees3[[#This Row],[Gender]]="Female",TBL_Employees3[[#This Row],[Ethnicity]]="Black"), "Female_Black", "Others")</f>
        <v>Others</v>
      </c>
      <c r="T530" t="str">
        <v>E04242</v>
      </c>
    </row>
    <row r="531" spans="1:20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7">
        <v>43418</v>
      </c>
      <c r="J531" s="1">
        <v>115854</v>
      </c>
      <c r="K531" s="2">
        <v>0</v>
      </c>
      <c r="L531" t="s">
        <v>19</v>
      </c>
      <c r="M531" t="s">
        <v>39</v>
      </c>
      <c r="N531" s="7" t="s">
        <v>21</v>
      </c>
      <c r="O531" s="1">
        <f>TBL_Employees3[[#This Row],[Annual Salary]]+TBL_Employees3[[#This Row],[Bonus %]]*TBL_Employees3[[#This Row],[Annual Salary]]</f>
        <v>115854</v>
      </c>
      <c r="P531" t="str">
        <f>IF(AND(TBL_Employees3[[#This Row],[Department]]="IT",TBL_Employees3[[#This Row],[Gender]]="Female"),"Yes","No")</f>
        <v>No</v>
      </c>
      <c r="Q531" t="str">
        <f>IF(AND(TBL_Employees3[[#This Row],[Gender]]="Female",TBL_Employees3[[#This Row],[Ethnicity]]="Black"), "Female_Black", "Others")</f>
        <v>Others</v>
      </c>
      <c r="T531" t="str">
        <v>E01371</v>
      </c>
    </row>
    <row r="532" spans="1:20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7">
        <v>40603</v>
      </c>
      <c r="J532" s="1">
        <v>82462</v>
      </c>
      <c r="K532" s="2">
        <v>0</v>
      </c>
      <c r="L532" t="s">
        <v>19</v>
      </c>
      <c r="M532" t="s">
        <v>25</v>
      </c>
      <c r="N532" s="7" t="s">
        <v>21</v>
      </c>
      <c r="O532" s="1">
        <f>TBL_Employees3[[#This Row],[Annual Salary]]+TBL_Employees3[[#This Row],[Bonus %]]*TBL_Employees3[[#This Row],[Annual Salary]]</f>
        <v>82462</v>
      </c>
      <c r="P532" t="str">
        <f>IF(AND(TBL_Employees3[[#This Row],[Department]]="IT",TBL_Employees3[[#This Row],[Gender]]="Female"),"Yes","No")</f>
        <v>Yes</v>
      </c>
      <c r="Q532" t="str">
        <f>IF(AND(TBL_Employees3[[#This Row],[Gender]]="Female",TBL_Employees3[[#This Row],[Ethnicity]]="Black"), "Female_Black", "Others")</f>
        <v>Others</v>
      </c>
      <c r="T532" t="str">
        <v>E03065</v>
      </c>
    </row>
    <row r="533" spans="1:20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7">
        <v>40856</v>
      </c>
      <c r="J533" s="1">
        <v>198473</v>
      </c>
      <c r="K533" s="2">
        <v>0.32</v>
      </c>
      <c r="L533" t="s">
        <v>19</v>
      </c>
      <c r="M533" t="s">
        <v>45</v>
      </c>
      <c r="N533" s="7" t="s">
        <v>21</v>
      </c>
      <c r="O533" s="1">
        <f>TBL_Employees3[[#This Row],[Annual Salary]]+TBL_Employees3[[#This Row],[Bonus %]]*TBL_Employees3[[#This Row],[Annual Salary]]</f>
        <v>261984.36</v>
      </c>
      <c r="P533" t="str">
        <f>IF(AND(TBL_Employees3[[#This Row],[Department]]="IT",TBL_Employees3[[#This Row],[Gender]]="Female"),"Yes","No")</f>
        <v>Yes</v>
      </c>
      <c r="Q533" t="str">
        <f>IF(AND(TBL_Employees3[[#This Row],[Gender]]="Female",TBL_Employees3[[#This Row],[Ethnicity]]="Black"), "Female_Black", "Others")</f>
        <v>Others</v>
      </c>
      <c r="T533" t="str">
        <v>E01377</v>
      </c>
    </row>
    <row r="534" spans="1:20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7">
        <v>39005</v>
      </c>
      <c r="J534" s="1">
        <v>153492</v>
      </c>
      <c r="K534" s="2">
        <v>0.11</v>
      </c>
      <c r="L534" t="s">
        <v>19</v>
      </c>
      <c r="M534" t="s">
        <v>20</v>
      </c>
      <c r="N534" s="7" t="s">
        <v>21</v>
      </c>
      <c r="O534" s="1">
        <f>TBL_Employees3[[#This Row],[Annual Salary]]+TBL_Employees3[[#This Row],[Bonus %]]*TBL_Employees3[[#This Row],[Annual Salary]]</f>
        <v>170376.12</v>
      </c>
      <c r="P534" t="str">
        <f>IF(AND(TBL_Employees3[[#This Row],[Department]]="IT",TBL_Employees3[[#This Row],[Gender]]="Female"),"Yes","No")</f>
        <v>No</v>
      </c>
      <c r="Q534" t="str">
        <f>IF(AND(TBL_Employees3[[#This Row],[Gender]]="Female",TBL_Employees3[[#This Row],[Ethnicity]]="Black"), "Female_Black", "Others")</f>
        <v>Others</v>
      </c>
      <c r="T534" t="str">
        <v>E03097</v>
      </c>
    </row>
    <row r="535" spans="1:20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7">
        <v>43121</v>
      </c>
      <c r="J535" s="1">
        <v>208210</v>
      </c>
      <c r="K535" s="2">
        <v>0.3</v>
      </c>
      <c r="L535" t="s">
        <v>19</v>
      </c>
      <c r="M535" t="s">
        <v>63</v>
      </c>
      <c r="N535" s="7" t="s">
        <v>21</v>
      </c>
      <c r="O535" s="1">
        <f>TBL_Employees3[[#This Row],[Annual Salary]]+TBL_Employees3[[#This Row],[Bonus %]]*TBL_Employees3[[#This Row],[Annual Salary]]</f>
        <v>270673</v>
      </c>
      <c r="P535" t="str">
        <f>IF(AND(TBL_Employees3[[#This Row],[Department]]="IT",TBL_Employees3[[#This Row],[Gender]]="Female"),"Yes","No")</f>
        <v>No</v>
      </c>
      <c r="Q535" t="str">
        <f>IF(AND(TBL_Employees3[[#This Row],[Gender]]="Female",TBL_Employees3[[#This Row],[Ethnicity]]="Black"), "Female_Black", "Others")</f>
        <v>Female_Black</v>
      </c>
      <c r="T535" t="str">
        <v>E01668</v>
      </c>
    </row>
    <row r="536" spans="1:20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7">
        <v>42325</v>
      </c>
      <c r="J536" s="1">
        <v>91632</v>
      </c>
      <c r="K536" s="2">
        <v>0</v>
      </c>
      <c r="L536" t="s">
        <v>19</v>
      </c>
      <c r="M536" t="s">
        <v>39</v>
      </c>
      <c r="N536" s="7" t="s">
        <v>21</v>
      </c>
      <c r="O536" s="1">
        <f>TBL_Employees3[[#This Row],[Annual Salary]]+TBL_Employees3[[#This Row],[Bonus %]]*TBL_Employees3[[#This Row],[Annual Salary]]</f>
        <v>91632</v>
      </c>
      <c r="P536" t="str">
        <f>IF(AND(TBL_Employees3[[#This Row],[Department]]="IT",TBL_Employees3[[#This Row],[Gender]]="Female"),"Yes","No")</f>
        <v>No</v>
      </c>
      <c r="Q536" t="str">
        <f>IF(AND(TBL_Employees3[[#This Row],[Gender]]="Female",TBL_Employees3[[#This Row],[Ethnicity]]="Black"), "Female_Black", "Others")</f>
        <v>Others</v>
      </c>
      <c r="T536" t="str">
        <v>E03354</v>
      </c>
    </row>
    <row r="537" spans="1:20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7">
        <v>43002</v>
      </c>
      <c r="J537" s="1">
        <v>71755</v>
      </c>
      <c r="K537" s="2">
        <v>0</v>
      </c>
      <c r="L537" t="s">
        <v>33</v>
      </c>
      <c r="M537" t="s">
        <v>80</v>
      </c>
      <c r="N537" s="7" t="s">
        <v>21</v>
      </c>
      <c r="O537" s="1">
        <f>TBL_Employees3[[#This Row],[Annual Salary]]+TBL_Employees3[[#This Row],[Bonus %]]*TBL_Employees3[[#This Row],[Annual Salary]]</f>
        <v>71755</v>
      </c>
      <c r="P537" t="str">
        <f>IF(AND(TBL_Employees3[[#This Row],[Department]]="IT",TBL_Employees3[[#This Row],[Gender]]="Female"),"Yes","No")</f>
        <v>No</v>
      </c>
      <c r="Q537" t="str">
        <f>IF(AND(TBL_Employees3[[#This Row],[Gender]]="Female",TBL_Employees3[[#This Row],[Ethnicity]]="Black"), "Female_Black", "Others")</f>
        <v>Others</v>
      </c>
      <c r="T537" t="str">
        <v>E02088</v>
      </c>
    </row>
    <row r="538" spans="1:20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7">
        <v>44519</v>
      </c>
      <c r="J538" s="1">
        <v>111006</v>
      </c>
      <c r="K538" s="2">
        <v>0.08</v>
      </c>
      <c r="L538" t="s">
        <v>33</v>
      </c>
      <c r="M538" t="s">
        <v>80</v>
      </c>
      <c r="N538" s="7" t="s">
        <v>21</v>
      </c>
      <c r="O538" s="1">
        <f>TBL_Employees3[[#This Row],[Annual Salary]]+TBL_Employees3[[#This Row],[Bonus %]]*TBL_Employees3[[#This Row],[Annual Salary]]</f>
        <v>119886.48</v>
      </c>
      <c r="P538" t="str">
        <f>IF(AND(TBL_Employees3[[#This Row],[Department]]="IT",TBL_Employees3[[#This Row],[Gender]]="Female"),"Yes","No")</f>
        <v>No</v>
      </c>
      <c r="Q538" t="str">
        <f>IF(AND(TBL_Employees3[[#This Row],[Gender]]="Female",TBL_Employees3[[#This Row],[Ethnicity]]="Black"), "Female_Black", "Others")</f>
        <v>Others</v>
      </c>
      <c r="T538" t="str">
        <v>E03980</v>
      </c>
    </row>
    <row r="539" spans="1:20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7">
        <v>34692</v>
      </c>
      <c r="J539" s="1">
        <v>99774</v>
      </c>
      <c r="K539" s="2">
        <v>0</v>
      </c>
      <c r="L539" t="s">
        <v>19</v>
      </c>
      <c r="M539" t="s">
        <v>25</v>
      </c>
      <c r="N539" s="7" t="s">
        <v>21</v>
      </c>
      <c r="O539" s="1">
        <f>TBL_Employees3[[#This Row],[Annual Salary]]+TBL_Employees3[[#This Row],[Bonus %]]*TBL_Employees3[[#This Row],[Annual Salary]]</f>
        <v>99774</v>
      </c>
      <c r="P539" t="str">
        <f>IF(AND(TBL_Employees3[[#This Row],[Department]]="IT",TBL_Employees3[[#This Row],[Gender]]="Female"),"Yes","No")</f>
        <v>No</v>
      </c>
      <c r="Q539" t="str">
        <f>IF(AND(TBL_Employees3[[#This Row],[Gender]]="Female",TBL_Employees3[[#This Row],[Ethnicity]]="Black"), "Female_Black", "Others")</f>
        <v>Others</v>
      </c>
      <c r="T539" t="str">
        <v>E00824</v>
      </c>
    </row>
    <row r="540" spans="1:20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7">
        <v>39154</v>
      </c>
      <c r="J540" s="1">
        <v>184648</v>
      </c>
      <c r="K540" s="2">
        <v>0.24</v>
      </c>
      <c r="L540" t="s">
        <v>33</v>
      </c>
      <c r="M540" t="s">
        <v>74</v>
      </c>
      <c r="N540" s="7" t="s">
        <v>21</v>
      </c>
      <c r="O540" s="1">
        <f>TBL_Employees3[[#This Row],[Annual Salary]]+TBL_Employees3[[#This Row],[Bonus %]]*TBL_Employees3[[#This Row],[Annual Salary]]</f>
        <v>228963.52</v>
      </c>
      <c r="P540" t="str">
        <f>IF(AND(TBL_Employees3[[#This Row],[Department]]="IT",TBL_Employees3[[#This Row],[Gender]]="Female"),"Yes","No")</f>
        <v>No</v>
      </c>
      <c r="Q540" t="str">
        <f>IF(AND(TBL_Employees3[[#This Row],[Gender]]="Female",TBL_Employees3[[#This Row],[Ethnicity]]="Black"), "Female_Black", "Others")</f>
        <v>Others</v>
      </c>
      <c r="T540" t="str">
        <v>E03113</v>
      </c>
    </row>
    <row r="541" spans="1:20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7">
        <v>37091</v>
      </c>
      <c r="J541" s="1">
        <v>247874</v>
      </c>
      <c r="K541" s="2">
        <v>0.33</v>
      </c>
      <c r="L541" t="s">
        <v>52</v>
      </c>
      <c r="M541" t="s">
        <v>81</v>
      </c>
      <c r="N541" s="7" t="s">
        <v>21</v>
      </c>
      <c r="O541" s="1">
        <f>TBL_Employees3[[#This Row],[Annual Salary]]+TBL_Employees3[[#This Row],[Bonus %]]*TBL_Employees3[[#This Row],[Annual Salary]]</f>
        <v>329672.42</v>
      </c>
      <c r="P541" t="str">
        <f>IF(AND(TBL_Employees3[[#This Row],[Department]]="IT",TBL_Employees3[[#This Row],[Gender]]="Female"),"Yes","No")</f>
        <v>No</v>
      </c>
      <c r="Q541" t="str">
        <f>IF(AND(TBL_Employees3[[#This Row],[Gender]]="Female",TBL_Employees3[[#This Row],[Ethnicity]]="Black"), "Female_Black", "Others")</f>
        <v>Others</v>
      </c>
      <c r="T541" t="str">
        <v>E01488</v>
      </c>
    </row>
    <row r="542" spans="1:20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7">
        <v>39944</v>
      </c>
      <c r="J542" s="1">
        <v>62239</v>
      </c>
      <c r="K542" s="2">
        <v>0</v>
      </c>
      <c r="L542" t="s">
        <v>33</v>
      </c>
      <c r="M542" t="s">
        <v>60</v>
      </c>
      <c r="N542" s="7" t="s">
        <v>21</v>
      </c>
      <c r="O542" s="1">
        <f>TBL_Employees3[[#This Row],[Annual Salary]]+TBL_Employees3[[#This Row],[Bonus %]]*TBL_Employees3[[#This Row],[Annual Salary]]</f>
        <v>62239</v>
      </c>
      <c r="P542" t="str">
        <f>IF(AND(TBL_Employees3[[#This Row],[Department]]="IT",TBL_Employees3[[#This Row],[Gender]]="Female"),"Yes","No")</f>
        <v>No</v>
      </c>
      <c r="Q542" t="str">
        <f>IF(AND(TBL_Employees3[[#This Row],[Gender]]="Female",TBL_Employees3[[#This Row],[Ethnicity]]="Black"), "Female_Black", "Others")</f>
        <v>Others</v>
      </c>
      <c r="T542" t="str">
        <v>E01787</v>
      </c>
    </row>
    <row r="543" spans="1:20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7">
        <v>41919</v>
      </c>
      <c r="J543" s="1">
        <v>114911</v>
      </c>
      <c r="K543" s="2">
        <v>7.0000000000000007E-2</v>
      </c>
      <c r="L543" t="s">
        <v>19</v>
      </c>
      <c r="M543" t="s">
        <v>20</v>
      </c>
      <c r="N543" s="7" t="s">
        <v>21</v>
      </c>
      <c r="O543" s="1">
        <f>TBL_Employees3[[#This Row],[Annual Salary]]+TBL_Employees3[[#This Row],[Bonus %]]*TBL_Employees3[[#This Row],[Annual Salary]]</f>
        <v>122954.77</v>
      </c>
      <c r="P543" t="str">
        <f>IF(AND(TBL_Employees3[[#This Row],[Department]]="IT",TBL_Employees3[[#This Row],[Gender]]="Female"),"Yes","No")</f>
        <v>No</v>
      </c>
      <c r="Q543" t="str">
        <f>IF(AND(TBL_Employees3[[#This Row],[Gender]]="Female",TBL_Employees3[[#This Row],[Ethnicity]]="Black"), "Female_Black", "Others")</f>
        <v>Others</v>
      </c>
      <c r="T543" t="str">
        <v>E03550</v>
      </c>
    </row>
    <row r="544" spans="1:20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7">
        <v>43217</v>
      </c>
      <c r="J544" s="1">
        <v>115490</v>
      </c>
      <c r="K544" s="2">
        <v>0.12</v>
      </c>
      <c r="L544" t="s">
        <v>19</v>
      </c>
      <c r="M544" t="s">
        <v>20</v>
      </c>
      <c r="N544" s="7" t="s">
        <v>21</v>
      </c>
      <c r="O544" s="1">
        <f>TBL_Employees3[[#This Row],[Annual Salary]]+TBL_Employees3[[#This Row],[Bonus %]]*TBL_Employees3[[#This Row],[Annual Salary]]</f>
        <v>129348.8</v>
      </c>
      <c r="P544" t="str">
        <f>IF(AND(TBL_Employees3[[#This Row],[Department]]="IT",TBL_Employees3[[#This Row],[Gender]]="Female"),"Yes","No")</f>
        <v>No</v>
      </c>
      <c r="Q544" t="str">
        <f>IF(AND(TBL_Employees3[[#This Row],[Gender]]="Female",TBL_Employees3[[#This Row],[Ethnicity]]="Black"), "Female_Black", "Others")</f>
        <v>Others</v>
      </c>
      <c r="T544" t="str">
        <v>E04799</v>
      </c>
    </row>
    <row r="545" spans="1:20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7">
        <v>40952</v>
      </c>
      <c r="J545" s="1">
        <v>118708</v>
      </c>
      <c r="K545" s="2">
        <v>7.0000000000000007E-2</v>
      </c>
      <c r="L545" t="s">
        <v>33</v>
      </c>
      <c r="M545" t="s">
        <v>74</v>
      </c>
      <c r="N545" s="7" t="s">
        <v>21</v>
      </c>
      <c r="O545" s="1">
        <f>TBL_Employees3[[#This Row],[Annual Salary]]+TBL_Employees3[[#This Row],[Bonus %]]*TBL_Employees3[[#This Row],[Annual Salary]]</f>
        <v>127017.56</v>
      </c>
      <c r="P545" t="str">
        <f>IF(AND(TBL_Employees3[[#This Row],[Department]]="IT",TBL_Employees3[[#This Row],[Gender]]="Female"),"Yes","No")</f>
        <v>No</v>
      </c>
      <c r="Q545" t="str">
        <f>IF(AND(TBL_Employees3[[#This Row],[Gender]]="Female",TBL_Employees3[[#This Row],[Ethnicity]]="Black"), "Female_Black", "Others")</f>
        <v>Others</v>
      </c>
      <c r="T545" t="str">
        <v>E03402</v>
      </c>
    </row>
    <row r="546" spans="1:20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7">
        <v>42914</v>
      </c>
      <c r="J546" s="1">
        <v>197649</v>
      </c>
      <c r="K546" s="2">
        <v>0.2</v>
      </c>
      <c r="L546" t="s">
        <v>19</v>
      </c>
      <c r="M546" t="s">
        <v>29</v>
      </c>
      <c r="N546" s="7" t="s">
        <v>21</v>
      </c>
      <c r="O546" s="1">
        <f>TBL_Employees3[[#This Row],[Annual Salary]]+TBL_Employees3[[#This Row],[Bonus %]]*TBL_Employees3[[#This Row],[Annual Salary]]</f>
        <v>237178.8</v>
      </c>
      <c r="P546" t="str">
        <f>IF(AND(TBL_Employees3[[#This Row],[Department]]="IT",TBL_Employees3[[#This Row],[Gender]]="Female"),"Yes","No")</f>
        <v>No</v>
      </c>
      <c r="Q546" t="str">
        <f>IF(AND(TBL_Employees3[[#This Row],[Gender]]="Female",TBL_Employees3[[#This Row],[Ethnicity]]="Black"), "Female_Black", "Others")</f>
        <v>Others</v>
      </c>
      <c r="T546" t="str">
        <v>E04128</v>
      </c>
    </row>
    <row r="547" spans="1:20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7">
        <v>43999</v>
      </c>
      <c r="J547" s="1">
        <v>89841</v>
      </c>
      <c r="K547" s="2">
        <v>0</v>
      </c>
      <c r="L547" t="s">
        <v>33</v>
      </c>
      <c r="M547" t="s">
        <v>60</v>
      </c>
      <c r="N547" s="7" t="s">
        <v>21</v>
      </c>
      <c r="O547" s="1">
        <f>TBL_Employees3[[#This Row],[Annual Salary]]+TBL_Employees3[[#This Row],[Bonus %]]*TBL_Employees3[[#This Row],[Annual Salary]]</f>
        <v>89841</v>
      </c>
      <c r="P547" t="str">
        <f>IF(AND(TBL_Employees3[[#This Row],[Department]]="IT",TBL_Employees3[[#This Row],[Gender]]="Female"),"Yes","No")</f>
        <v>No</v>
      </c>
      <c r="Q547" t="str">
        <f>IF(AND(TBL_Employees3[[#This Row],[Gender]]="Female",TBL_Employees3[[#This Row],[Ethnicity]]="Black"), "Female_Black", "Others")</f>
        <v>Others</v>
      </c>
      <c r="T547" t="str">
        <v>E03114</v>
      </c>
    </row>
    <row r="548" spans="1:20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7">
        <v>43819</v>
      </c>
      <c r="J548" s="1">
        <v>61026</v>
      </c>
      <c r="K548" s="2">
        <v>0</v>
      </c>
      <c r="L548" t="s">
        <v>19</v>
      </c>
      <c r="M548" t="s">
        <v>39</v>
      </c>
      <c r="N548" s="7" t="s">
        <v>21</v>
      </c>
      <c r="O548" s="1">
        <f>TBL_Employees3[[#This Row],[Annual Salary]]+TBL_Employees3[[#This Row],[Bonus %]]*TBL_Employees3[[#This Row],[Annual Salary]]</f>
        <v>61026</v>
      </c>
      <c r="P548" t="str">
        <f>IF(AND(TBL_Employees3[[#This Row],[Department]]="IT",TBL_Employees3[[#This Row],[Gender]]="Female"),"Yes","No")</f>
        <v>No</v>
      </c>
      <c r="Q548" t="str">
        <f>IF(AND(TBL_Employees3[[#This Row],[Gender]]="Female",TBL_Employees3[[#This Row],[Ethnicity]]="Black"), "Female_Black", "Others")</f>
        <v>Others</v>
      </c>
      <c r="T548" t="str">
        <v>E04004</v>
      </c>
    </row>
    <row r="549" spans="1:20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7">
        <v>41907</v>
      </c>
      <c r="J549" s="1">
        <v>96693</v>
      </c>
      <c r="K549" s="2">
        <v>0</v>
      </c>
      <c r="L549" t="s">
        <v>19</v>
      </c>
      <c r="M549" t="s">
        <v>20</v>
      </c>
      <c r="N549" s="7" t="s">
        <v>21</v>
      </c>
      <c r="O549" s="1">
        <f>TBL_Employees3[[#This Row],[Annual Salary]]+TBL_Employees3[[#This Row],[Bonus %]]*TBL_Employees3[[#This Row],[Annual Salary]]</f>
        <v>96693</v>
      </c>
      <c r="P549" t="str">
        <f>IF(AND(TBL_Employees3[[#This Row],[Department]]="IT",TBL_Employees3[[#This Row],[Gender]]="Female"),"Yes","No")</f>
        <v>No</v>
      </c>
      <c r="Q549" t="str">
        <f>IF(AND(TBL_Employees3[[#This Row],[Gender]]="Female",TBL_Employees3[[#This Row],[Ethnicity]]="Black"), "Female_Black", "Others")</f>
        <v>Others</v>
      </c>
      <c r="T549" t="str">
        <v>E04472</v>
      </c>
    </row>
    <row r="550" spans="1:20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7">
        <v>39991</v>
      </c>
      <c r="J550" s="1">
        <v>82907</v>
      </c>
      <c r="K550" s="2">
        <v>0</v>
      </c>
      <c r="L550" t="s">
        <v>19</v>
      </c>
      <c r="M550" t="s">
        <v>63</v>
      </c>
      <c r="N550" s="7" t="s">
        <v>21</v>
      </c>
      <c r="O550" s="1">
        <f>TBL_Employees3[[#This Row],[Annual Salary]]+TBL_Employees3[[#This Row],[Bonus %]]*TBL_Employees3[[#This Row],[Annual Salary]]</f>
        <v>82907</v>
      </c>
      <c r="P550" t="str">
        <f>IF(AND(TBL_Employees3[[#This Row],[Department]]="IT",TBL_Employees3[[#This Row],[Gender]]="Female"),"Yes","No")</f>
        <v>No</v>
      </c>
      <c r="Q550" t="str">
        <f>IF(AND(TBL_Employees3[[#This Row],[Gender]]="Female",TBL_Employees3[[#This Row],[Ethnicity]]="Black"), "Female_Black", "Others")</f>
        <v>Others</v>
      </c>
      <c r="T550" t="str">
        <v>E00161</v>
      </c>
    </row>
    <row r="551" spans="1:20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7">
        <v>41916</v>
      </c>
      <c r="J551" s="1">
        <v>257194</v>
      </c>
      <c r="K551" s="2">
        <v>0.35</v>
      </c>
      <c r="L551" t="s">
        <v>33</v>
      </c>
      <c r="M551" t="s">
        <v>80</v>
      </c>
      <c r="N551" s="7" t="s">
        <v>21</v>
      </c>
      <c r="O551" s="1">
        <f>TBL_Employees3[[#This Row],[Annual Salary]]+TBL_Employees3[[#This Row],[Bonus %]]*TBL_Employees3[[#This Row],[Annual Salary]]</f>
        <v>347211.9</v>
      </c>
      <c r="P551" t="str">
        <f>IF(AND(TBL_Employees3[[#This Row],[Department]]="IT",TBL_Employees3[[#This Row],[Gender]]="Female"),"Yes","No")</f>
        <v>No</v>
      </c>
      <c r="Q551" t="str">
        <f>IF(AND(TBL_Employees3[[#This Row],[Gender]]="Female",TBL_Employees3[[#This Row],[Ethnicity]]="Black"), "Female_Black", "Others")</f>
        <v>Others</v>
      </c>
      <c r="T551" t="str">
        <v>E04417</v>
      </c>
    </row>
    <row r="552" spans="1:20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7">
        <v>40929</v>
      </c>
      <c r="J552" s="1">
        <v>94658</v>
      </c>
      <c r="K552" s="2">
        <v>0</v>
      </c>
      <c r="L552" t="s">
        <v>19</v>
      </c>
      <c r="M552" t="s">
        <v>45</v>
      </c>
      <c r="N552" s="7" t="s">
        <v>21</v>
      </c>
      <c r="O552" s="1">
        <f>TBL_Employees3[[#This Row],[Annual Salary]]+TBL_Employees3[[#This Row],[Bonus %]]*TBL_Employees3[[#This Row],[Annual Salary]]</f>
        <v>94658</v>
      </c>
      <c r="P552" t="str">
        <f>IF(AND(TBL_Employees3[[#This Row],[Department]]="IT",TBL_Employees3[[#This Row],[Gender]]="Female"),"Yes","No")</f>
        <v>No</v>
      </c>
      <c r="Q552" t="str">
        <f>IF(AND(TBL_Employees3[[#This Row],[Gender]]="Female",TBL_Employees3[[#This Row],[Ethnicity]]="Black"), "Female_Black", "Others")</f>
        <v>Others</v>
      </c>
      <c r="T552" t="str">
        <v>E04536</v>
      </c>
    </row>
    <row r="553" spans="1:20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7">
        <v>40663</v>
      </c>
      <c r="J553" s="1">
        <v>89419</v>
      </c>
      <c r="K553" s="2">
        <v>0</v>
      </c>
      <c r="L553" t="s">
        <v>33</v>
      </c>
      <c r="M553" t="s">
        <v>74</v>
      </c>
      <c r="N553" s="7" t="s">
        <v>21</v>
      </c>
      <c r="O553" s="1">
        <f>TBL_Employees3[[#This Row],[Annual Salary]]+TBL_Employees3[[#This Row],[Bonus %]]*TBL_Employees3[[#This Row],[Annual Salary]]</f>
        <v>89419</v>
      </c>
      <c r="P553" t="str">
        <f>IF(AND(TBL_Employees3[[#This Row],[Department]]="IT",TBL_Employees3[[#This Row],[Gender]]="Female"),"Yes","No")</f>
        <v>No</v>
      </c>
      <c r="Q553" t="str">
        <f>IF(AND(TBL_Employees3[[#This Row],[Gender]]="Female",TBL_Employees3[[#This Row],[Ethnicity]]="Black"), "Female_Black", "Others")</f>
        <v>Others</v>
      </c>
      <c r="T553" t="str">
        <v>E02857</v>
      </c>
    </row>
    <row r="554" spans="1:20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7">
        <v>42357</v>
      </c>
      <c r="J554" s="1">
        <v>51983</v>
      </c>
      <c r="K554" s="2">
        <v>0</v>
      </c>
      <c r="L554" t="s">
        <v>19</v>
      </c>
      <c r="M554" t="s">
        <v>29</v>
      </c>
      <c r="N554" s="7" t="s">
        <v>21</v>
      </c>
      <c r="O554" s="1">
        <f>TBL_Employees3[[#This Row],[Annual Salary]]+TBL_Employees3[[#This Row],[Bonus %]]*TBL_Employees3[[#This Row],[Annual Salary]]</f>
        <v>51983</v>
      </c>
      <c r="P554" t="str">
        <f>IF(AND(TBL_Employees3[[#This Row],[Department]]="IT",TBL_Employees3[[#This Row],[Gender]]="Female"),"Yes","No")</f>
        <v>No</v>
      </c>
      <c r="Q554" t="str">
        <f>IF(AND(TBL_Employees3[[#This Row],[Gender]]="Female",TBL_Employees3[[#This Row],[Ethnicity]]="Black"), "Female_Black", "Others")</f>
        <v>Others</v>
      </c>
      <c r="T554" t="str">
        <v>E03059</v>
      </c>
    </row>
    <row r="555" spans="1:20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7">
        <v>37304</v>
      </c>
      <c r="J555" s="1">
        <v>179494</v>
      </c>
      <c r="K555" s="2">
        <v>0.2</v>
      </c>
      <c r="L555" t="s">
        <v>33</v>
      </c>
      <c r="M555" t="s">
        <v>80</v>
      </c>
      <c r="N555" s="7" t="s">
        <v>21</v>
      </c>
      <c r="O555" s="1">
        <f>TBL_Employees3[[#This Row],[Annual Salary]]+TBL_Employees3[[#This Row],[Bonus %]]*TBL_Employees3[[#This Row],[Annual Salary]]</f>
        <v>215392.8</v>
      </c>
      <c r="P555" t="str">
        <f>IF(AND(TBL_Employees3[[#This Row],[Department]]="IT",TBL_Employees3[[#This Row],[Gender]]="Female"),"Yes","No")</f>
        <v>No</v>
      </c>
      <c r="Q555" t="str">
        <f>IF(AND(TBL_Employees3[[#This Row],[Gender]]="Female",TBL_Employees3[[#This Row],[Ethnicity]]="Black"), "Female_Black", "Others")</f>
        <v>Others</v>
      </c>
      <c r="T555" t="str">
        <v>E02477</v>
      </c>
    </row>
    <row r="556" spans="1:20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7">
        <v>42545</v>
      </c>
      <c r="J556" s="1">
        <v>68426</v>
      </c>
      <c r="K556" s="2">
        <v>0</v>
      </c>
      <c r="L556" t="s">
        <v>52</v>
      </c>
      <c r="M556" t="s">
        <v>66</v>
      </c>
      <c r="N556" s="7" t="s">
        <v>21</v>
      </c>
      <c r="O556" s="1">
        <f>TBL_Employees3[[#This Row],[Annual Salary]]+TBL_Employees3[[#This Row],[Bonus %]]*TBL_Employees3[[#This Row],[Annual Salary]]</f>
        <v>68426</v>
      </c>
      <c r="P556" t="str">
        <f>IF(AND(TBL_Employees3[[#This Row],[Department]]="IT",TBL_Employees3[[#This Row],[Gender]]="Female"),"Yes","No")</f>
        <v>No</v>
      </c>
      <c r="Q556" t="str">
        <f>IF(AND(TBL_Employees3[[#This Row],[Gender]]="Female",TBL_Employees3[[#This Row],[Ethnicity]]="Black"), "Female_Black", "Others")</f>
        <v>Others</v>
      </c>
      <c r="T556" t="str">
        <v>E00022</v>
      </c>
    </row>
    <row r="557" spans="1:20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7">
        <v>42772</v>
      </c>
      <c r="J557" s="1">
        <v>144986</v>
      </c>
      <c r="K557" s="2">
        <v>0.12</v>
      </c>
      <c r="L557" t="s">
        <v>19</v>
      </c>
      <c r="M557" t="s">
        <v>39</v>
      </c>
      <c r="N557" s="7" t="s">
        <v>21</v>
      </c>
      <c r="O557" s="1">
        <f>TBL_Employees3[[#This Row],[Annual Salary]]+TBL_Employees3[[#This Row],[Bonus %]]*TBL_Employees3[[#This Row],[Annual Salary]]</f>
        <v>162384.32000000001</v>
      </c>
      <c r="P557" t="str">
        <f>IF(AND(TBL_Employees3[[#This Row],[Department]]="IT",TBL_Employees3[[#This Row],[Gender]]="Female"),"Yes","No")</f>
        <v>No</v>
      </c>
      <c r="Q557" t="str">
        <f>IF(AND(TBL_Employees3[[#This Row],[Gender]]="Female",TBL_Employees3[[#This Row],[Ethnicity]]="Black"), "Female_Black", "Others")</f>
        <v>Others</v>
      </c>
      <c r="T557" t="str">
        <v>E03370</v>
      </c>
    </row>
    <row r="558" spans="1:20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7">
        <v>36754</v>
      </c>
      <c r="J558" s="1">
        <v>60113</v>
      </c>
      <c r="K558" s="2">
        <v>0</v>
      </c>
      <c r="L558" t="s">
        <v>19</v>
      </c>
      <c r="M558" t="s">
        <v>20</v>
      </c>
      <c r="N558" s="7" t="s">
        <v>21</v>
      </c>
      <c r="O558" s="1">
        <f>TBL_Employees3[[#This Row],[Annual Salary]]+TBL_Employees3[[#This Row],[Bonus %]]*TBL_Employees3[[#This Row],[Annual Salary]]</f>
        <v>60113</v>
      </c>
      <c r="P558" t="str">
        <f>IF(AND(TBL_Employees3[[#This Row],[Department]]="IT",TBL_Employees3[[#This Row],[Gender]]="Female"),"Yes","No")</f>
        <v>No</v>
      </c>
      <c r="Q558" t="str">
        <f>IF(AND(TBL_Employees3[[#This Row],[Gender]]="Female",TBL_Employees3[[#This Row],[Ethnicity]]="Black"), "Female_Black", "Others")</f>
        <v>Others</v>
      </c>
      <c r="T558" t="str">
        <v>E00555</v>
      </c>
    </row>
    <row r="559" spans="1:20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7">
        <v>44304</v>
      </c>
      <c r="J559" s="1">
        <v>50548</v>
      </c>
      <c r="K559" s="2">
        <v>0</v>
      </c>
      <c r="L559" t="s">
        <v>52</v>
      </c>
      <c r="M559" t="s">
        <v>53</v>
      </c>
      <c r="N559" s="7" t="s">
        <v>21</v>
      </c>
      <c r="O559" s="1">
        <f>TBL_Employees3[[#This Row],[Annual Salary]]+TBL_Employees3[[#This Row],[Bonus %]]*TBL_Employees3[[#This Row],[Annual Salary]]</f>
        <v>50548</v>
      </c>
      <c r="P559" t="str">
        <f>IF(AND(TBL_Employees3[[#This Row],[Department]]="IT",TBL_Employees3[[#This Row],[Gender]]="Female"),"Yes","No")</f>
        <v>No</v>
      </c>
      <c r="Q559" t="str">
        <f>IF(AND(TBL_Employees3[[#This Row],[Gender]]="Female",TBL_Employees3[[#This Row],[Ethnicity]]="Black"), "Female_Black", "Others")</f>
        <v>Others</v>
      </c>
      <c r="T559" t="str">
        <v>E03160</v>
      </c>
    </row>
    <row r="560" spans="1:20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7">
        <v>43904</v>
      </c>
      <c r="J560" s="1">
        <v>68846</v>
      </c>
      <c r="K560" s="2">
        <v>0</v>
      </c>
      <c r="L560" t="s">
        <v>19</v>
      </c>
      <c r="M560" t="s">
        <v>20</v>
      </c>
      <c r="N560" s="7" t="s">
        <v>21</v>
      </c>
      <c r="O560" s="1">
        <f>TBL_Employees3[[#This Row],[Annual Salary]]+TBL_Employees3[[#This Row],[Bonus %]]*TBL_Employees3[[#This Row],[Annual Salary]]</f>
        <v>68846</v>
      </c>
      <c r="P560" t="str">
        <f>IF(AND(TBL_Employees3[[#This Row],[Department]]="IT",TBL_Employees3[[#This Row],[Gender]]="Female"),"Yes","No")</f>
        <v>No</v>
      </c>
      <c r="Q560" t="str">
        <f>IF(AND(TBL_Employees3[[#This Row],[Gender]]="Female",TBL_Employees3[[#This Row],[Ethnicity]]="Black"), "Female_Black", "Others")</f>
        <v>Others</v>
      </c>
      <c r="T560" t="str">
        <v>E03919</v>
      </c>
    </row>
    <row r="561" spans="1:20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7">
        <v>41717</v>
      </c>
      <c r="J561" s="1">
        <v>90901</v>
      </c>
      <c r="K561" s="2">
        <v>0</v>
      </c>
      <c r="L561" t="s">
        <v>19</v>
      </c>
      <c r="M561" t="s">
        <v>63</v>
      </c>
      <c r="N561" s="7" t="s">
        <v>21</v>
      </c>
      <c r="O561" s="1">
        <f>TBL_Employees3[[#This Row],[Annual Salary]]+TBL_Employees3[[#This Row],[Bonus %]]*TBL_Employees3[[#This Row],[Annual Salary]]</f>
        <v>90901</v>
      </c>
      <c r="P561" t="str">
        <f>IF(AND(TBL_Employees3[[#This Row],[Department]]="IT",TBL_Employees3[[#This Row],[Gender]]="Female"),"Yes","No")</f>
        <v>Yes</v>
      </c>
      <c r="Q561" t="str">
        <f>IF(AND(TBL_Employees3[[#This Row],[Gender]]="Female",TBL_Employees3[[#This Row],[Ethnicity]]="Black"), "Female_Black", "Others")</f>
        <v>Others</v>
      </c>
      <c r="T561" t="str">
        <v>E01724</v>
      </c>
    </row>
    <row r="562" spans="1:20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7">
        <v>41155</v>
      </c>
      <c r="J562" s="1">
        <v>102033</v>
      </c>
      <c r="K562" s="2">
        <v>0.08</v>
      </c>
      <c r="L562" t="s">
        <v>19</v>
      </c>
      <c r="M562" t="s">
        <v>25</v>
      </c>
      <c r="N562" s="7" t="s">
        <v>21</v>
      </c>
      <c r="O562" s="1">
        <f>TBL_Employees3[[#This Row],[Annual Salary]]+TBL_Employees3[[#This Row],[Bonus %]]*TBL_Employees3[[#This Row],[Annual Salary]]</f>
        <v>110195.64</v>
      </c>
      <c r="P562" t="str">
        <f>IF(AND(TBL_Employees3[[#This Row],[Department]]="IT",TBL_Employees3[[#This Row],[Gender]]="Female"),"Yes","No")</f>
        <v>No</v>
      </c>
      <c r="Q562" t="str">
        <f>IF(AND(TBL_Employees3[[#This Row],[Gender]]="Female",TBL_Employees3[[#This Row],[Ethnicity]]="Black"), "Female_Black", "Others")</f>
        <v>Others</v>
      </c>
      <c r="T562" t="str">
        <v>E04087</v>
      </c>
    </row>
    <row r="563" spans="1:20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7">
        <v>44219</v>
      </c>
      <c r="J563" s="1">
        <v>151783</v>
      </c>
      <c r="K563" s="2">
        <v>0.26</v>
      </c>
      <c r="L563" t="s">
        <v>19</v>
      </c>
      <c r="M563" t="s">
        <v>63</v>
      </c>
      <c r="N563" s="7" t="s">
        <v>21</v>
      </c>
      <c r="O563" s="1">
        <f>TBL_Employees3[[#This Row],[Annual Salary]]+TBL_Employees3[[#This Row],[Bonus %]]*TBL_Employees3[[#This Row],[Annual Salary]]</f>
        <v>191246.58000000002</v>
      </c>
      <c r="P563" t="str">
        <f>IF(AND(TBL_Employees3[[#This Row],[Department]]="IT",TBL_Employees3[[#This Row],[Gender]]="Female"),"Yes","No")</f>
        <v>No</v>
      </c>
      <c r="Q563" t="str">
        <f>IF(AND(TBL_Employees3[[#This Row],[Gender]]="Female",TBL_Employees3[[#This Row],[Ethnicity]]="Black"), "Female_Black", "Others")</f>
        <v>Others</v>
      </c>
      <c r="T563" t="str">
        <v>E02856</v>
      </c>
    </row>
    <row r="564" spans="1:20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7">
        <v>43441</v>
      </c>
      <c r="J564" s="1">
        <v>170164</v>
      </c>
      <c r="K564" s="2">
        <v>0.17</v>
      </c>
      <c r="L564" t="s">
        <v>19</v>
      </c>
      <c r="M564" t="s">
        <v>25</v>
      </c>
      <c r="N564" s="7" t="s">
        <v>21</v>
      </c>
      <c r="O564" s="1">
        <f>TBL_Employees3[[#This Row],[Annual Salary]]+TBL_Employees3[[#This Row],[Bonus %]]*TBL_Employees3[[#This Row],[Annual Salary]]</f>
        <v>199091.88</v>
      </c>
      <c r="P564" t="str">
        <f>IF(AND(TBL_Employees3[[#This Row],[Department]]="IT",TBL_Employees3[[#This Row],[Gender]]="Female"),"Yes","No")</f>
        <v>No</v>
      </c>
      <c r="Q564" t="str">
        <f>IF(AND(TBL_Employees3[[#This Row],[Gender]]="Female",TBL_Employees3[[#This Row],[Ethnicity]]="Black"), "Female_Black", "Others")</f>
        <v>Others</v>
      </c>
      <c r="T564" t="str">
        <v>E03805</v>
      </c>
    </row>
    <row r="565" spans="1:20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7">
        <v>41690</v>
      </c>
      <c r="J565" s="1">
        <v>155905</v>
      </c>
      <c r="K565" s="2">
        <v>0.14000000000000001</v>
      </c>
      <c r="L565" t="s">
        <v>19</v>
      </c>
      <c r="M565" t="s">
        <v>39</v>
      </c>
      <c r="N565" s="7" t="s">
        <v>21</v>
      </c>
      <c r="O565" s="1">
        <f>TBL_Employees3[[#This Row],[Annual Salary]]+TBL_Employees3[[#This Row],[Bonus %]]*TBL_Employees3[[#This Row],[Annual Salary]]</f>
        <v>177731.7</v>
      </c>
      <c r="P565" t="str">
        <f>IF(AND(TBL_Employees3[[#This Row],[Department]]="IT",TBL_Employees3[[#This Row],[Gender]]="Female"),"Yes","No")</f>
        <v>No</v>
      </c>
      <c r="Q565" t="str">
        <f>IF(AND(TBL_Employees3[[#This Row],[Gender]]="Female",TBL_Employees3[[#This Row],[Ethnicity]]="Black"), "Female_Black", "Others")</f>
        <v>Others</v>
      </c>
      <c r="T565" t="str">
        <v>E00319</v>
      </c>
    </row>
    <row r="566" spans="1:20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7">
        <v>42721</v>
      </c>
      <c r="J566" s="1">
        <v>50733</v>
      </c>
      <c r="K566" s="2">
        <v>0</v>
      </c>
      <c r="L566" t="s">
        <v>19</v>
      </c>
      <c r="M566" t="s">
        <v>45</v>
      </c>
      <c r="N566" s="7" t="s">
        <v>21</v>
      </c>
      <c r="O566" s="1">
        <f>TBL_Employees3[[#This Row],[Annual Salary]]+TBL_Employees3[[#This Row],[Bonus %]]*TBL_Employees3[[#This Row],[Annual Salary]]</f>
        <v>50733</v>
      </c>
      <c r="P566" t="str">
        <f>IF(AND(TBL_Employees3[[#This Row],[Department]]="IT",TBL_Employees3[[#This Row],[Gender]]="Female"),"Yes","No")</f>
        <v>No</v>
      </c>
      <c r="Q566" t="str">
        <f>IF(AND(TBL_Employees3[[#This Row],[Gender]]="Female",TBL_Employees3[[#This Row],[Ethnicity]]="Black"), "Female_Black", "Others")</f>
        <v>Others</v>
      </c>
      <c r="T566" t="str">
        <v>E01090</v>
      </c>
    </row>
    <row r="567" spans="1:20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7">
        <v>42761</v>
      </c>
      <c r="J567" s="1">
        <v>88663</v>
      </c>
      <c r="K567" s="2">
        <v>0</v>
      </c>
      <c r="L567" t="s">
        <v>19</v>
      </c>
      <c r="M567" t="s">
        <v>39</v>
      </c>
      <c r="N567" s="7" t="s">
        <v>21</v>
      </c>
      <c r="O567" s="1">
        <f>TBL_Employees3[[#This Row],[Annual Salary]]+TBL_Employees3[[#This Row],[Bonus %]]*TBL_Employees3[[#This Row],[Annual Salary]]</f>
        <v>88663</v>
      </c>
      <c r="P567" t="str">
        <f>IF(AND(TBL_Employees3[[#This Row],[Department]]="IT",TBL_Employees3[[#This Row],[Gender]]="Female"),"Yes","No")</f>
        <v>No</v>
      </c>
      <c r="Q567" t="str">
        <f>IF(AND(TBL_Employees3[[#This Row],[Gender]]="Female",TBL_Employees3[[#This Row],[Ethnicity]]="Black"), "Female_Black", "Others")</f>
        <v>Others</v>
      </c>
      <c r="T567" t="str">
        <v>E04323</v>
      </c>
    </row>
    <row r="568" spans="1:20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7">
        <v>33890</v>
      </c>
      <c r="J568" s="1">
        <v>88213</v>
      </c>
      <c r="K568" s="2">
        <v>0</v>
      </c>
      <c r="L568" t="s">
        <v>33</v>
      </c>
      <c r="M568" t="s">
        <v>80</v>
      </c>
      <c r="N568" s="7" t="s">
        <v>21</v>
      </c>
      <c r="O568" s="1">
        <f>TBL_Employees3[[#This Row],[Annual Salary]]+TBL_Employees3[[#This Row],[Bonus %]]*TBL_Employees3[[#This Row],[Annual Salary]]</f>
        <v>88213</v>
      </c>
      <c r="P568" t="str">
        <f>IF(AND(TBL_Employees3[[#This Row],[Department]]="IT",TBL_Employees3[[#This Row],[Gender]]="Female"),"Yes","No")</f>
        <v>No</v>
      </c>
      <c r="Q568" t="str">
        <f>IF(AND(TBL_Employees3[[#This Row],[Gender]]="Female",TBL_Employees3[[#This Row],[Ethnicity]]="Black"), "Female_Black", "Others")</f>
        <v>Others</v>
      </c>
      <c r="T568" t="str">
        <v>E02687</v>
      </c>
    </row>
    <row r="569" spans="1:20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7">
        <v>44410</v>
      </c>
      <c r="J569" s="1">
        <v>67130</v>
      </c>
      <c r="K569" s="2">
        <v>0</v>
      </c>
      <c r="L569" t="s">
        <v>19</v>
      </c>
      <c r="M569" t="s">
        <v>45</v>
      </c>
      <c r="N569" s="7" t="s">
        <v>21</v>
      </c>
      <c r="O569" s="1">
        <f>TBL_Employees3[[#This Row],[Annual Salary]]+TBL_Employees3[[#This Row],[Bonus %]]*TBL_Employees3[[#This Row],[Annual Salary]]</f>
        <v>67130</v>
      </c>
      <c r="P569" t="str">
        <f>IF(AND(TBL_Employees3[[#This Row],[Department]]="IT",TBL_Employees3[[#This Row],[Gender]]="Female"),"Yes","No")</f>
        <v>No</v>
      </c>
      <c r="Q569" t="str">
        <f>IF(AND(TBL_Employees3[[#This Row],[Gender]]="Female",TBL_Employees3[[#This Row],[Ethnicity]]="Black"), "Female_Black", "Others")</f>
        <v>Others</v>
      </c>
      <c r="T569" t="str">
        <v>E01407</v>
      </c>
    </row>
    <row r="570" spans="1:20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7">
        <v>42285</v>
      </c>
      <c r="J570" s="1">
        <v>94876</v>
      </c>
      <c r="K570" s="2">
        <v>0</v>
      </c>
      <c r="L570" t="s">
        <v>19</v>
      </c>
      <c r="M570" t="s">
        <v>45</v>
      </c>
      <c r="N570" s="7" t="s">
        <v>21</v>
      </c>
      <c r="O570" s="1">
        <f>TBL_Employees3[[#This Row],[Annual Salary]]+TBL_Employees3[[#This Row],[Bonus %]]*TBL_Employees3[[#This Row],[Annual Salary]]</f>
        <v>94876</v>
      </c>
      <c r="P570" t="str">
        <f>IF(AND(TBL_Employees3[[#This Row],[Department]]="IT",TBL_Employees3[[#This Row],[Gender]]="Female"),"Yes","No")</f>
        <v>No</v>
      </c>
      <c r="Q570" t="str">
        <f>IF(AND(TBL_Employees3[[#This Row],[Gender]]="Female",TBL_Employees3[[#This Row],[Ethnicity]]="Black"), "Female_Black", "Others")</f>
        <v>Others</v>
      </c>
      <c r="T570" t="str">
        <v>E02748</v>
      </c>
    </row>
    <row r="571" spans="1:20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7">
        <v>34616</v>
      </c>
      <c r="J571" s="1">
        <v>98230</v>
      </c>
      <c r="K571" s="2">
        <v>0</v>
      </c>
      <c r="L571" t="s">
        <v>19</v>
      </c>
      <c r="M571" t="s">
        <v>45</v>
      </c>
      <c r="N571" s="7" t="s">
        <v>21</v>
      </c>
      <c r="O571" s="1">
        <f>TBL_Employees3[[#This Row],[Annual Salary]]+TBL_Employees3[[#This Row],[Bonus %]]*TBL_Employees3[[#This Row],[Annual Salary]]</f>
        <v>98230</v>
      </c>
      <c r="P571" t="str">
        <f>IF(AND(TBL_Employees3[[#This Row],[Department]]="IT",TBL_Employees3[[#This Row],[Gender]]="Female"),"Yes","No")</f>
        <v>No</v>
      </c>
      <c r="Q571" t="str">
        <f>IF(AND(TBL_Employees3[[#This Row],[Gender]]="Female",TBL_Employees3[[#This Row],[Ethnicity]]="Black"), "Female_Black", "Others")</f>
        <v>Others</v>
      </c>
      <c r="T571" t="str">
        <v>E01995</v>
      </c>
    </row>
    <row r="572" spans="1:20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7">
        <v>43448</v>
      </c>
      <c r="J572" s="1">
        <v>96757</v>
      </c>
      <c r="K572" s="2">
        <v>0</v>
      </c>
      <c r="L572" t="s">
        <v>19</v>
      </c>
      <c r="M572" t="s">
        <v>29</v>
      </c>
      <c r="N572" s="7" t="s">
        <v>21</v>
      </c>
      <c r="O572" s="1">
        <f>TBL_Employees3[[#This Row],[Annual Salary]]+TBL_Employees3[[#This Row],[Bonus %]]*TBL_Employees3[[#This Row],[Annual Salary]]</f>
        <v>96757</v>
      </c>
      <c r="P572" t="str">
        <f>IF(AND(TBL_Employees3[[#This Row],[Department]]="IT",TBL_Employees3[[#This Row],[Gender]]="Female"),"Yes","No")</f>
        <v>No</v>
      </c>
      <c r="Q572" t="str">
        <f>IF(AND(TBL_Employees3[[#This Row],[Gender]]="Female",TBL_Employees3[[#This Row],[Ethnicity]]="Black"), "Female_Black", "Others")</f>
        <v>Others</v>
      </c>
      <c r="T572" t="str">
        <v>E01714</v>
      </c>
    </row>
    <row r="573" spans="1:20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7">
        <v>44015</v>
      </c>
      <c r="J573" s="1">
        <v>51513</v>
      </c>
      <c r="K573" s="2">
        <v>0</v>
      </c>
      <c r="L573" t="s">
        <v>19</v>
      </c>
      <c r="M573" t="s">
        <v>29</v>
      </c>
      <c r="N573" s="7" t="s">
        <v>21</v>
      </c>
      <c r="O573" s="1">
        <f>TBL_Employees3[[#This Row],[Annual Salary]]+TBL_Employees3[[#This Row],[Bonus %]]*TBL_Employees3[[#This Row],[Annual Salary]]</f>
        <v>51513</v>
      </c>
      <c r="P573" t="str">
        <f>IF(AND(TBL_Employees3[[#This Row],[Department]]="IT",TBL_Employees3[[#This Row],[Gender]]="Female"),"Yes","No")</f>
        <v>No</v>
      </c>
      <c r="Q573" t="str">
        <f>IF(AND(TBL_Employees3[[#This Row],[Gender]]="Female",TBL_Employees3[[#This Row],[Ethnicity]]="Black"), "Female_Black", "Others")</f>
        <v>Others</v>
      </c>
      <c r="T573" t="str">
        <v>E04491</v>
      </c>
    </row>
    <row r="574" spans="1:20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7">
        <v>39109</v>
      </c>
      <c r="J574" s="1">
        <v>234311</v>
      </c>
      <c r="K574" s="2">
        <v>0.37</v>
      </c>
      <c r="L574" t="s">
        <v>19</v>
      </c>
      <c r="M574" t="s">
        <v>45</v>
      </c>
      <c r="N574" s="7" t="s">
        <v>21</v>
      </c>
      <c r="O574" s="1">
        <f>TBL_Employees3[[#This Row],[Annual Salary]]+TBL_Employees3[[#This Row],[Bonus %]]*TBL_Employees3[[#This Row],[Annual Salary]]</f>
        <v>321006.07</v>
      </c>
      <c r="P574" t="str">
        <f>IF(AND(TBL_Employees3[[#This Row],[Department]]="IT",TBL_Employees3[[#This Row],[Gender]]="Female"),"Yes","No")</f>
        <v>No</v>
      </c>
      <c r="Q574" t="str">
        <f>IF(AND(TBL_Employees3[[#This Row],[Gender]]="Female",TBL_Employees3[[#This Row],[Ethnicity]]="Black"), "Female_Black", "Others")</f>
        <v>Others</v>
      </c>
      <c r="T574" t="str">
        <v>E01076</v>
      </c>
    </row>
    <row r="575" spans="1:20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7">
        <v>40685</v>
      </c>
      <c r="J575" s="1">
        <v>152353</v>
      </c>
      <c r="K575" s="2">
        <v>0.14000000000000001</v>
      </c>
      <c r="L575" t="s">
        <v>19</v>
      </c>
      <c r="M575" t="s">
        <v>63</v>
      </c>
      <c r="N575" s="7" t="s">
        <v>21</v>
      </c>
      <c r="O575" s="1">
        <f>TBL_Employees3[[#This Row],[Annual Salary]]+TBL_Employees3[[#This Row],[Bonus %]]*TBL_Employees3[[#This Row],[Annual Salary]]</f>
        <v>173682.42</v>
      </c>
      <c r="P575" t="str">
        <f>IF(AND(TBL_Employees3[[#This Row],[Department]]="IT",TBL_Employees3[[#This Row],[Gender]]="Female"),"Yes","No")</f>
        <v>No</v>
      </c>
      <c r="Q575" t="str">
        <f>IF(AND(TBL_Employees3[[#This Row],[Gender]]="Female",TBL_Employees3[[#This Row],[Ethnicity]]="Black"), "Female_Black", "Others")</f>
        <v>Others</v>
      </c>
      <c r="T575" t="str">
        <v>E02843</v>
      </c>
    </row>
    <row r="576" spans="1:20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7">
        <v>40389</v>
      </c>
      <c r="J576" s="1">
        <v>124774</v>
      </c>
      <c r="K576" s="2">
        <v>0.12</v>
      </c>
      <c r="L576" t="s">
        <v>19</v>
      </c>
      <c r="M576" t="s">
        <v>39</v>
      </c>
      <c r="N576" s="7" t="s">
        <v>21</v>
      </c>
      <c r="O576" s="1">
        <f>TBL_Employees3[[#This Row],[Annual Salary]]+TBL_Employees3[[#This Row],[Bonus %]]*TBL_Employees3[[#This Row],[Annual Salary]]</f>
        <v>139746.88</v>
      </c>
      <c r="P576" t="str">
        <f>IF(AND(TBL_Employees3[[#This Row],[Department]]="IT",TBL_Employees3[[#This Row],[Gender]]="Female"),"Yes","No")</f>
        <v>No</v>
      </c>
      <c r="Q576" t="str">
        <f>IF(AND(TBL_Employees3[[#This Row],[Gender]]="Female",TBL_Employees3[[#This Row],[Ethnicity]]="Black"), "Female_Black", "Others")</f>
        <v>Others</v>
      </c>
      <c r="T576" t="str">
        <v>E03758</v>
      </c>
    </row>
    <row r="577" spans="1:20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7">
        <v>40434</v>
      </c>
      <c r="J577" s="1">
        <v>157070</v>
      </c>
      <c r="K577" s="2">
        <v>0.28000000000000003</v>
      </c>
      <c r="L577" t="s">
        <v>33</v>
      </c>
      <c r="M577" t="s">
        <v>80</v>
      </c>
      <c r="N577" s="7" t="s">
        <v>21</v>
      </c>
      <c r="O577" s="1">
        <f>TBL_Employees3[[#This Row],[Annual Salary]]+TBL_Employees3[[#This Row],[Bonus %]]*TBL_Employees3[[#This Row],[Annual Salary]]</f>
        <v>201049.60000000001</v>
      </c>
      <c r="P577" t="str">
        <f>IF(AND(TBL_Employees3[[#This Row],[Department]]="IT",TBL_Employees3[[#This Row],[Gender]]="Female"),"Yes","No")</f>
        <v>No</v>
      </c>
      <c r="Q577" t="str">
        <f>IF(AND(TBL_Employees3[[#This Row],[Gender]]="Female",TBL_Employees3[[#This Row],[Ethnicity]]="Black"), "Female_Black", "Others")</f>
        <v>Others</v>
      </c>
      <c r="T577" t="str">
        <v>E02063</v>
      </c>
    </row>
    <row r="578" spans="1:20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7">
        <v>43685</v>
      </c>
      <c r="J578" s="1">
        <v>130133</v>
      </c>
      <c r="K578" s="2">
        <v>0.15</v>
      </c>
      <c r="L578" t="s">
        <v>19</v>
      </c>
      <c r="M578" t="s">
        <v>25</v>
      </c>
      <c r="N578" s="7">
        <v>44699</v>
      </c>
      <c r="O578" s="1">
        <f>TBL_Employees3[[#This Row],[Annual Salary]]+TBL_Employees3[[#This Row],[Bonus %]]*TBL_Employees3[[#This Row],[Annual Salary]]</f>
        <v>149652.95000000001</v>
      </c>
      <c r="P578" t="str">
        <f>IF(AND(TBL_Employees3[[#This Row],[Department]]="IT",TBL_Employees3[[#This Row],[Gender]]="Female"),"Yes","No")</f>
        <v>No</v>
      </c>
      <c r="Q578" t="str">
        <f>IF(AND(TBL_Employees3[[#This Row],[Gender]]="Female",TBL_Employees3[[#This Row],[Ethnicity]]="Black"), "Female_Black", "Others")</f>
        <v>Others</v>
      </c>
      <c r="T578" t="str">
        <v>E00638</v>
      </c>
    </row>
    <row r="579" spans="1:20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7">
        <v>43729</v>
      </c>
      <c r="J579" s="1">
        <v>108780</v>
      </c>
      <c r="K579" s="2">
        <v>0.06</v>
      </c>
      <c r="L579" t="s">
        <v>33</v>
      </c>
      <c r="M579" t="s">
        <v>74</v>
      </c>
      <c r="N579" s="7" t="s">
        <v>21</v>
      </c>
      <c r="O579" s="1">
        <f>TBL_Employees3[[#This Row],[Annual Salary]]+TBL_Employees3[[#This Row],[Bonus %]]*TBL_Employees3[[#This Row],[Annual Salary]]</f>
        <v>115306.8</v>
      </c>
      <c r="P579" t="str">
        <f>IF(AND(TBL_Employees3[[#This Row],[Department]]="IT",TBL_Employees3[[#This Row],[Gender]]="Female"),"Yes","No")</f>
        <v>No</v>
      </c>
      <c r="Q579" t="str">
        <f>IF(AND(TBL_Employees3[[#This Row],[Gender]]="Female",TBL_Employees3[[#This Row],[Ethnicity]]="Black"), "Female_Black", "Others")</f>
        <v>Others</v>
      </c>
      <c r="T579" t="str">
        <v>E03571</v>
      </c>
    </row>
    <row r="580" spans="1:20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7">
        <v>44125</v>
      </c>
      <c r="J580" s="1">
        <v>151853</v>
      </c>
      <c r="K580" s="2">
        <v>0.16</v>
      </c>
      <c r="L580" t="s">
        <v>33</v>
      </c>
      <c r="M580" t="s">
        <v>34</v>
      </c>
      <c r="N580" s="7" t="s">
        <v>21</v>
      </c>
      <c r="O580" s="1">
        <f>TBL_Employees3[[#This Row],[Annual Salary]]+TBL_Employees3[[#This Row],[Bonus %]]*TBL_Employees3[[#This Row],[Annual Salary]]</f>
        <v>176149.48</v>
      </c>
      <c r="P580" t="str">
        <f>IF(AND(TBL_Employees3[[#This Row],[Department]]="IT",TBL_Employees3[[#This Row],[Gender]]="Female"),"Yes","No")</f>
        <v>No</v>
      </c>
      <c r="Q580" t="str">
        <f>IF(AND(TBL_Employees3[[#This Row],[Gender]]="Female",TBL_Employees3[[#This Row],[Ethnicity]]="Black"), "Female_Black", "Others")</f>
        <v>Others</v>
      </c>
      <c r="T580" t="str">
        <v>E01820</v>
      </c>
    </row>
    <row r="581" spans="1:20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7">
        <v>38977</v>
      </c>
      <c r="J581" s="1">
        <v>64669</v>
      </c>
      <c r="K581" s="2">
        <v>0</v>
      </c>
      <c r="L581" t="s">
        <v>33</v>
      </c>
      <c r="M581" t="s">
        <v>80</v>
      </c>
      <c r="N581" s="7" t="s">
        <v>21</v>
      </c>
      <c r="O581" s="1">
        <f>TBL_Employees3[[#This Row],[Annual Salary]]+TBL_Employees3[[#This Row],[Bonus %]]*TBL_Employees3[[#This Row],[Annual Salary]]</f>
        <v>64669</v>
      </c>
      <c r="P581" t="str">
        <f>IF(AND(TBL_Employees3[[#This Row],[Department]]="IT",TBL_Employees3[[#This Row],[Gender]]="Female"),"Yes","No")</f>
        <v>No</v>
      </c>
      <c r="Q581" t="str">
        <f>IF(AND(TBL_Employees3[[#This Row],[Gender]]="Female",TBL_Employees3[[#This Row],[Ethnicity]]="Black"), "Female_Black", "Others")</f>
        <v>Others</v>
      </c>
      <c r="T581" t="str">
        <v>E01712</v>
      </c>
    </row>
    <row r="582" spans="1:20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7">
        <v>39568</v>
      </c>
      <c r="J582" s="1">
        <v>69352</v>
      </c>
      <c r="K582" s="2">
        <v>0</v>
      </c>
      <c r="L582" t="s">
        <v>52</v>
      </c>
      <c r="M582" t="s">
        <v>66</v>
      </c>
      <c r="N582" s="7" t="s">
        <v>21</v>
      </c>
      <c r="O582" s="1">
        <f>TBL_Employees3[[#This Row],[Annual Salary]]+TBL_Employees3[[#This Row],[Bonus %]]*TBL_Employees3[[#This Row],[Annual Salary]]</f>
        <v>69352</v>
      </c>
      <c r="P582" t="str">
        <f>IF(AND(TBL_Employees3[[#This Row],[Department]]="IT",TBL_Employees3[[#This Row],[Gender]]="Female"),"Yes","No")</f>
        <v>No</v>
      </c>
      <c r="Q582" t="str">
        <f>IF(AND(TBL_Employees3[[#This Row],[Gender]]="Female",TBL_Employees3[[#This Row],[Ethnicity]]="Black"), "Female_Black", "Others")</f>
        <v>Others</v>
      </c>
      <c r="T582" t="str">
        <v>E00184</v>
      </c>
    </row>
    <row r="583" spans="1:20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7">
        <v>37181</v>
      </c>
      <c r="J583" s="1">
        <v>74631</v>
      </c>
      <c r="K583" s="2">
        <v>0</v>
      </c>
      <c r="L583" t="s">
        <v>33</v>
      </c>
      <c r="M583" t="s">
        <v>80</v>
      </c>
      <c r="N583" s="7" t="s">
        <v>21</v>
      </c>
      <c r="O583" s="1">
        <f>TBL_Employees3[[#This Row],[Annual Salary]]+TBL_Employees3[[#This Row],[Bonus %]]*TBL_Employees3[[#This Row],[Annual Salary]]</f>
        <v>74631</v>
      </c>
      <c r="P583" t="str">
        <f>IF(AND(TBL_Employees3[[#This Row],[Department]]="IT",TBL_Employees3[[#This Row],[Gender]]="Female"),"Yes","No")</f>
        <v>No</v>
      </c>
      <c r="Q583" t="str">
        <f>IF(AND(TBL_Employees3[[#This Row],[Gender]]="Female",TBL_Employees3[[#This Row],[Ethnicity]]="Black"), "Female_Black", "Others")</f>
        <v>Others</v>
      </c>
      <c r="T583" t="str">
        <v>E02899</v>
      </c>
    </row>
    <row r="584" spans="1:20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7">
        <v>41028</v>
      </c>
      <c r="J584" s="1">
        <v>96441</v>
      </c>
      <c r="K584" s="2">
        <v>0</v>
      </c>
      <c r="L584" t="s">
        <v>52</v>
      </c>
      <c r="M584" t="s">
        <v>53</v>
      </c>
      <c r="N584" s="7" t="s">
        <v>21</v>
      </c>
      <c r="O584" s="1">
        <f>TBL_Employees3[[#This Row],[Annual Salary]]+TBL_Employees3[[#This Row],[Bonus %]]*TBL_Employees3[[#This Row],[Annual Salary]]</f>
        <v>96441</v>
      </c>
      <c r="P584" t="str">
        <f>IF(AND(TBL_Employees3[[#This Row],[Department]]="IT",TBL_Employees3[[#This Row],[Gender]]="Female"),"Yes","No")</f>
        <v>No</v>
      </c>
      <c r="Q584" t="str">
        <f>IF(AND(TBL_Employees3[[#This Row],[Gender]]="Female",TBL_Employees3[[#This Row],[Ethnicity]]="Black"), "Female_Black", "Others")</f>
        <v>Others</v>
      </c>
      <c r="T584" t="str">
        <v>E02478</v>
      </c>
    </row>
    <row r="585" spans="1:20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7">
        <v>40836</v>
      </c>
      <c r="J585" s="1">
        <v>114250</v>
      </c>
      <c r="K585" s="2">
        <v>0.14000000000000001</v>
      </c>
      <c r="L585" t="s">
        <v>33</v>
      </c>
      <c r="M585" t="s">
        <v>34</v>
      </c>
      <c r="N585" s="7" t="s">
        <v>21</v>
      </c>
      <c r="O585" s="1">
        <f>TBL_Employees3[[#This Row],[Annual Salary]]+TBL_Employees3[[#This Row],[Bonus %]]*TBL_Employees3[[#This Row],[Annual Salary]]</f>
        <v>130245</v>
      </c>
      <c r="P585" t="str">
        <f>IF(AND(TBL_Employees3[[#This Row],[Department]]="IT",TBL_Employees3[[#This Row],[Gender]]="Female"),"Yes","No")</f>
        <v>No</v>
      </c>
      <c r="Q585" t="str">
        <f>IF(AND(TBL_Employees3[[#This Row],[Gender]]="Female",TBL_Employees3[[#This Row],[Ethnicity]]="Black"), "Female_Black", "Others")</f>
        <v>Others</v>
      </c>
      <c r="T585" t="str">
        <v>E04170</v>
      </c>
    </row>
    <row r="586" spans="1:20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7">
        <v>44192</v>
      </c>
      <c r="J586" s="1">
        <v>70165</v>
      </c>
      <c r="K586" s="2">
        <v>7.0000000000000007E-2</v>
      </c>
      <c r="L586" t="s">
        <v>52</v>
      </c>
      <c r="M586" t="s">
        <v>81</v>
      </c>
      <c r="N586" s="7" t="s">
        <v>21</v>
      </c>
      <c r="O586" s="1">
        <f>TBL_Employees3[[#This Row],[Annual Salary]]+TBL_Employees3[[#This Row],[Bonus %]]*TBL_Employees3[[#This Row],[Annual Salary]]</f>
        <v>75076.55</v>
      </c>
      <c r="P586" t="str">
        <f>IF(AND(TBL_Employees3[[#This Row],[Department]]="IT",TBL_Employees3[[#This Row],[Gender]]="Female"),"Yes","No")</f>
        <v>No</v>
      </c>
      <c r="Q586" t="str">
        <f>IF(AND(TBL_Employees3[[#This Row],[Gender]]="Female",TBL_Employees3[[#This Row],[Ethnicity]]="Black"), "Female_Black", "Others")</f>
        <v>Others</v>
      </c>
      <c r="T586" t="str">
        <v>E00929</v>
      </c>
    </row>
    <row r="587" spans="1:20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7">
        <v>36554</v>
      </c>
      <c r="J587" s="1">
        <v>109059</v>
      </c>
      <c r="K587" s="2">
        <v>7.0000000000000007E-2</v>
      </c>
      <c r="L587" t="s">
        <v>33</v>
      </c>
      <c r="M587" t="s">
        <v>34</v>
      </c>
      <c r="N587" s="7" t="s">
        <v>21</v>
      </c>
      <c r="O587" s="1">
        <f>TBL_Employees3[[#This Row],[Annual Salary]]+TBL_Employees3[[#This Row],[Bonus %]]*TBL_Employees3[[#This Row],[Annual Salary]]</f>
        <v>116693.13</v>
      </c>
      <c r="P587" t="str">
        <f>IF(AND(TBL_Employees3[[#This Row],[Department]]="IT",TBL_Employees3[[#This Row],[Gender]]="Female"),"Yes","No")</f>
        <v>No</v>
      </c>
      <c r="Q587" t="str">
        <f>IF(AND(TBL_Employees3[[#This Row],[Gender]]="Female",TBL_Employees3[[#This Row],[Ethnicity]]="Black"), "Female_Black", "Others")</f>
        <v>Others</v>
      </c>
      <c r="T587" t="str">
        <v>E02492</v>
      </c>
    </row>
    <row r="588" spans="1:20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7">
        <v>42322</v>
      </c>
      <c r="J588" s="1">
        <v>77442</v>
      </c>
      <c r="K588" s="2">
        <v>0</v>
      </c>
      <c r="L588" t="s">
        <v>19</v>
      </c>
      <c r="M588" t="s">
        <v>29</v>
      </c>
      <c r="N588" s="7" t="s">
        <v>21</v>
      </c>
      <c r="O588" s="1">
        <f>TBL_Employees3[[#This Row],[Annual Salary]]+TBL_Employees3[[#This Row],[Bonus %]]*TBL_Employees3[[#This Row],[Annual Salary]]</f>
        <v>77442</v>
      </c>
      <c r="P588" t="str">
        <f>IF(AND(TBL_Employees3[[#This Row],[Department]]="IT",TBL_Employees3[[#This Row],[Gender]]="Female"),"Yes","No")</f>
        <v>No</v>
      </c>
      <c r="Q588" t="str">
        <f>IF(AND(TBL_Employees3[[#This Row],[Gender]]="Female",TBL_Employees3[[#This Row],[Ethnicity]]="Black"), "Female_Black", "Others")</f>
        <v>Others</v>
      </c>
      <c r="T588" t="str">
        <v>E01733</v>
      </c>
    </row>
    <row r="589" spans="1:20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7">
        <v>41066</v>
      </c>
      <c r="J589" s="1">
        <v>72126</v>
      </c>
      <c r="K589" s="2">
        <v>0</v>
      </c>
      <c r="L589" t="s">
        <v>52</v>
      </c>
      <c r="M589" t="s">
        <v>81</v>
      </c>
      <c r="N589" s="7" t="s">
        <v>21</v>
      </c>
      <c r="O589" s="1">
        <f>TBL_Employees3[[#This Row],[Annual Salary]]+TBL_Employees3[[#This Row],[Bonus %]]*TBL_Employees3[[#This Row],[Annual Salary]]</f>
        <v>72126</v>
      </c>
      <c r="P589" t="str">
        <f>IF(AND(TBL_Employees3[[#This Row],[Department]]="IT",TBL_Employees3[[#This Row],[Gender]]="Female"),"Yes","No")</f>
        <v>No</v>
      </c>
      <c r="Q589" t="str">
        <f>IF(AND(TBL_Employees3[[#This Row],[Gender]]="Female",TBL_Employees3[[#This Row],[Ethnicity]]="Black"), "Female_Black", "Others")</f>
        <v>Others</v>
      </c>
      <c r="T589" t="str">
        <v>E04938</v>
      </c>
    </row>
    <row r="590" spans="1:20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7">
        <v>41565</v>
      </c>
      <c r="J590" s="1">
        <v>70334</v>
      </c>
      <c r="K590" s="2">
        <v>0</v>
      </c>
      <c r="L590" t="s">
        <v>19</v>
      </c>
      <c r="M590" t="s">
        <v>45</v>
      </c>
      <c r="N590" s="7" t="s">
        <v>21</v>
      </c>
      <c r="O590" s="1">
        <f>TBL_Employees3[[#This Row],[Annual Salary]]+TBL_Employees3[[#This Row],[Bonus %]]*TBL_Employees3[[#This Row],[Annual Salary]]</f>
        <v>70334</v>
      </c>
      <c r="P590" t="str">
        <f>IF(AND(TBL_Employees3[[#This Row],[Department]]="IT",TBL_Employees3[[#This Row],[Gender]]="Female"),"Yes","No")</f>
        <v>No</v>
      </c>
      <c r="Q590" t="str">
        <f>IF(AND(TBL_Employees3[[#This Row],[Gender]]="Female",TBL_Employees3[[#This Row],[Ethnicity]]="Black"), "Female_Black", "Others")</f>
        <v>Others</v>
      </c>
      <c r="T590" t="str">
        <v>E04952</v>
      </c>
    </row>
    <row r="591" spans="1:20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7">
        <v>40170</v>
      </c>
      <c r="J591" s="1">
        <v>78006</v>
      </c>
      <c r="K591" s="2">
        <v>0</v>
      </c>
      <c r="L591" t="s">
        <v>19</v>
      </c>
      <c r="M591" t="s">
        <v>45</v>
      </c>
      <c r="N591" s="7" t="s">
        <v>21</v>
      </c>
      <c r="O591" s="1">
        <f>TBL_Employees3[[#This Row],[Annual Salary]]+TBL_Employees3[[#This Row],[Bonus %]]*TBL_Employees3[[#This Row],[Annual Salary]]</f>
        <v>78006</v>
      </c>
      <c r="P591" t="str">
        <f>IF(AND(TBL_Employees3[[#This Row],[Department]]="IT",TBL_Employees3[[#This Row],[Gender]]="Female"),"Yes","No")</f>
        <v>No</v>
      </c>
      <c r="Q591" t="str">
        <f>IF(AND(TBL_Employees3[[#This Row],[Gender]]="Female",TBL_Employees3[[#This Row],[Ethnicity]]="Black"), "Female_Black", "Others")</f>
        <v>Others</v>
      </c>
      <c r="T591" t="str">
        <v>E02420</v>
      </c>
    </row>
    <row r="592" spans="1:20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7">
        <v>44221</v>
      </c>
      <c r="J592" s="1">
        <v>160385</v>
      </c>
      <c r="K592" s="2">
        <v>0.23</v>
      </c>
      <c r="L592" t="s">
        <v>19</v>
      </c>
      <c r="M592" t="s">
        <v>45</v>
      </c>
      <c r="N592" s="7">
        <v>44334</v>
      </c>
      <c r="O592" s="1">
        <f>TBL_Employees3[[#This Row],[Annual Salary]]+TBL_Employees3[[#This Row],[Bonus %]]*TBL_Employees3[[#This Row],[Annual Salary]]</f>
        <v>197273.55</v>
      </c>
      <c r="P592" t="str">
        <f>IF(AND(TBL_Employees3[[#This Row],[Department]]="IT",TBL_Employees3[[#This Row],[Gender]]="Female"),"Yes","No")</f>
        <v>Yes</v>
      </c>
      <c r="Q592" t="str">
        <f>IF(AND(TBL_Employees3[[#This Row],[Gender]]="Female",TBL_Employees3[[#This Row],[Ethnicity]]="Black"), "Female_Black", "Others")</f>
        <v>Others</v>
      </c>
      <c r="T592" t="str">
        <v>E03947</v>
      </c>
    </row>
    <row r="593" spans="1:20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7">
        <v>41650</v>
      </c>
      <c r="J593" s="1">
        <v>202323</v>
      </c>
      <c r="K593" s="2">
        <v>0.39</v>
      </c>
      <c r="L593" t="s">
        <v>19</v>
      </c>
      <c r="M593" t="s">
        <v>20</v>
      </c>
      <c r="N593" s="7" t="s">
        <v>21</v>
      </c>
      <c r="O593" s="1">
        <f>TBL_Employees3[[#This Row],[Annual Salary]]+TBL_Employees3[[#This Row],[Bonus %]]*TBL_Employees3[[#This Row],[Annual Salary]]</f>
        <v>281228.96999999997</v>
      </c>
      <c r="P593" t="str">
        <f>IF(AND(TBL_Employees3[[#This Row],[Department]]="IT",TBL_Employees3[[#This Row],[Gender]]="Female"),"Yes","No")</f>
        <v>No</v>
      </c>
      <c r="Q593" t="str">
        <f>IF(AND(TBL_Employees3[[#This Row],[Gender]]="Female",TBL_Employees3[[#This Row],[Ethnicity]]="Black"), "Female_Black", "Others")</f>
        <v>Others</v>
      </c>
      <c r="T593" t="str">
        <v>E04535</v>
      </c>
    </row>
    <row r="594" spans="1:20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7">
        <v>44025</v>
      </c>
      <c r="J594" s="1">
        <v>141555</v>
      </c>
      <c r="K594" s="2">
        <v>0.11</v>
      </c>
      <c r="L594" t="s">
        <v>52</v>
      </c>
      <c r="M594" t="s">
        <v>81</v>
      </c>
      <c r="N594" s="7" t="s">
        <v>21</v>
      </c>
      <c r="O594" s="1">
        <f>TBL_Employees3[[#This Row],[Annual Salary]]+TBL_Employees3[[#This Row],[Bonus %]]*TBL_Employees3[[#This Row],[Annual Salary]]</f>
        <v>157126.04999999999</v>
      </c>
      <c r="P594" t="str">
        <f>IF(AND(TBL_Employees3[[#This Row],[Department]]="IT",TBL_Employees3[[#This Row],[Gender]]="Female"),"Yes","No")</f>
        <v>No</v>
      </c>
      <c r="Q594" t="str">
        <f>IF(AND(TBL_Employees3[[#This Row],[Gender]]="Female",TBL_Employees3[[#This Row],[Ethnicity]]="Black"), "Female_Black", "Others")</f>
        <v>Others</v>
      </c>
      <c r="T594" t="str">
        <v>E00380</v>
      </c>
    </row>
    <row r="595" spans="1:20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7">
        <v>44032</v>
      </c>
      <c r="J595" s="1">
        <v>184960</v>
      </c>
      <c r="K595" s="2">
        <v>0.18</v>
      </c>
      <c r="L595" t="s">
        <v>19</v>
      </c>
      <c r="M595" t="s">
        <v>63</v>
      </c>
      <c r="N595" s="7" t="s">
        <v>21</v>
      </c>
      <c r="O595" s="1">
        <f>TBL_Employees3[[#This Row],[Annual Salary]]+TBL_Employees3[[#This Row],[Bonus %]]*TBL_Employees3[[#This Row],[Annual Salary]]</f>
        <v>218252.79999999999</v>
      </c>
      <c r="P595" t="str">
        <f>IF(AND(TBL_Employees3[[#This Row],[Department]]="IT",TBL_Employees3[[#This Row],[Gender]]="Female"),"Yes","No")</f>
        <v>No</v>
      </c>
      <c r="Q595" t="str">
        <f>IF(AND(TBL_Employees3[[#This Row],[Gender]]="Female",TBL_Employees3[[#This Row],[Ethnicity]]="Black"), "Female_Black", "Others")</f>
        <v>Others</v>
      </c>
      <c r="T595" t="str">
        <v>E01432</v>
      </c>
    </row>
    <row r="596" spans="1:20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7">
        <v>40719</v>
      </c>
      <c r="J596" s="1">
        <v>221592</v>
      </c>
      <c r="K596" s="2">
        <v>0.31</v>
      </c>
      <c r="L596" t="s">
        <v>19</v>
      </c>
      <c r="M596" t="s">
        <v>29</v>
      </c>
      <c r="N596" s="7" t="s">
        <v>21</v>
      </c>
      <c r="O596" s="1">
        <f>TBL_Employees3[[#This Row],[Annual Salary]]+TBL_Employees3[[#This Row],[Bonus %]]*TBL_Employees3[[#This Row],[Annual Salary]]</f>
        <v>290285.52</v>
      </c>
      <c r="P596" t="str">
        <f>IF(AND(TBL_Employees3[[#This Row],[Department]]="IT",TBL_Employees3[[#This Row],[Gender]]="Female"),"Yes","No")</f>
        <v>No</v>
      </c>
      <c r="Q596" t="str">
        <f>IF(AND(TBL_Employees3[[#This Row],[Gender]]="Female",TBL_Employees3[[#This Row],[Ethnicity]]="Black"), "Female_Black", "Others")</f>
        <v>Others</v>
      </c>
      <c r="T596" t="str">
        <v>E02628</v>
      </c>
    </row>
    <row r="597" spans="1:20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7">
        <v>39841</v>
      </c>
      <c r="J597" s="1">
        <v>53301</v>
      </c>
      <c r="K597" s="2">
        <v>0</v>
      </c>
      <c r="L597" t="s">
        <v>19</v>
      </c>
      <c r="M597" t="s">
        <v>63</v>
      </c>
      <c r="N597" s="7" t="s">
        <v>21</v>
      </c>
      <c r="O597" s="1">
        <f>TBL_Employees3[[#This Row],[Annual Salary]]+TBL_Employees3[[#This Row],[Bonus %]]*TBL_Employees3[[#This Row],[Annual Salary]]</f>
        <v>53301</v>
      </c>
      <c r="P597" t="str">
        <f>IF(AND(TBL_Employees3[[#This Row],[Department]]="IT",TBL_Employees3[[#This Row],[Gender]]="Female"),"Yes","No")</f>
        <v>No</v>
      </c>
      <c r="Q597" t="str">
        <f>IF(AND(TBL_Employees3[[#This Row],[Gender]]="Female",TBL_Employees3[[#This Row],[Ethnicity]]="Black"), "Female_Black", "Others")</f>
        <v>Others</v>
      </c>
      <c r="T597" t="str">
        <v>E03578</v>
      </c>
    </row>
    <row r="598" spans="1:20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7">
        <v>36587</v>
      </c>
      <c r="J598" s="1">
        <v>91276</v>
      </c>
      <c r="K598" s="2">
        <v>0</v>
      </c>
      <c r="L598" t="s">
        <v>19</v>
      </c>
      <c r="M598" t="s">
        <v>63</v>
      </c>
      <c r="N598" s="7" t="s">
        <v>21</v>
      </c>
      <c r="O598" s="1">
        <f>TBL_Employees3[[#This Row],[Annual Salary]]+TBL_Employees3[[#This Row],[Bonus %]]*TBL_Employees3[[#This Row],[Annual Salary]]</f>
        <v>91276</v>
      </c>
      <c r="P598" t="str">
        <f>IF(AND(TBL_Employees3[[#This Row],[Department]]="IT",TBL_Employees3[[#This Row],[Gender]]="Female"),"Yes","No")</f>
        <v>No</v>
      </c>
      <c r="Q598" t="str">
        <f>IF(AND(TBL_Employees3[[#This Row],[Gender]]="Female",TBL_Employees3[[#This Row],[Ethnicity]]="Black"), "Female_Black", "Others")</f>
        <v>Others</v>
      </c>
      <c r="T598" t="str">
        <v>E03563</v>
      </c>
    </row>
    <row r="599" spans="1:20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7">
        <v>42983</v>
      </c>
      <c r="J599" s="1">
        <v>140042</v>
      </c>
      <c r="K599" s="2">
        <v>0.13</v>
      </c>
      <c r="L599" t="s">
        <v>19</v>
      </c>
      <c r="M599" t="s">
        <v>25</v>
      </c>
      <c r="N599" s="7" t="s">
        <v>21</v>
      </c>
      <c r="O599" s="1">
        <f>TBL_Employees3[[#This Row],[Annual Salary]]+TBL_Employees3[[#This Row],[Bonus %]]*TBL_Employees3[[#This Row],[Annual Salary]]</f>
        <v>158247.46</v>
      </c>
      <c r="P599" t="str">
        <f>IF(AND(TBL_Employees3[[#This Row],[Department]]="IT",TBL_Employees3[[#This Row],[Gender]]="Female"),"Yes","No")</f>
        <v>No</v>
      </c>
      <c r="Q599" t="str">
        <f>IF(AND(TBL_Employees3[[#This Row],[Gender]]="Female",TBL_Employees3[[#This Row],[Ethnicity]]="Black"), "Female_Black", "Others")</f>
        <v>Others</v>
      </c>
      <c r="T599" t="str">
        <v>E02781</v>
      </c>
    </row>
    <row r="600" spans="1:20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7">
        <v>43440</v>
      </c>
      <c r="J600" s="1">
        <v>57225</v>
      </c>
      <c r="K600" s="2">
        <v>0</v>
      </c>
      <c r="L600" t="s">
        <v>19</v>
      </c>
      <c r="M600" t="s">
        <v>29</v>
      </c>
      <c r="N600" s="7" t="s">
        <v>21</v>
      </c>
      <c r="O600" s="1">
        <f>TBL_Employees3[[#This Row],[Annual Salary]]+TBL_Employees3[[#This Row],[Bonus %]]*TBL_Employees3[[#This Row],[Annual Salary]]</f>
        <v>57225</v>
      </c>
      <c r="P600" t="str">
        <f>IF(AND(TBL_Employees3[[#This Row],[Department]]="IT",TBL_Employees3[[#This Row],[Gender]]="Female"),"Yes","No")</f>
        <v>No</v>
      </c>
      <c r="Q600" t="str">
        <f>IF(AND(TBL_Employees3[[#This Row],[Gender]]="Female",TBL_Employees3[[#This Row],[Ethnicity]]="Black"), "Female_Black", "Others")</f>
        <v>Others</v>
      </c>
      <c r="T600" t="str">
        <v>E04739</v>
      </c>
    </row>
    <row r="601" spans="1:20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7">
        <v>40233</v>
      </c>
      <c r="J601" s="1">
        <v>102839</v>
      </c>
      <c r="K601" s="2">
        <v>0.05</v>
      </c>
      <c r="L601" t="s">
        <v>19</v>
      </c>
      <c r="M601" t="s">
        <v>45</v>
      </c>
      <c r="N601" s="7" t="s">
        <v>21</v>
      </c>
      <c r="O601" s="1">
        <f>TBL_Employees3[[#This Row],[Annual Salary]]+TBL_Employees3[[#This Row],[Bonus %]]*TBL_Employees3[[#This Row],[Annual Salary]]</f>
        <v>107980.95</v>
      </c>
      <c r="P601" t="str">
        <f>IF(AND(TBL_Employees3[[#This Row],[Department]]="IT",TBL_Employees3[[#This Row],[Gender]]="Female"),"Yes","No")</f>
        <v>No</v>
      </c>
      <c r="Q601" t="str">
        <f>IF(AND(TBL_Employees3[[#This Row],[Gender]]="Female",TBL_Employees3[[#This Row],[Ethnicity]]="Black"), "Female_Black", "Others")</f>
        <v>Others</v>
      </c>
      <c r="T601" t="str">
        <v>E02665</v>
      </c>
    </row>
    <row r="602" spans="1:20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7">
        <v>44454</v>
      </c>
      <c r="J602" s="1">
        <v>199783</v>
      </c>
      <c r="K602" s="2">
        <v>0.21</v>
      </c>
      <c r="L602" t="s">
        <v>19</v>
      </c>
      <c r="M602" t="s">
        <v>20</v>
      </c>
      <c r="N602" s="7">
        <v>44661</v>
      </c>
      <c r="O602" s="1">
        <f>TBL_Employees3[[#This Row],[Annual Salary]]+TBL_Employees3[[#This Row],[Bonus %]]*TBL_Employees3[[#This Row],[Annual Salary]]</f>
        <v>241737.43</v>
      </c>
      <c r="P602" t="str">
        <f>IF(AND(TBL_Employees3[[#This Row],[Department]]="IT",TBL_Employees3[[#This Row],[Gender]]="Female"),"Yes","No")</f>
        <v>No</v>
      </c>
      <c r="Q602" t="str">
        <f>IF(AND(TBL_Employees3[[#This Row],[Gender]]="Female",TBL_Employees3[[#This Row],[Ethnicity]]="Black"), "Female_Black", "Others")</f>
        <v>Others</v>
      </c>
      <c r="T602" t="str">
        <v>E04132</v>
      </c>
    </row>
    <row r="603" spans="1:20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7">
        <v>44295</v>
      </c>
      <c r="J603" s="1">
        <v>70980</v>
      </c>
      <c r="K603" s="2">
        <v>0</v>
      </c>
      <c r="L603" t="s">
        <v>52</v>
      </c>
      <c r="M603" t="s">
        <v>66</v>
      </c>
      <c r="N603" s="7" t="s">
        <v>21</v>
      </c>
      <c r="O603" s="1">
        <f>TBL_Employees3[[#This Row],[Annual Salary]]+TBL_Employees3[[#This Row],[Bonus %]]*TBL_Employees3[[#This Row],[Annual Salary]]</f>
        <v>70980</v>
      </c>
      <c r="P603" t="str">
        <f>IF(AND(TBL_Employees3[[#This Row],[Department]]="IT",TBL_Employees3[[#This Row],[Gender]]="Female"),"Yes","No")</f>
        <v>No</v>
      </c>
      <c r="Q603" t="str">
        <f>IF(AND(TBL_Employees3[[#This Row],[Gender]]="Female",TBL_Employees3[[#This Row],[Ethnicity]]="Black"), "Female_Black", "Others")</f>
        <v>Others</v>
      </c>
      <c r="T603" t="str">
        <v>E04277</v>
      </c>
    </row>
    <row r="604" spans="1:20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7">
        <v>35456</v>
      </c>
      <c r="J604" s="1">
        <v>104431</v>
      </c>
      <c r="K604" s="2">
        <v>7.0000000000000007E-2</v>
      </c>
      <c r="L604" t="s">
        <v>19</v>
      </c>
      <c r="M604" t="s">
        <v>39</v>
      </c>
      <c r="N604" s="7" t="s">
        <v>21</v>
      </c>
      <c r="O604" s="1">
        <f>TBL_Employees3[[#This Row],[Annual Salary]]+TBL_Employees3[[#This Row],[Bonus %]]*TBL_Employees3[[#This Row],[Annual Salary]]</f>
        <v>111741.17</v>
      </c>
      <c r="P604" t="str">
        <f>IF(AND(TBL_Employees3[[#This Row],[Department]]="IT",TBL_Employees3[[#This Row],[Gender]]="Female"),"Yes","No")</f>
        <v>No</v>
      </c>
      <c r="Q604" t="str">
        <f>IF(AND(TBL_Employees3[[#This Row],[Gender]]="Female",TBL_Employees3[[#This Row],[Ethnicity]]="Black"), "Female_Black", "Others")</f>
        <v>Others</v>
      </c>
      <c r="T604" t="str">
        <v>E02012</v>
      </c>
    </row>
    <row r="605" spans="1:20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7">
        <v>44374</v>
      </c>
      <c r="J605" s="1">
        <v>48510</v>
      </c>
      <c r="K605" s="2">
        <v>0</v>
      </c>
      <c r="L605" t="s">
        <v>19</v>
      </c>
      <c r="M605" t="s">
        <v>20</v>
      </c>
      <c r="N605" s="7" t="s">
        <v>21</v>
      </c>
      <c r="O605" s="1">
        <f>TBL_Employees3[[#This Row],[Annual Salary]]+TBL_Employees3[[#This Row],[Bonus %]]*TBL_Employees3[[#This Row],[Annual Salary]]</f>
        <v>48510</v>
      </c>
      <c r="P605" t="str">
        <f>IF(AND(TBL_Employees3[[#This Row],[Department]]="IT",TBL_Employees3[[#This Row],[Gender]]="Female"),"Yes","No")</f>
        <v>No</v>
      </c>
      <c r="Q605" t="str">
        <f>IF(AND(TBL_Employees3[[#This Row],[Gender]]="Female",TBL_Employees3[[#This Row],[Ethnicity]]="Black"), "Female_Black", "Others")</f>
        <v>Others</v>
      </c>
      <c r="T605" t="str">
        <v>E02881</v>
      </c>
    </row>
    <row r="606" spans="1:20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7">
        <v>43613</v>
      </c>
      <c r="J606" s="1">
        <v>70110</v>
      </c>
      <c r="K606" s="2">
        <v>0</v>
      </c>
      <c r="L606" t="s">
        <v>19</v>
      </c>
      <c r="M606" t="s">
        <v>45</v>
      </c>
      <c r="N606" s="7">
        <v>44203</v>
      </c>
      <c r="O606" s="1">
        <f>TBL_Employees3[[#This Row],[Annual Salary]]+TBL_Employees3[[#This Row],[Bonus %]]*TBL_Employees3[[#This Row],[Annual Salary]]</f>
        <v>70110</v>
      </c>
      <c r="P606" t="str">
        <f>IF(AND(TBL_Employees3[[#This Row],[Department]]="IT",TBL_Employees3[[#This Row],[Gender]]="Female"),"Yes","No")</f>
        <v>No</v>
      </c>
      <c r="Q606" t="str">
        <f>IF(AND(TBL_Employees3[[#This Row],[Gender]]="Female",TBL_Employees3[[#This Row],[Ethnicity]]="Black"), "Female_Black", "Others")</f>
        <v>Others</v>
      </c>
      <c r="T606" t="str">
        <v>E00605</v>
      </c>
    </row>
    <row r="607" spans="1:20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7">
        <v>39519</v>
      </c>
      <c r="J607" s="1">
        <v>186138</v>
      </c>
      <c r="K607" s="2">
        <v>0.28000000000000003</v>
      </c>
      <c r="L607" t="s">
        <v>33</v>
      </c>
      <c r="M607" t="s">
        <v>80</v>
      </c>
      <c r="N607" s="7" t="s">
        <v>21</v>
      </c>
      <c r="O607" s="1">
        <f>TBL_Employees3[[#This Row],[Annual Salary]]+TBL_Employees3[[#This Row],[Bonus %]]*TBL_Employees3[[#This Row],[Annual Salary]]</f>
        <v>238256.64000000001</v>
      </c>
      <c r="P607" t="str">
        <f>IF(AND(TBL_Employees3[[#This Row],[Department]]="IT",TBL_Employees3[[#This Row],[Gender]]="Female"),"Yes","No")</f>
        <v>No</v>
      </c>
      <c r="Q607" t="str">
        <f>IF(AND(TBL_Employees3[[#This Row],[Gender]]="Female",TBL_Employees3[[#This Row],[Ethnicity]]="Black"), "Female_Black", "Others")</f>
        <v>Others</v>
      </c>
      <c r="T607" t="str">
        <v>E04641</v>
      </c>
    </row>
    <row r="608" spans="1:20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7">
        <v>40287</v>
      </c>
      <c r="J608" s="1">
        <v>56350</v>
      </c>
      <c r="K608" s="2">
        <v>0</v>
      </c>
      <c r="L608" t="s">
        <v>52</v>
      </c>
      <c r="M608" t="s">
        <v>66</v>
      </c>
      <c r="N608" s="7" t="s">
        <v>21</v>
      </c>
      <c r="O608" s="1">
        <f>TBL_Employees3[[#This Row],[Annual Salary]]+TBL_Employees3[[#This Row],[Bonus %]]*TBL_Employees3[[#This Row],[Annual Salary]]</f>
        <v>56350</v>
      </c>
      <c r="P608" t="str">
        <f>IF(AND(TBL_Employees3[[#This Row],[Department]]="IT",TBL_Employees3[[#This Row],[Gender]]="Female"),"Yes","No")</f>
        <v>No</v>
      </c>
      <c r="Q608" t="str">
        <f>IF(AND(TBL_Employees3[[#This Row],[Gender]]="Female",TBL_Employees3[[#This Row],[Ethnicity]]="Black"), "Female_Black", "Others")</f>
        <v>Others</v>
      </c>
      <c r="T608" t="str">
        <v>E01019</v>
      </c>
    </row>
    <row r="609" spans="1:20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7">
        <v>42379</v>
      </c>
      <c r="J609" s="1">
        <v>149761</v>
      </c>
      <c r="K609" s="2">
        <v>0.12</v>
      </c>
      <c r="L609" t="s">
        <v>19</v>
      </c>
      <c r="M609" t="s">
        <v>29</v>
      </c>
      <c r="N609" s="7" t="s">
        <v>21</v>
      </c>
      <c r="O609" s="1">
        <f>TBL_Employees3[[#This Row],[Annual Salary]]+TBL_Employees3[[#This Row],[Bonus %]]*TBL_Employees3[[#This Row],[Annual Salary]]</f>
        <v>167732.32</v>
      </c>
      <c r="P609" t="str">
        <f>IF(AND(TBL_Employees3[[#This Row],[Department]]="IT",TBL_Employees3[[#This Row],[Gender]]="Female"),"Yes","No")</f>
        <v>No</v>
      </c>
      <c r="Q609" t="str">
        <f>IF(AND(TBL_Employees3[[#This Row],[Gender]]="Female",TBL_Employees3[[#This Row],[Ethnicity]]="Black"), "Female_Black", "Others")</f>
        <v>Others</v>
      </c>
      <c r="T609" t="str">
        <v>E01519</v>
      </c>
    </row>
    <row r="610" spans="1:20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7">
        <v>39305</v>
      </c>
      <c r="J610" s="1">
        <v>126277</v>
      </c>
      <c r="K610" s="2">
        <v>0.13</v>
      </c>
      <c r="L610" t="s">
        <v>52</v>
      </c>
      <c r="M610" t="s">
        <v>81</v>
      </c>
      <c r="N610" s="7" t="s">
        <v>21</v>
      </c>
      <c r="O610" s="1">
        <f>TBL_Employees3[[#This Row],[Annual Salary]]+TBL_Employees3[[#This Row],[Bonus %]]*TBL_Employees3[[#This Row],[Annual Salary]]</f>
        <v>142693.01</v>
      </c>
      <c r="P610" t="str">
        <f>IF(AND(TBL_Employees3[[#This Row],[Department]]="IT",TBL_Employees3[[#This Row],[Gender]]="Female"),"Yes","No")</f>
        <v>No</v>
      </c>
      <c r="Q610" t="str">
        <f>IF(AND(TBL_Employees3[[#This Row],[Gender]]="Female",TBL_Employees3[[#This Row],[Ethnicity]]="Black"), "Female_Black", "Others")</f>
        <v>Others</v>
      </c>
      <c r="T610" t="str">
        <v>E03694</v>
      </c>
    </row>
    <row r="611" spans="1:20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7">
        <v>41446</v>
      </c>
      <c r="J611" s="1">
        <v>119631</v>
      </c>
      <c r="K611" s="2">
        <v>0.06</v>
      </c>
      <c r="L611" t="s">
        <v>19</v>
      </c>
      <c r="M611" t="s">
        <v>39</v>
      </c>
      <c r="N611" s="7" t="s">
        <v>21</v>
      </c>
      <c r="O611" s="1">
        <f>TBL_Employees3[[#This Row],[Annual Salary]]+TBL_Employees3[[#This Row],[Bonus %]]*TBL_Employees3[[#This Row],[Annual Salary]]</f>
        <v>126808.86</v>
      </c>
      <c r="P611" t="str">
        <f>IF(AND(TBL_Employees3[[#This Row],[Department]]="IT",TBL_Employees3[[#This Row],[Gender]]="Female"),"Yes","No")</f>
        <v>No</v>
      </c>
      <c r="Q611" t="str">
        <f>IF(AND(TBL_Employees3[[#This Row],[Gender]]="Female",TBL_Employees3[[#This Row],[Ethnicity]]="Black"), "Female_Black", "Others")</f>
        <v>Others</v>
      </c>
      <c r="T611" t="str">
        <v>E01123</v>
      </c>
    </row>
    <row r="612" spans="1:20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7">
        <v>43960</v>
      </c>
      <c r="J612" s="1">
        <v>256561</v>
      </c>
      <c r="K612" s="2">
        <v>0.39</v>
      </c>
      <c r="L612" t="s">
        <v>19</v>
      </c>
      <c r="M612" t="s">
        <v>25</v>
      </c>
      <c r="N612" s="7" t="s">
        <v>21</v>
      </c>
      <c r="O612" s="1">
        <f>TBL_Employees3[[#This Row],[Annual Salary]]+TBL_Employees3[[#This Row],[Bonus %]]*TBL_Employees3[[#This Row],[Annual Salary]]</f>
        <v>356619.79000000004</v>
      </c>
      <c r="P612" t="str">
        <f>IF(AND(TBL_Employees3[[#This Row],[Department]]="IT",TBL_Employees3[[#This Row],[Gender]]="Female"),"Yes","No")</f>
        <v>No</v>
      </c>
      <c r="Q612" t="str">
        <f>IF(AND(TBL_Employees3[[#This Row],[Gender]]="Female",TBL_Employees3[[#This Row],[Ethnicity]]="Black"), "Female_Black", "Others")</f>
        <v>Others</v>
      </c>
      <c r="T612" t="str">
        <v>E01366</v>
      </c>
    </row>
    <row r="613" spans="1:20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7">
        <v>43937</v>
      </c>
      <c r="J613" s="1">
        <v>66958</v>
      </c>
      <c r="K613" s="2">
        <v>0</v>
      </c>
      <c r="L613" t="s">
        <v>19</v>
      </c>
      <c r="M613" t="s">
        <v>45</v>
      </c>
      <c r="N613" s="7" t="s">
        <v>21</v>
      </c>
      <c r="O613" s="1">
        <f>TBL_Employees3[[#This Row],[Annual Salary]]+TBL_Employees3[[#This Row],[Bonus %]]*TBL_Employees3[[#This Row],[Annual Salary]]</f>
        <v>66958</v>
      </c>
      <c r="P613" t="str">
        <f>IF(AND(TBL_Employees3[[#This Row],[Department]]="IT",TBL_Employees3[[#This Row],[Gender]]="Female"),"Yes","No")</f>
        <v>Yes</v>
      </c>
      <c r="Q613" t="str">
        <f>IF(AND(TBL_Employees3[[#This Row],[Gender]]="Female",TBL_Employees3[[#This Row],[Ethnicity]]="Black"), "Female_Black", "Others")</f>
        <v>Others</v>
      </c>
      <c r="T613" t="str">
        <v>E04005</v>
      </c>
    </row>
    <row r="614" spans="1:20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7">
        <v>38046</v>
      </c>
      <c r="J614" s="1">
        <v>158897</v>
      </c>
      <c r="K614" s="2">
        <v>0.1</v>
      </c>
      <c r="L614" t="s">
        <v>33</v>
      </c>
      <c r="M614" t="s">
        <v>80</v>
      </c>
      <c r="N614" s="7" t="s">
        <v>21</v>
      </c>
      <c r="O614" s="1">
        <f>TBL_Employees3[[#This Row],[Annual Salary]]+TBL_Employees3[[#This Row],[Bonus %]]*TBL_Employees3[[#This Row],[Annual Salary]]</f>
        <v>174786.7</v>
      </c>
      <c r="P614" t="str">
        <f>IF(AND(TBL_Employees3[[#This Row],[Department]]="IT",TBL_Employees3[[#This Row],[Gender]]="Female"),"Yes","No")</f>
        <v>No</v>
      </c>
      <c r="Q614" t="str">
        <f>IF(AND(TBL_Employees3[[#This Row],[Gender]]="Female",TBL_Employees3[[#This Row],[Ethnicity]]="Black"), "Female_Black", "Others")</f>
        <v>Others</v>
      </c>
      <c r="T614" t="str">
        <v>E04018</v>
      </c>
    </row>
    <row r="615" spans="1:20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7">
        <v>39493</v>
      </c>
      <c r="J615" s="1">
        <v>71695</v>
      </c>
      <c r="K615" s="2">
        <v>0</v>
      </c>
      <c r="L615" t="s">
        <v>19</v>
      </c>
      <c r="M615" t="s">
        <v>39</v>
      </c>
      <c r="N615" s="7" t="s">
        <v>21</v>
      </c>
      <c r="O615" s="1">
        <f>TBL_Employees3[[#This Row],[Annual Salary]]+TBL_Employees3[[#This Row],[Bonus %]]*TBL_Employees3[[#This Row],[Annual Salary]]</f>
        <v>71695</v>
      </c>
      <c r="P615" t="str">
        <f>IF(AND(TBL_Employees3[[#This Row],[Department]]="IT",TBL_Employees3[[#This Row],[Gender]]="Female"),"Yes","No")</f>
        <v>No</v>
      </c>
      <c r="Q615" t="str">
        <f>IF(AND(TBL_Employees3[[#This Row],[Gender]]="Female",TBL_Employees3[[#This Row],[Ethnicity]]="Black"), "Female_Black", "Others")</f>
        <v>Others</v>
      </c>
      <c r="T615" t="str">
        <v>E01591</v>
      </c>
    </row>
    <row r="616" spans="1:20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7">
        <v>41904</v>
      </c>
      <c r="J616" s="1">
        <v>73779</v>
      </c>
      <c r="K616" s="2">
        <v>0</v>
      </c>
      <c r="L616" t="s">
        <v>33</v>
      </c>
      <c r="M616" t="s">
        <v>80</v>
      </c>
      <c r="N616" s="7">
        <v>43594</v>
      </c>
      <c r="O616" s="1">
        <f>TBL_Employees3[[#This Row],[Annual Salary]]+TBL_Employees3[[#This Row],[Bonus %]]*TBL_Employees3[[#This Row],[Annual Salary]]</f>
        <v>73779</v>
      </c>
      <c r="P616" t="str">
        <f>IF(AND(TBL_Employees3[[#This Row],[Department]]="IT",TBL_Employees3[[#This Row],[Gender]]="Female"),"Yes","No")</f>
        <v>No</v>
      </c>
      <c r="Q616" t="str">
        <f>IF(AND(TBL_Employees3[[#This Row],[Gender]]="Female",TBL_Employees3[[#This Row],[Ethnicity]]="Black"), "Female_Black", "Others")</f>
        <v>Others</v>
      </c>
      <c r="T616" t="str">
        <v>E04940</v>
      </c>
    </row>
    <row r="617" spans="1:20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7">
        <v>40836</v>
      </c>
      <c r="J617" s="1">
        <v>123640</v>
      </c>
      <c r="K617" s="2">
        <v>7.0000000000000007E-2</v>
      </c>
      <c r="L617" t="s">
        <v>33</v>
      </c>
      <c r="M617" t="s">
        <v>74</v>
      </c>
      <c r="N617" s="7" t="s">
        <v>21</v>
      </c>
      <c r="O617" s="1">
        <f>TBL_Employees3[[#This Row],[Annual Salary]]+TBL_Employees3[[#This Row],[Bonus %]]*TBL_Employees3[[#This Row],[Annual Salary]]</f>
        <v>132294.79999999999</v>
      </c>
      <c r="P617" t="str">
        <f>IF(AND(TBL_Employees3[[#This Row],[Department]]="IT",TBL_Employees3[[#This Row],[Gender]]="Female"),"Yes","No")</f>
        <v>No</v>
      </c>
      <c r="Q617" t="str">
        <f>IF(AND(TBL_Employees3[[#This Row],[Gender]]="Female",TBL_Employees3[[#This Row],[Ethnicity]]="Black"), "Female_Black", "Others")</f>
        <v>Others</v>
      </c>
      <c r="T617" t="str">
        <v>E03465</v>
      </c>
    </row>
    <row r="618" spans="1:20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7">
        <v>41742</v>
      </c>
      <c r="J618" s="1">
        <v>46878</v>
      </c>
      <c r="K618" s="2">
        <v>0</v>
      </c>
      <c r="L618" t="s">
        <v>19</v>
      </c>
      <c r="M618" t="s">
        <v>45</v>
      </c>
      <c r="N618" s="7" t="s">
        <v>21</v>
      </c>
      <c r="O618" s="1">
        <f>TBL_Employees3[[#This Row],[Annual Salary]]+TBL_Employees3[[#This Row],[Bonus %]]*TBL_Employees3[[#This Row],[Annual Salary]]</f>
        <v>46878</v>
      </c>
      <c r="P618" t="str">
        <f>IF(AND(TBL_Employees3[[#This Row],[Department]]="IT",TBL_Employees3[[#This Row],[Gender]]="Female"),"Yes","No")</f>
        <v>No</v>
      </c>
      <c r="Q618" t="str">
        <f>IF(AND(TBL_Employees3[[#This Row],[Gender]]="Female",TBL_Employees3[[#This Row],[Ethnicity]]="Black"), "Female_Black", "Others")</f>
        <v>Others</v>
      </c>
      <c r="T618" t="str">
        <v>E03870</v>
      </c>
    </row>
    <row r="619" spans="1:20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7">
        <v>37662</v>
      </c>
      <c r="J619" s="1">
        <v>57032</v>
      </c>
      <c r="K619" s="2">
        <v>0</v>
      </c>
      <c r="L619" t="s">
        <v>19</v>
      </c>
      <c r="M619" t="s">
        <v>45</v>
      </c>
      <c r="N619" s="7" t="s">
        <v>21</v>
      </c>
      <c r="O619" s="1">
        <f>TBL_Employees3[[#This Row],[Annual Salary]]+TBL_Employees3[[#This Row],[Bonus %]]*TBL_Employees3[[#This Row],[Annual Salary]]</f>
        <v>57032</v>
      </c>
      <c r="P619" t="str">
        <f>IF(AND(TBL_Employees3[[#This Row],[Department]]="IT",TBL_Employees3[[#This Row],[Gender]]="Female"),"Yes","No")</f>
        <v>No</v>
      </c>
      <c r="Q619" t="str">
        <f>IF(AND(TBL_Employees3[[#This Row],[Gender]]="Female",TBL_Employees3[[#This Row],[Ethnicity]]="Black"), "Female_Black", "Others")</f>
        <v>Others</v>
      </c>
      <c r="T619" t="str">
        <v>E01927</v>
      </c>
    </row>
    <row r="620" spans="1:20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7">
        <v>39357</v>
      </c>
      <c r="J620" s="1">
        <v>98150</v>
      </c>
      <c r="K620" s="2">
        <v>0</v>
      </c>
      <c r="L620" t="s">
        <v>52</v>
      </c>
      <c r="M620" t="s">
        <v>66</v>
      </c>
      <c r="N620" s="7" t="s">
        <v>21</v>
      </c>
      <c r="O620" s="1">
        <f>TBL_Employees3[[#This Row],[Annual Salary]]+TBL_Employees3[[#This Row],[Bonus %]]*TBL_Employees3[[#This Row],[Annual Salary]]</f>
        <v>98150</v>
      </c>
      <c r="P620" t="str">
        <f>IF(AND(TBL_Employees3[[#This Row],[Department]]="IT",TBL_Employees3[[#This Row],[Gender]]="Female"),"Yes","No")</f>
        <v>No</v>
      </c>
      <c r="Q620" t="str">
        <f>IF(AND(TBL_Employees3[[#This Row],[Gender]]="Female",TBL_Employees3[[#This Row],[Ethnicity]]="Black"), "Female_Black", "Others")</f>
        <v>Others</v>
      </c>
      <c r="T620" t="str">
        <v>E03064</v>
      </c>
    </row>
    <row r="621" spans="1:20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7">
        <v>42800</v>
      </c>
      <c r="J621" s="1">
        <v>171426</v>
      </c>
      <c r="K621" s="2">
        <v>0.15</v>
      </c>
      <c r="L621" t="s">
        <v>33</v>
      </c>
      <c r="M621" t="s">
        <v>60</v>
      </c>
      <c r="N621" s="7">
        <v>43000</v>
      </c>
      <c r="O621" s="1">
        <f>TBL_Employees3[[#This Row],[Annual Salary]]+TBL_Employees3[[#This Row],[Bonus %]]*TBL_Employees3[[#This Row],[Annual Salary]]</f>
        <v>197139.9</v>
      </c>
      <c r="P621" t="str">
        <f>IF(AND(TBL_Employees3[[#This Row],[Department]]="IT",TBL_Employees3[[#This Row],[Gender]]="Female"),"Yes","No")</f>
        <v>No</v>
      </c>
      <c r="Q621" t="str">
        <f>IF(AND(TBL_Employees3[[#This Row],[Gender]]="Female",TBL_Employees3[[#This Row],[Ethnicity]]="Black"), "Female_Black", "Others")</f>
        <v>Others</v>
      </c>
      <c r="T621" t="str">
        <v>E01883</v>
      </c>
    </row>
    <row r="622" spans="1:20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7">
        <v>44302</v>
      </c>
      <c r="J622" s="1">
        <v>48266</v>
      </c>
      <c r="K622" s="2">
        <v>0</v>
      </c>
      <c r="L622" t="s">
        <v>19</v>
      </c>
      <c r="M622" t="s">
        <v>20</v>
      </c>
      <c r="N622" s="7" t="s">
        <v>21</v>
      </c>
      <c r="O622" s="1">
        <f>TBL_Employees3[[#This Row],[Annual Salary]]+TBL_Employees3[[#This Row],[Bonus %]]*TBL_Employees3[[#This Row],[Annual Salary]]</f>
        <v>48266</v>
      </c>
      <c r="P622" t="str">
        <f>IF(AND(TBL_Employees3[[#This Row],[Department]]="IT",TBL_Employees3[[#This Row],[Gender]]="Female"),"Yes","No")</f>
        <v>No</v>
      </c>
      <c r="Q622" t="str">
        <f>IF(AND(TBL_Employees3[[#This Row],[Gender]]="Female",TBL_Employees3[[#This Row],[Ethnicity]]="Black"), "Female_Black", "Others")</f>
        <v>Others</v>
      </c>
      <c r="T622" t="str">
        <v>E03984</v>
      </c>
    </row>
    <row r="623" spans="1:20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7">
        <v>43330</v>
      </c>
      <c r="J623" s="1">
        <v>223404</v>
      </c>
      <c r="K623" s="2">
        <v>0.32</v>
      </c>
      <c r="L623" t="s">
        <v>19</v>
      </c>
      <c r="M623" t="s">
        <v>29</v>
      </c>
      <c r="N623" s="7" t="s">
        <v>21</v>
      </c>
      <c r="O623" s="1">
        <f>TBL_Employees3[[#This Row],[Annual Salary]]+TBL_Employees3[[#This Row],[Bonus %]]*TBL_Employees3[[#This Row],[Annual Salary]]</f>
        <v>294893.28000000003</v>
      </c>
      <c r="P623" t="str">
        <f>IF(AND(TBL_Employees3[[#This Row],[Department]]="IT",TBL_Employees3[[#This Row],[Gender]]="Female"),"Yes","No")</f>
        <v>No</v>
      </c>
      <c r="Q623" t="str">
        <f>IF(AND(TBL_Employees3[[#This Row],[Gender]]="Female",TBL_Employees3[[#This Row],[Ethnicity]]="Black"), "Female_Black", "Others")</f>
        <v>Others</v>
      </c>
      <c r="T623" t="str">
        <v>E00446</v>
      </c>
    </row>
    <row r="624" spans="1:20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7">
        <v>41649</v>
      </c>
      <c r="J624" s="1">
        <v>74854</v>
      </c>
      <c r="K624" s="2">
        <v>0</v>
      </c>
      <c r="L624" t="s">
        <v>19</v>
      </c>
      <c r="M624" t="s">
        <v>63</v>
      </c>
      <c r="N624" s="7" t="s">
        <v>21</v>
      </c>
      <c r="O624" s="1">
        <f>TBL_Employees3[[#This Row],[Annual Salary]]+TBL_Employees3[[#This Row],[Bonus %]]*TBL_Employees3[[#This Row],[Annual Salary]]</f>
        <v>74854</v>
      </c>
      <c r="P624" t="str">
        <f>IF(AND(TBL_Employees3[[#This Row],[Department]]="IT",TBL_Employees3[[#This Row],[Gender]]="Female"),"Yes","No")</f>
        <v>Yes</v>
      </c>
      <c r="Q624" t="str">
        <f>IF(AND(TBL_Employees3[[#This Row],[Gender]]="Female",TBL_Employees3[[#This Row],[Ethnicity]]="Black"), "Female_Black", "Others")</f>
        <v>Others</v>
      </c>
      <c r="T624" t="str">
        <v>E02825</v>
      </c>
    </row>
    <row r="625" spans="1:20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7">
        <v>39197</v>
      </c>
      <c r="J625" s="1">
        <v>217783</v>
      </c>
      <c r="K625" s="2">
        <v>0.36</v>
      </c>
      <c r="L625" t="s">
        <v>19</v>
      </c>
      <c r="M625" t="s">
        <v>63</v>
      </c>
      <c r="N625" s="7" t="s">
        <v>21</v>
      </c>
      <c r="O625" s="1">
        <f>TBL_Employees3[[#This Row],[Annual Salary]]+TBL_Employees3[[#This Row],[Bonus %]]*TBL_Employees3[[#This Row],[Annual Salary]]</f>
        <v>296184.88</v>
      </c>
      <c r="P625" t="str">
        <f>IF(AND(TBL_Employees3[[#This Row],[Department]]="IT",TBL_Employees3[[#This Row],[Gender]]="Female"),"Yes","No")</f>
        <v>No</v>
      </c>
      <c r="Q625" t="str">
        <f>IF(AND(TBL_Employees3[[#This Row],[Gender]]="Female",TBL_Employees3[[#This Row],[Ethnicity]]="Black"), "Female_Black", "Others")</f>
        <v>Others</v>
      </c>
      <c r="T625" t="str">
        <v>E04174</v>
      </c>
    </row>
    <row r="626" spans="1:20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7">
        <v>38214</v>
      </c>
      <c r="J626" s="1">
        <v>44735</v>
      </c>
      <c r="K626" s="2">
        <v>0</v>
      </c>
      <c r="L626" t="s">
        <v>52</v>
      </c>
      <c r="M626" t="s">
        <v>81</v>
      </c>
      <c r="N626" s="7" t="s">
        <v>21</v>
      </c>
      <c r="O626" s="1">
        <f>TBL_Employees3[[#This Row],[Annual Salary]]+TBL_Employees3[[#This Row],[Bonus %]]*TBL_Employees3[[#This Row],[Annual Salary]]</f>
        <v>44735</v>
      </c>
      <c r="P626" t="str">
        <f>IF(AND(TBL_Employees3[[#This Row],[Department]]="IT",TBL_Employees3[[#This Row],[Gender]]="Female"),"Yes","No")</f>
        <v>Yes</v>
      </c>
      <c r="Q626" t="str">
        <f>IF(AND(TBL_Employees3[[#This Row],[Gender]]="Female",TBL_Employees3[[#This Row],[Ethnicity]]="Black"), "Female_Black", "Others")</f>
        <v>Others</v>
      </c>
      <c r="T626" t="str">
        <v>E01899</v>
      </c>
    </row>
    <row r="627" spans="1:20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7">
        <v>39091</v>
      </c>
      <c r="J627" s="1">
        <v>50685</v>
      </c>
      <c r="K627" s="2">
        <v>0</v>
      </c>
      <c r="L627" t="s">
        <v>19</v>
      </c>
      <c r="M627" t="s">
        <v>29</v>
      </c>
      <c r="N627" s="7" t="s">
        <v>21</v>
      </c>
      <c r="O627" s="1">
        <f>TBL_Employees3[[#This Row],[Annual Salary]]+TBL_Employees3[[#This Row],[Bonus %]]*TBL_Employees3[[#This Row],[Annual Salary]]</f>
        <v>50685</v>
      </c>
      <c r="P627" t="str">
        <f>IF(AND(TBL_Employees3[[#This Row],[Department]]="IT",TBL_Employees3[[#This Row],[Gender]]="Female"),"Yes","No")</f>
        <v>No</v>
      </c>
      <c r="Q627" t="str">
        <f>IF(AND(TBL_Employees3[[#This Row],[Gender]]="Female",TBL_Employees3[[#This Row],[Ethnicity]]="Black"), "Female_Black", "Others")</f>
        <v>Others</v>
      </c>
      <c r="T627" t="str">
        <v>E02562</v>
      </c>
    </row>
    <row r="628" spans="1:20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7">
        <v>43169</v>
      </c>
      <c r="J628" s="1">
        <v>58993</v>
      </c>
      <c r="K628" s="2">
        <v>0</v>
      </c>
      <c r="L628" t="s">
        <v>19</v>
      </c>
      <c r="M628" t="s">
        <v>25</v>
      </c>
      <c r="N628" s="7" t="s">
        <v>21</v>
      </c>
      <c r="O628" s="1">
        <f>TBL_Employees3[[#This Row],[Annual Salary]]+TBL_Employees3[[#This Row],[Bonus %]]*TBL_Employees3[[#This Row],[Annual Salary]]</f>
        <v>58993</v>
      </c>
      <c r="P628" t="str">
        <f>IF(AND(TBL_Employees3[[#This Row],[Department]]="IT",TBL_Employees3[[#This Row],[Gender]]="Female"),"Yes","No")</f>
        <v>No</v>
      </c>
      <c r="Q628" t="str">
        <f>IF(AND(TBL_Employees3[[#This Row],[Gender]]="Female",TBL_Employees3[[#This Row],[Ethnicity]]="Black"), "Female_Black", "Others")</f>
        <v>Others</v>
      </c>
      <c r="T628" t="str">
        <v>E01006</v>
      </c>
    </row>
    <row r="629" spans="1:20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7">
        <v>43990</v>
      </c>
      <c r="J629" s="1">
        <v>115765</v>
      </c>
      <c r="K629" s="2">
        <v>0</v>
      </c>
      <c r="L629" t="s">
        <v>19</v>
      </c>
      <c r="M629" t="s">
        <v>45</v>
      </c>
      <c r="N629" s="7">
        <v>44229</v>
      </c>
      <c r="O629" s="1">
        <f>TBL_Employees3[[#This Row],[Annual Salary]]+TBL_Employees3[[#This Row],[Bonus %]]*TBL_Employees3[[#This Row],[Annual Salary]]</f>
        <v>115765</v>
      </c>
      <c r="P629" t="str">
        <f>IF(AND(TBL_Employees3[[#This Row],[Department]]="IT",TBL_Employees3[[#This Row],[Gender]]="Female"),"Yes","No")</f>
        <v>No</v>
      </c>
      <c r="Q629" t="str">
        <f>IF(AND(TBL_Employees3[[#This Row],[Gender]]="Female",TBL_Employees3[[#This Row],[Ethnicity]]="Black"), "Female_Black", "Others")</f>
        <v>Others</v>
      </c>
      <c r="T629" t="str">
        <v>E02903</v>
      </c>
    </row>
    <row r="630" spans="1:20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7">
        <v>39147</v>
      </c>
      <c r="J630" s="1">
        <v>193044</v>
      </c>
      <c r="K630" s="2">
        <v>0.15</v>
      </c>
      <c r="L630" t="s">
        <v>19</v>
      </c>
      <c r="M630" t="s">
        <v>45</v>
      </c>
      <c r="N630" s="7" t="s">
        <v>21</v>
      </c>
      <c r="O630" s="1">
        <f>TBL_Employees3[[#This Row],[Annual Salary]]+TBL_Employees3[[#This Row],[Bonus %]]*TBL_Employees3[[#This Row],[Annual Salary]]</f>
        <v>222000.6</v>
      </c>
      <c r="P630" t="str">
        <f>IF(AND(TBL_Employees3[[#This Row],[Department]]="IT",TBL_Employees3[[#This Row],[Gender]]="Female"),"Yes","No")</f>
        <v>No</v>
      </c>
      <c r="Q630" t="str">
        <f>IF(AND(TBL_Employees3[[#This Row],[Gender]]="Female",TBL_Employees3[[#This Row],[Ethnicity]]="Black"), "Female_Black", "Others")</f>
        <v>Others</v>
      </c>
      <c r="T630" t="str">
        <v>E03642</v>
      </c>
    </row>
    <row r="631" spans="1:20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7">
        <v>40711</v>
      </c>
      <c r="J631" s="1">
        <v>56686</v>
      </c>
      <c r="K631" s="2">
        <v>0</v>
      </c>
      <c r="L631" t="s">
        <v>19</v>
      </c>
      <c r="M631" t="s">
        <v>63</v>
      </c>
      <c r="N631" s="7">
        <v>42164</v>
      </c>
      <c r="O631" s="1">
        <f>TBL_Employees3[[#This Row],[Annual Salary]]+TBL_Employees3[[#This Row],[Bonus %]]*TBL_Employees3[[#This Row],[Annual Salary]]</f>
        <v>56686</v>
      </c>
      <c r="P631" t="str">
        <f>IF(AND(TBL_Employees3[[#This Row],[Department]]="IT",TBL_Employees3[[#This Row],[Gender]]="Female"),"Yes","No")</f>
        <v>No</v>
      </c>
      <c r="Q631" t="str">
        <f>IF(AND(TBL_Employees3[[#This Row],[Gender]]="Female",TBL_Employees3[[#This Row],[Ethnicity]]="Black"), "Female_Black", "Others")</f>
        <v>Female_Black</v>
      </c>
      <c r="T631" t="str">
        <v>E02884</v>
      </c>
    </row>
    <row r="632" spans="1:20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7">
        <v>43763</v>
      </c>
      <c r="J632" s="1">
        <v>131652</v>
      </c>
      <c r="K632" s="2">
        <v>0.11</v>
      </c>
      <c r="L632" t="s">
        <v>19</v>
      </c>
      <c r="M632" t="s">
        <v>63</v>
      </c>
      <c r="N632" s="7" t="s">
        <v>21</v>
      </c>
      <c r="O632" s="1">
        <f>TBL_Employees3[[#This Row],[Annual Salary]]+TBL_Employees3[[#This Row],[Bonus %]]*TBL_Employees3[[#This Row],[Annual Salary]]</f>
        <v>146133.72</v>
      </c>
      <c r="P632" t="str">
        <f>IF(AND(TBL_Employees3[[#This Row],[Department]]="IT",TBL_Employees3[[#This Row],[Gender]]="Female"),"Yes","No")</f>
        <v>No</v>
      </c>
      <c r="Q632" t="str">
        <f>IF(AND(TBL_Employees3[[#This Row],[Gender]]="Female",TBL_Employees3[[#This Row],[Ethnicity]]="Black"), "Female_Black", "Others")</f>
        <v>Female_Black</v>
      </c>
      <c r="T632" t="str">
        <v>E00701</v>
      </c>
    </row>
    <row r="633" spans="1:20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7">
        <v>39507</v>
      </c>
      <c r="J633" s="1">
        <v>150577</v>
      </c>
      <c r="K633" s="2">
        <v>0.25</v>
      </c>
      <c r="L633" t="s">
        <v>19</v>
      </c>
      <c r="M633" t="s">
        <v>45</v>
      </c>
      <c r="N633" s="7" t="s">
        <v>21</v>
      </c>
      <c r="O633" s="1">
        <f>TBL_Employees3[[#This Row],[Annual Salary]]+TBL_Employees3[[#This Row],[Bonus %]]*TBL_Employees3[[#This Row],[Annual Salary]]</f>
        <v>188221.25</v>
      </c>
      <c r="P633" t="str">
        <f>IF(AND(TBL_Employees3[[#This Row],[Department]]="IT",TBL_Employees3[[#This Row],[Gender]]="Female"),"Yes","No")</f>
        <v>No</v>
      </c>
      <c r="Q633" t="str">
        <f>IF(AND(TBL_Employees3[[#This Row],[Gender]]="Female",TBL_Employees3[[#This Row],[Ethnicity]]="Black"), "Female_Black", "Others")</f>
        <v>Female_Black</v>
      </c>
      <c r="T633" t="str">
        <v>E04720</v>
      </c>
    </row>
    <row r="634" spans="1:20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7">
        <v>43461</v>
      </c>
      <c r="J634" s="1">
        <v>87359</v>
      </c>
      <c r="K634" s="2">
        <v>0.11</v>
      </c>
      <c r="L634" t="s">
        <v>52</v>
      </c>
      <c r="M634" t="s">
        <v>66</v>
      </c>
      <c r="N634" s="7" t="s">
        <v>21</v>
      </c>
      <c r="O634" s="1">
        <f>TBL_Employees3[[#This Row],[Annual Salary]]+TBL_Employees3[[#This Row],[Bonus %]]*TBL_Employees3[[#This Row],[Annual Salary]]</f>
        <v>96968.49</v>
      </c>
      <c r="P634" t="str">
        <f>IF(AND(TBL_Employees3[[#This Row],[Department]]="IT",TBL_Employees3[[#This Row],[Gender]]="Female"),"Yes","No")</f>
        <v>No</v>
      </c>
      <c r="Q634" t="str">
        <f>IF(AND(TBL_Employees3[[#This Row],[Gender]]="Female",TBL_Employees3[[#This Row],[Ethnicity]]="Black"), "Female_Black", "Others")</f>
        <v>Others</v>
      </c>
      <c r="T634" t="str">
        <v>E01985</v>
      </c>
    </row>
    <row r="635" spans="1:20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7">
        <v>41647</v>
      </c>
      <c r="J635" s="1">
        <v>51877</v>
      </c>
      <c r="K635" s="2">
        <v>0</v>
      </c>
      <c r="L635" t="s">
        <v>33</v>
      </c>
      <c r="M635" t="s">
        <v>60</v>
      </c>
      <c r="N635" s="7" t="s">
        <v>21</v>
      </c>
      <c r="O635" s="1">
        <f>TBL_Employees3[[#This Row],[Annual Salary]]+TBL_Employees3[[#This Row],[Bonus %]]*TBL_Employees3[[#This Row],[Annual Salary]]</f>
        <v>51877</v>
      </c>
      <c r="P635" t="str">
        <f>IF(AND(TBL_Employees3[[#This Row],[Department]]="IT",TBL_Employees3[[#This Row],[Gender]]="Female"),"Yes","No")</f>
        <v>No</v>
      </c>
      <c r="Q635" t="str">
        <f>IF(AND(TBL_Employees3[[#This Row],[Gender]]="Female",TBL_Employees3[[#This Row],[Ethnicity]]="Black"), "Female_Black", "Others")</f>
        <v>Others</v>
      </c>
      <c r="T635" t="str">
        <v>E03273</v>
      </c>
    </row>
    <row r="636" spans="1:20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7">
        <v>42753</v>
      </c>
      <c r="J636" s="1">
        <v>86417</v>
      </c>
      <c r="K636" s="2">
        <v>0</v>
      </c>
      <c r="L636" t="s">
        <v>19</v>
      </c>
      <c r="M636" t="s">
        <v>20</v>
      </c>
      <c r="N636" s="7" t="s">
        <v>21</v>
      </c>
      <c r="O636" s="1">
        <f>TBL_Employees3[[#This Row],[Annual Salary]]+TBL_Employees3[[#This Row],[Bonus %]]*TBL_Employees3[[#This Row],[Annual Salary]]</f>
        <v>86417</v>
      </c>
      <c r="P636" t="str">
        <f>IF(AND(TBL_Employees3[[#This Row],[Department]]="IT",TBL_Employees3[[#This Row],[Gender]]="Female"),"Yes","No")</f>
        <v>No</v>
      </c>
      <c r="Q636" t="str">
        <f>IF(AND(TBL_Employees3[[#This Row],[Gender]]="Female",TBL_Employees3[[#This Row],[Ethnicity]]="Black"), "Female_Black", "Others")</f>
        <v>Others</v>
      </c>
      <c r="T636" t="str">
        <v>E02415</v>
      </c>
    </row>
    <row r="637" spans="1:20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7">
        <v>37749</v>
      </c>
      <c r="J637" s="1">
        <v>96548</v>
      </c>
      <c r="K637" s="2">
        <v>0</v>
      </c>
      <c r="L637" t="s">
        <v>19</v>
      </c>
      <c r="M637" t="s">
        <v>25</v>
      </c>
      <c r="N637" s="7" t="s">
        <v>21</v>
      </c>
      <c r="O637" s="1">
        <f>TBL_Employees3[[#This Row],[Annual Salary]]+TBL_Employees3[[#This Row],[Bonus %]]*TBL_Employees3[[#This Row],[Annual Salary]]</f>
        <v>96548</v>
      </c>
      <c r="P637" t="str">
        <f>IF(AND(TBL_Employees3[[#This Row],[Department]]="IT",TBL_Employees3[[#This Row],[Gender]]="Female"),"Yes","No")</f>
        <v>Yes</v>
      </c>
      <c r="Q637" t="str">
        <f>IF(AND(TBL_Employees3[[#This Row],[Gender]]="Female",TBL_Employees3[[#This Row],[Ethnicity]]="Black"), "Female_Black", "Others")</f>
        <v>Others</v>
      </c>
      <c r="T637" t="str">
        <v>E02877</v>
      </c>
    </row>
    <row r="638" spans="1:20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7">
        <v>41662</v>
      </c>
      <c r="J638" s="1">
        <v>92940</v>
      </c>
      <c r="K638" s="2">
        <v>0</v>
      </c>
      <c r="L638" t="s">
        <v>33</v>
      </c>
      <c r="M638" t="s">
        <v>34</v>
      </c>
      <c r="N638" s="7" t="s">
        <v>21</v>
      </c>
      <c r="O638" s="1">
        <f>TBL_Employees3[[#This Row],[Annual Salary]]+TBL_Employees3[[#This Row],[Bonus %]]*TBL_Employees3[[#This Row],[Annual Salary]]</f>
        <v>92940</v>
      </c>
      <c r="P638" t="str">
        <f>IF(AND(TBL_Employees3[[#This Row],[Department]]="IT",TBL_Employees3[[#This Row],[Gender]]="Female"),"Yes","No")</f>
        <v>No</v>
      </c>
      <c r="Q638" t="str">
        <f>IF(AND(TBL_Employees3[[#This Row],[Gender]]="Female",TBL_Employees3[[#This Row],[Ethnicity]]="Black"), "Female_Black", "Others")</f>
        <v>Others</v>
      </c>
      <c r="T638" t="str">
        <v>E00091</v>
      </c>
    </row>
    <row r="639" spans="1:20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7">
        <v>43336</v>
      </c>
      <c r="J639" s="1">
        <v>61410</v>
      </c>
      <c r="K639" s="2">
        <v>0</v>
      </c>
      <c r="L639" t="s">
        <v>19</v>
      </c>
      <c r="M639" t="s">
        <v>39</v>
      </c>
      <c r="N639" s="7" t="s">
        <v>21</v>
      </c>
      <c r="O639" s="1">
        <f>TBL_Employees3[[#This Row],[Annual Salary]]+TBL_Employees3[[#This Row],[Bonus %]]*TBL_Employees3[[#This Row],[Annual Salary]]</f>
        <v>61410</v>
      </c>
      <c r="P639" t="str">
        <f>IF(AND(TBL_Employees3[[#This Row],[Department]]="IT",TBL_Employees3[[#This Row],[Gender]]="Female"),"Yes","No")</f>
        <v>No</v>
      </c>
      <c r="Q639" t="str">
        <f>IF(AND(TBL_Employees3[[#This Row],[Gender]]="Female",TBL_Employees3[[#This Row],[Ethnicity]]="Black"), "Female_Black", "Others")</f>
        <v>Others</v>
      </c>
      <c r="T639" t="str">
        <v>E02563</v>
      </c>
    </row>
    <row r="640" spans="1:20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7">
        <v>40293</v>
      </c>
      <c r="J640" s="1">
        <v>110302</v>
      </c>
      <c r="K640" s="2">
        <v>0.06</v>
      </c>
      <c r="L640" t="s">
        <v>19</v>
      </c>
      <c r="M640" t="s">
        <v>45</v>
      </c>
      <c r="N640" s="7" t="s">
        <v>21</v>
      </c>
      <c r="O640" s="1">
        <f>TBL_Employees3[[#This Row],[Annual Salary]]+TBL_Employees3[[#This Row],[Bonus %]]*TBL_Employees3[[#This Row],[Annual Salary]]</f>
        <v>116920.12</v>
      </c>
      <c r="P640" t="str">
        <f>IF(AND(TBL_Employees3[[#This Row],[Department]]="IT",TBL_Employees3[[#This Row],[Gender]]="Female"),"Yes","No")</f>
        <v>No</v>
      </c>
      <c r="Q640" t="str">
        <f>IF(AND(TBL_Employees3[[#This Row],[Gender]]="Female",TBL_Employees3[[#This Row],[Ethnicity]]="Black"), "Female_Black", "Others")</f>
        <v>Female_Black</v>
      </c>
      <c r="T640" t="str">
        <v>E04221</v>
      </c>
    </row>
    <row r="641" spans="1:20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7">
        <v>43212</v>
      </c>
      <c r="J641" s="1">
        <v>187205</v>
      </c>
      <c r="K641" s="2">
        <v>0.24</v>
      </c>
      <c r="L641" t="s">
        <v>19</v>
      </c>
      <c r="M641" t="s">
        <v>29</v>
      </c>
      <c r="N641" s="7">
        <v>44732</v>
      </c>
      <c r="O641" s="1">
        <f>TBL_Employees3[[#This Row],[Annual Salary]]+TBL_Employees3[[#This Row],[Bonus %]]*TBL_Employees3[[#This Row],[Annual Salary]]</f>
        <v>232134.2</v>
      </c>
      <c r="P641" t="str">
        <f>IF(AND(TBL_Employees3[[#This Row],[Department]]="IT",TBL_Employees3[[#This Row],[Gender]]="Female"),"Yes","No")</f>
        <v>No</v>
      </c>
      <c r="Q641" t="str">
        <f>IF(AND(TBL_Employees3[[#This Row],[Gender]]="Female",TBL_Employees3[[#This Row],[Ethnicity]]="Black"), "Female_Black", "Others")</f>
        <v>Female_Black</v>
      </c>
      <c r="T641" t="str">
        <v>E04887</v>
      </c>
    </row>
    <row r="642" spans="1:20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7">
        <v>40618</v>
      </c>
      <c r="J642" s="1">
        <v>81687</v>
      </c>
      <c r="K642" s="2">
        <v>0</v>
      </c>
      <c r="L642" t="s">
        <v>19</v>
      </c>
      <c r="M642" t="s">
        <v>39</v>
      </c>
      <c r="N642" s="7" t="s">
        <v>21</v>
      </c>
      <c r="O642" s="1">
        <f>TBL_Employees3[[#This Row],[Annual Salary]]+TBL_Employees3[[#This Row],[Bonus %]]*TBL_Employees3[[#This Row],[Annual Salary]]</f>
        <v>81687</v>
      </c>
      <c r="P642" t="str">
        <f>IF(AND(TBL_Employees3[[#This Row],[Department]]="IT",TBL_Employees3[[#This Row],[Gender]]="Female"),"Yes","No")</f>
        <v>No</v>
      </c>
      <c r="Q642" t="str">
        <f>IF(AND(TBL_Employees3[[#This Row],[Gender]]="Female",TBL_Employees3[[#This Row],[Ethnicity]]="Black"), "Female_Black", "Others")</f>
        <v>Others</v>
      </c>
      <c r="T642" t="str">
        <v>E03170</v>
      </c>
    </row>
    <row r="643" spans="1:20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7">
        <v>40040</v>
      </c>
      <c r="J643" s="1">
        <v>241083</v>
      </c>
      <c r="K643" s="2">
        <v>0.39</v>
      </c>
      <c r="L643" t="s">
        <v>19</v>
      </c>
      <c r="M643" t="s">
        <v>29</v>
      </c>
      <c r="N643" s="7" t="s">
        <v>21</v>
      </c>
      <c r="O643" s="1">
        <f>TBL_Employees3[[#This Row],[Annual Salary]]+TBL_Employees3[[#This Row],[Bonus %]]*TBL_Employees3[[#This Row],[Annual Salary]]</f>
        <v>335105.37</v>
      </c>
      <c r="P643" t="str">
        <f>IF(AND(TBL_Employees3[[#This Row],[Department]]="IT",TBL_Employees3[[#This Row],[Gender]]="Female"),"Yes","No")</f>
        <v>No</v>
      </c>
      <c r="Q643" t="str">
        <f>IF(AND(TBL_Employees3[[#This Row],[Gender]]="Female",TBL_Employees3[[#This Row],[Ethnicity]]="Black"), "Female_Black", "Others")</f>
        <v>Others</v>
      </c>
      <c r="T643" t="str">
        <v>E01636</v>
      </c>
    </row>
    <row r="644" spans="1:20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7">
        <v>43413</v>
      </c>
      <c r="J644" s="1">
        <v>223805</v>
      </c>
      <c r="K644" s="2">
        <v>0.36</v>
      </c>
      <c r="L644" t="s">
        <v>19</v>
      </c>
      <c r="M644" t="s">
        <v>20</v>
      </c>
      <c r="N644" s="7" t="s">
        <v>21</v>
      </c>
      <c r="O644" s="1">
        <f>TBL_Employees3[[#This Row],[Annual Salary]]+TBL_Employees3[[#This Row],[Bonus %]]*TBL_Employees3[[#This Row],[Annual Salary]]</f>
        <v>304374.8</v>
      </c>
      <c r="P644" t="str">
        <f>IF(AND(TBL_Employees3[[#This Row],[Department]]="IT",TBL_Employees3[[#This Row],[Gender]]="Female"),"Yes","No")</f>
        <v>No</v>
      </c>
      <c r="Q644" t="str">
        <f>IF(AND(TBL_Employees3[[#This Row],[Gender]]="Female",TBL_Employees3[[#This Row],[Ethnicity]]="Black"), "Female_Black", "Others")</f>
        <v>Female_Black</v>
      </c>
      <c r="T644" t="str">
        <v>E01387</v>
      </c>
    </row>
    <row r="645" spans="1:20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7">
        <v>44393</v>
      </c>
      <c r="J645" s="1">
        <v>161759</v>
      </c>
      <c r="K645" s="2">
        <v>0.16</v>
      </c>
      <c r="L645" t="s">
        <v>19</v>
      </c>
      <c r="M645" t="s">
        <v>45</v>
      </c>
      <c r="N645" s="7" t="s">
        <v>21</v>
      </c>
      <c r="O645" s="1">
        <f>TBL_Employees3[[#This Row],[Annual Salary]]+TBL_Employees3[[#This Row],[Bonus %]]*TBL_Employees3[[#This Row],[Annual Salary]]</f>
        <v>187640.44</v>
      </c>
      <c r="P645" t="str">
        <f>IF(AND(TBL_Employees3[[#This Row],[Department]]="IT",TBL_Employees3[[#This Row],[Gender]]="Female"),"Yes","No")</f>
        <v>No</v>
      </c>
      <c r="Q645" t="str">
        <f>IF(AND(TBL_Employees3[[#This Row],[Gender]]="Female",TBL_Employees3[[#This Row],[Ethnicity]]="Black"), "Female_Black", "Others")</f>
        <v>Others</v>
      </c>
      <c r="T645" t="str">
        <v>E01363</v>
      </c>
    </row>
    <row r="646" spans="1:20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7">
        <v>43520</v>
      </c>
      <c r="J646" s="1">
        <v>95899</v>
      </c>
      <c r="K646" s="2">
        <v>0.1</v>
      </c>
      <c r="L646" t="s">
        <v>19</v>
      </c>
      <c r="M646" t="s">
        <v>29</v>
      </c>
      <c r="N646" s="7">
        <v>44263</v>
      </c>
      <c r="O646" s="1">
        <f>TBL_Employees3[[#This Row],[Annual Salary]]+TBL_Employees3[[#This Row],[Bonus %]]*TBL_Employees3[[#This Row],[Annual Salary]]</f>
        <v>105488.9</v>
      </c>
      <c r="P646" t="str">
        <f>IF(AND(TBL_Employees3[[#This Row],[Department]]="IT",TBL_Employees3[[#This Row],[Gender]]="Female"),"Yes","No")</f>
        <v>No</v>
      </c>
      <c r="Q646" t="str">
        <f>IF(AND(TBL_Employees3[[#This Row],[Gender]]="Female",TBL_Employees3[[#This Row],[Ethnicity]]="Black"), "Female_Black", "Others")</f>
        <v>Others</v>
      </c>
      <c r="T646" t="str">
        <v>E02249</v>
      </c>
    </row>
    <row r="647" spans="1:20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7">
        <v>43623</v>
      </c>
      <c r="J647" s="1">
        <v>80700</v>
      </c>
      <c r="K647" s="2">
        <v>0</v>
      </c>
      <c r="L647" t="s">
        <v>19</v>
      </c>
      <c r="M647" t="s">
        <v>29</v>
      </c>
      <c r="N647" s="7" t="s">
        <v>21</v>
      </c>
      <c r="O647" s="1">
        <f>TBL_Employees3[[#This Row],[Annual Salary]]+TBL_Employees3[[#This Row],[Bonus %]]*TBL_Employees3[[#This Row],[Annual Salary]]</f>
        <v>80700</v>
      </c>
      <c r="P647" t="str">
        <f>IF(AND(TBL_Employees3[[#This Row],[Department]]="IT",TBL_Employees3[[#This Row],[Gender]]="Female"),"Yes","No")</f>
        <v>No</v>
      </c>
      <c r="Q647" t="str">
        <f>IF(AND(TBL_Employees3[[#This Row],[Gender]]="Female",TBL_Employees3[[#This Row],[Ethnicity]]="Black"), "Female_Black", "Others")</f>
        <v>Others</v>
      </c>
      <c r="T647" t="str">
        <v>E02987</v>
      </c>
    </row>
    <row r="648" spans="1:20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7">
        <v>35500</v>
      </c>
      <c r="J648" s="1">
        <v>128136</v>
      </c>
      <c r="K648" s="2">
        <v>0.05</v>
      </c>
      <c r="L648" t="s">
        <v>33</v>
      </c>
      <c r="M648" t="s">
        <v>60</v>
      </c>
      <c r="N648" s="7" t="s">
        <v>21</v>
      </c>
      <c r="O648" s="1">
        <f>TBL_Employees3[[#This Row],[Annual Salary]]+TBL_Employees3[[#This Row],[Bonus %]]*TBL_Employees3[[#This Row],[Annual Salary]]</f>
        <v>134542.79999999999</v>
      </c>
      <c r="P648" t="str">
        <f>IF(AND(TBL_Employees3[[#This Row],[Department]]="IT",TBL_Employees3[[#This Row],[Gender]]="Female"),"Yes","No")</f>
        <v>No</v>
      </c>
      <c r="Q648" t="str">
        <f>IF(AND(TBL_Employees3[[#This Row],[Gender]]="Female",TBL_Employees3[[#This Row],[Ethnicity]]="Black"), "Female_Black", "Others")</f>
        <v>Others</v>
      </c>
      <c r="T648" t="str">
        <v>E03655</v>
      </c>
    </row>
    <row r="649" spans="1:20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7">
        <v>42843</v>
      </c>
      <c r="J649" s="1">
        <v>58745</v>
      </c>
      <c r="K649" s="2">
        <v>0</v>
      </c>
      <c r="L649" t="s">
        <v>19</v>
      </c>
      <c r="M649" t="s">
        <v>25</v>
      </c>
      <c r="N649" s="7" t="s">
        <v>21</v>
      </c>
      <c r="O649" s="1">
        <f>TBL_Employees3[[#This Row],[Annual Salary]]+TBL_Employees3[[#This Row],[Bonus %]]*TBL_Employees3[[#This Row],[Annual Salary]]</f>
        <v>58745</v>
      </c>
      <c r="P649" t="str">
        <f>IF(AND(TBL_Employees3[[#This Row],[Department]]="IT",TBL_Employees3[[#This Row],[Gender]]="Female"),"Yes","No")</f>
        <v>No</v>
      </c>
      <c r="Q649" t="str">
        <f>IF(AND(TBL_Employees3[[#This Row],[Gender]]="Female",TBL_Employees3[[#This Row],[Ethnicity]]="Black"), "Female_Black", "Others")</f>
        <v>Others</v>
      </c>
      <c r="T649" t="str">
        <v>E04048</v>
      </c>
    </row>
    <row r="650" spans="1:20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7">
        <v>33728</v>
      </c>
      <c r="J650" s="1">
        <v>76202</v>
      </c>
      <c r="K650" s="2">
        <v>0</v>
      </c>
      <c r="L650" t="s">
        <v>19</v>
      </c>
      <c r="M650" t="s">
        <v>25</v>
      </c>
      <c r="N650" s="7">
        <v>34686</v>
      </c>
      <c r="O650" s="1">
        <f>TBL_Employees3[[#This Row],[Annual Salary]]+TBL_Employees3[[#This Row],[Bonus %]]*TBL_Employees3[[#This Row],[Annual Salary]]</f>
        <v>76202</v>
      </c>
      <c r="P650" t="str">
        <f>IF(AND(TBL_Employees3[[#This Row],[Department]]="IT",TBL_Employees3[[#This Row],[Gender]]="Female"),"Yes","No")</f>
        <v>Yes</v>
      </c>
      <c r="Q650" t="str">
        <f>IF(AND(TBL_Employees3[[#This Row],[Gender]]="Female",TBL_Employees3[[#This Row],[Ethnicity]]="Black"), "Female_Black", "Others")</f>
        <v>Others</v>
      </c>
      <c r="T650" t="str">
        <v>E03626</v>
      </c>
    </row>
    <row r="651" spans="1:20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7">
        <v>43178</v>
      </c>
      <c r="J651" s="1">
        <v>195200</v>
      </c>
      <c r="K651" s="2">
        <v>0.36</v>
      </c>
      <c r="L651" t="s">
        <v>19</v>
      </c>
      <c r="M651" t="s">
        <v>25</v>
      </c>
      <c r="N651" s="7" t="s">
        <v>21</v>
      </c>
      <c r="O651" s="1">
        <f>TBL_Employees3[[#This Row],[Annual Salary]]+TBL_Employees3[[#This Row],[Bonus %]]*TBL_Employees3[[#This Row],[Annual Salary]]</f>
        <v>265472</v>
      </c>
      <c r="P651" t="str">
        <f>IF(AND(TBL_Employees3[[#This Row],[Department]]="IT",TBL_Employees3[[#This Row],[Gender]]="Female"),"Yes","No")</f>
        <v>No</v>
      </c>
      <c r="Q651" t="str">
        <f>IF(AND(TBL_Employees3[[#This Row],[Gender]]="Female",TBL_Employees3[[#This Row],[Ethnicity]]="Black"), "Female_Black", "Others")</f>
        <v>Others</v>
      </c>
      <c r="T651" t="str">
        <v>E02920</v>
      </c>
    </row>
    <row r="652" spans="1:20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7">
        <v>42711</v>
      </c>
      <c r="J652" s="1">
        <v>71454</v>
      </c>
      <c r="K652" s="2">
        <v>0</v>
      </c>
      <c r="L652" t="s">
        <v>33</v>
      </c>
      <c r="M652" t="s">
        <v>74</v>
      </c>
      <c r="N652" s="7" t="s">
        <v>21</v>
      </c>
      <c r="O652" s="1">
        <f>TBL_Employees3[[#This Row],[Annual Salary]]+TBL_Employees3[[#This Row],[Bonus %]]*TBL_Employees3[[#This Row],[Annual Salary]]</f>
        <v>71454</v>
      </c>
      <c r="P652" t="str">
        <f>IF(AND(TBL_Employees3[[#This Row],[Department]]="IT",TBL_Employees3[[#This Row],[Gender]]="Female"),"Yes","No")</f>
        <v>No</v>
      </c>
      <c r="Q652" t="str">
        <f>IF(AND(TBL_Employees3[[#This Row],[Gender]]="Female",TBL_Employees3[[#This Row],[Ethnicity]]="Black"), "Female_Black", "Others")</f>
        <v>Others</v>
      </c>
      <c r="T652" t="str">
        <v>E03220</v>
      </c>
    </row>
    <row r="653" spans="1:20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7">
        <v>43864</v>
      </c>
      <c r="J653" s="1">
        <v>94652</v>
      </c>
      <c r="K653" s="2">
        <v>0</v>
      </c>
      <c r="L653" t="s">
        <v>19</v>
      </c>
      <c r="M653" t="s">
        <v>63</v>
      </c>
      <c r="N653" s="7" t="s">
        <v>21</v>
      </c>
      <c r="O653" s="1">
        <f>TBL_Employees3[[#This Row],[Annual Salary]]+TBL_Employees3[[#This Row],[Bonus %]]*TBL_Employees3[[#This Row],[Annual Salary]]</f>
        <v>94652</v>
      </c>
      <c r="P653" t="str">
        <f>IF(AND(TBL_Employees3[[#This Row],[Department]]="IT",TBL_Employees3[[#This Row],[Gender]]="Female"),"Yes","No")</f>
        <v>Yes</v>
      </c>
      <c r="Q653" t="str">
        <f>IF(AND(TBL_Employees3[[#This Row],[Gender]]="Female",TBL_Employees3[[#This Row],[Ethnicity]]="Black"), "Female_Black", "Others")</f>
        <v>Others</v>
      </c>
      <c r="T653" t="str">
        <v>E01347</v>
      </c>
    </row>
    <row r="654" spans="1:20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7">
        <v>42416</v>
      </c>
      <c r="J654" s="1">
        <v>63411</v>
      </c>
      <c r="K654" s="2">
        <v>0</v>
      </c>
      <c r="L654" t="s">
        <v>19</v>
      </c>
      <c r="M654" t="s">
        <v>45</v>
      </c>
      <c r="N654" s="7" t="s">
        <v>21</v>
      </c>
      <c r="O654" s="1">
        <f>TBL_Employees3[[#This Row],[Annual Salary]]+TBL_Employees3[[#This Row],[Bonus %]]*TBL_Employees3[[#This Row],[Annual Salary]]</f>
        <v>63411</v>
      </c>
      <c r="P654" t="str">
        <f>IF(AND(TBL_Employees3[[#This Row],[Department]]="IT",TBL_Employees3[[#This Row],[Gender]]="Female"),"Yes","No")</f>
        <v>No</v>
      </c>
      <c r="Q654" t="str">
        <f>IF(AND(TBL_Employees3[[#This Row],[Gender]]="Female",TBL_Employees3[[#This Row],[Ethnicity]]="Black"), "Female_Black", "Others")</f>
        <v>Others</v>
      </c>
      <c r="T654" t="str">
        <v>E03968</v>
      </c>
    </row>
    <row r="655" spans="1:20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7">
        <v>43878</v>
      </c>
      <c r="J655" s="1">
        <v>67171</v>
      </c>
      <c r="K655" s="2">
        <v>0</v>
      </c>
      <c r="L655" t="s">
        <v>33</v>
      </c>
      <c r="M655" t="s">
        <v>80</v>
      </c>
      <c r="N655" s="7">
        <v>44317</v>
      </c>
      <c r="O655" s="1">
        <f>TBL_Employees3[[#This Row],[Annual Salary]]+TBL_Employees3[[#This Row],[Bonus %]]*TBL_Employees3[[#This Row],[Annual Salary]]</f>
        <v>67171</v>
      </c>
      <c r="P655" t="str">
        <f>IF(AND(TBL_Employees3[[#This Row],[Department]]="IT",TBL_Employees3[[#This Row],[Gender]]="Female"),"Yes","No")</f>
        <v>No</v>
      </c>
      <c r="Q655" t="str">
        <f>IF(AND(TBL_Employees3[[#This Row],[Gender]]="Female",TBL_Employees3[[#This Row],[Ethnicity]]="Black"), "Female_Black", "Others")</f>
        <v>Others</v>
      </c>
      <c r="T655" t="str">
        <v>E04299</v>
      </c>
    </row>
    <row r="656" spans="1:20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7">
        <v>43652</v>
      </c>
      <c r="J656" s="1">
        <v>152036</v>
      </c>
      <c r="K656" s="2">
        <v>0.15</v>
      </c>
      <c r="L656" t="s">
        <v>52</v>
      </c>
      <c r="M656" t="s">
        <v>66</v>
      </c>
      <c r="N656" s="7" t="s">
        <v>21</v>
      </c>
      <c r="O656" s="1">
        <f>TBL_Employees3[[#This Row],[Annual Salary]]+TBL_Employees3[[#This Row],[Bonus %]]*TBL_Employees3[[#This Row],[Annual Salary]]</f>
        <v>174841.4</v>
      </c>
      <c r="P656" t="str">
        <f>IF(AND(TBL_Employees3[[#This Row],[Department]]="IT",TBL_Employees3[[#This Row],[Gender]]="Female"),"Yes","No")</f>
        <v>No</v>
      </c>
      <c r="Q656" t="str">
        <f>IF(AND(TBL_Employees3[[#This Row],[Gender]]="Female",TBL_Employees3[[#This Row],[Ethnicity]]="Black"), "Female_Black", "Others")</f>
        <v>Others</v>
      </c>
      <c r="T656" t="str">
        <v>E01150</v>
      </c>
    </row>
    <row r="657" spans="1:20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7">
        <v>44276</v>
      </c>
      <c r="J657" s="1">
        <v>95562</v>
      </c>
      <c r="K657" s="2">
        <v>0</v>
      </c>
      <c r="L657" t="s">
        <v>19</v>
      </c>
      <c r="M657" t="s">
        <v>20</v>
      </c>
      <c r="N657" s="7" t="s">
        <v>21</v>
      </c>
      <c r="O657" s="1">
        <f>TBL_Employees3[[#This Row],[Annual Salary]]+TBL_Employees3[[#This Row],[Bonus %]]*TBL_Employees3[[#This Row],[Annual Salary]]</f>
        <v>95562</v>
      </c>
      <c r="P657" t="str">
        <f>IF(AND(TBL_Employees3[[#This Row],[Department]]="IT",TBL_Employees3[[#This Row],[Gender]]="Female"),"Yes","No")</f>
        <v>No</v>
      </c>
      <c r="Q657" t="str">
        <f>IF(AND(TBL_Employees3[[#This Row],[Gender]]="Female",TBL_Employees3[[#This Row],[Ethnicity]]="Black"), "Female_Black", "Others")</f>
        <v>Female_Black</v>
      </c>
      <c r="T657" t="str">
        <v>E03774</v>
      </c>
    </row>
    <row r="658" spans="1:20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7">
        <v>43773</v>
      </c>
      <c r="J658" s="1">
        <v>96092</v>
      </c>
      <c r="K658" s="2">
        <v>0</v>
      </c>
      <c r="L658" t="s">
        <v>19</v>
      </c>
      <c r="M658" t="s">
        <v>25</v>
      </c>
      <c r="N658" s="7" t="s">
        <v>21</v>
      </c>
      <c r="O658" s="1">
        <f>TBL_Employees3[[#This Row],[Annual Salary]]+TBL_Employees3[[#This Row],[Bonus %]]*TBL_Employees3[[#This Row],[Annual Salary]]</f>
        <v>96092</v>
      </c>
      <c r="P658" t="str">
        <f>IF(AND(TBL_Employees3[[#This Row],[Department]]="IT",TBL_Employees3[[#This Row],[Gender]]="Female"),"Yes","No")</f>
        <v>No</v>
      </c>
      <c r="Q658" t="str">
        <f>IF(AND(TBL_Employees3[[#This Row],[Gender]]="Female",TBL_Employees3[[#This Row],[Ethnicity]]="Black"), "Female_Black", "Others")</f>
        <v>Others</v>
      </c>
      <c r="T658" t="str">
        <v>E01877</v>
      </c>
    </row>
    <row r="659" spans="1:20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7">
        <v>41428</v>
      </c>
      <c r="J659" s="1">
        <v>254289</v>
      </c>
      <c r="K659" s="2">
        <v>0.39</v>
      </c>
      <c r="L659" t="s">
        <v>19</v>
      </c>
      <c r="M659" t="s">
        <v>20</v>
      </c>
      <c r="N659" s="7" t="s">
        <v>21</v>
      </c>
      <c r="O659" s="1">
        <f>TBL_Employees3[[#This Row],[Annual Salary]]+TBL_Employees3[[#This Row],[Bonus %]]*TBL_Employees3[[#This Row],[Annual Salary]]</f>
        <v>353461.71</v>
      </c>
      <c r="P659" t="str">
        <f>IF(AND(TBL_Employees3[[#This Row],[Department]]="IT",TBL_Employees3[[#This Row],[Gender]]="Female"),"Yes","No")</f>
        <v>No</v>
      </c>
      <c r="Q659" t="str">
        <f>IF(AND(TBL_Employees3[[#This Row],[Gender]]="Female",TBL_Employees3[[#This Row],[Ethnicity]]="Black"), "Female_Black", "Others")</f>
        <v>Others</v>
      </c>
      <c r="T659" t="str">
        <v>E01193</v>
      </c>
    </row>
    <row r="660" spans="1:20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7">
        <v>43656</v>
      </c>
      <c r="J660" s="1">
        <v>69110</v>
      </c>
      <c r="K660" s="2">
        <v>0.05</v>
      </c>
      <c r="L660" t="s">
        <v>19</v>
      </c>
      <c r="M660" t="s">
        <v>20</v>
      </c>
      <c r="N660" s="7" t="s">
        <v>21</v>
      </c>
      <c r="O660" s="1">
        <f>TBL_Employees3[[#This Row],[Annual Salary]]+TBL_Employees3[[#This Row],[Bonus %]]*TBL_Employees3[[#This Row],[Annual Salary]]</f>
        <v>72565.5</v>
      </c>
      <c r="P660" t="str">
        <f>IF(AND(TBL_Employees3[[#This Row],[Department]]="IT",TBL_Employees3[[#This Row],[Gender]]="Female"),"Yes","No")</f>
        <v>No</v>
      </c>
      <c r="Q660" t="str">
        <f>IF(AND(TBL_Employees3[[#This Row],[Gender]]="Female",TBL_Employees3[[#This Row],[Ethnicity]]="Black"), "Female_Black", "Others")</f>
        <v>Others</v>
      </c>
      <c r="T660" t="str">
        <v>E01789</v>
      </c>
    </row>
    <row r="661" spans="1:20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7">
        <v>37418</v>
      </c>
      <c r="J661" s="1">
        <v>236314</v>
      </c>
      <c r="K661" s="2">
        <v>0.34</v>
      </c>
      <c r="L661" t="s">
        <v>19</v>
      </c>
      <c r="M661" t="s">
        <v>45</v>
      </c>
      <c r="N661" s="7" t="s">
        <v>21</v>
      </c>
      <c r="O661" s="1">
        <f>TBL_Employees3[[#This Row],[Annual Salary]]+TBL_Employees3[[#This Row],[Bonus %]]*TBL_Employees3[[#This Row],[Annual Salary]]</f>
        <v>316660.76</v>
      </c>
      <c r="P661" t="str">
        <f>IF(AND(TBL_Employees3[[#This Row],[Department]]="IT",TBL_Employees3[[#This Row],[Gender]]="Female"),"Yes","No")</f>
        <v>No</v>
      </c>
      <c r="Q661" t="str">
        <f>IF(AND(TBL_Employees3[[#This Row],[Gender]]="Female",TBL_Employees3[[#This Row],[Ethnicity]]="Black"), "Female_Black", "Others")</f>
        <v>Others</v>
      </c>
      <c r="T661" t="str">
        <v>E01422</v>
      </c>
    </row>
    <row r="662" spans="1:20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7">
        <v>39252</v>
      </c>
      <c r="J662" s="1">
        <v>45206</v>
      </c>
      <c r="K662" s="2">
        <v>0</v>
      </c>
      <c r="L662" t="s">
        <v>19</v>
      </c>
      <c r="M662" t="s">
        <v>29</v>
      </c>
      <c r="N662" s="7" t="s">
        <v>21</v>
      </c>
      <c r="O662" s="1">
        <f>TBL_Employees3[[#This Row],[Annual Salary]]+TBL_Employees3[[#This Row],[Bonus %]]*TBL_Employees3[[#This Row],[Annual Salary]]</f>
        <v>45206</v>
      </c>
      <c r="P662" t="str">
        <f>IF(AND(TBL_Employees3[[#This Row],[Department]]="IT",TBL_Employees3[[#This Row],[Gender]]="Female"),"Yes","No")</f>
        <v>No</v>
      </c>
      <c r="Q662" t="str">
        <f>IF(AND(TBL_Employees3[[#This Row],[Gender]]="Female",TBL_Employees3[[#This Row],[Ethnicity]]="Black"), "Female_Black", "Others")</f>
        <v>Others</v>
      </c>
      <c r="T662" t="str">
        <v>E04150</v>
      </c>
    </row>
    <row r="663" spans="1:20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7">
        <v>44515</v>
      </c>
      <c r="J663" s="1">
        <v>210708</v>
      </c>
      <c r="K663" s="2">
        <v>0.33</v>
      </c>
      <c r="L663" t="s">
        <v>19</v>
      </c>
      <c r="M663" t="s">
        <v>20</v>
      </c>
      <c r="N663" s="7" t="s">
        <v>21</v>
      </c>
      <c r="O663" s="1">
        <f>TBL_Employees3[[#This Row],[Annual Salary]]+TBL_Employees3[[#This Row],[Bonus %]]*TBL_Employees3[[#This Row],[Annual Salary]]</f>
        <v>280241.64</v>
      </c>
      <c r="P663" t="str">
        <f>IF(AND(TBL_Employees3[[#This Row],[Department]]="IT",TBL_Employees3[[#This Row],[Gender]]="Female"),"Yes","No")</f>
        <v>No</v>
      </c>
      <c r="Q663" t="str">
        <f>IF(AND(TBL_Employees3[[#This Row],[Gender]]="Female",TBL_Employees3[[#This Row],[Ethnicity]]="Black"), "Female_Black", "Others")</f>
        <v>Others</v>
      </c>
      <c r="T663" t="str">
        <v>E02846</v>
      </c>
    </row>
    <row r="664" spans="1:20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7">
        <v>44465</v>
      </c>
      <c r="J664" s="1">
        <v>87770</v>
      </c>
      <c r="K664" s="2">
        <v>0</v>
      </c>
      <c r="L664" t="s">
        <v>19</v>
      </c>
      <c r="M664" t="s">
        <v>25</v>
      </c>
      <c r="N664" s="7" t="s">
        <v>21</v>
      </c>
      <c r="O664" s="1">
        <f>TBL_Employees3[[#This Row],[Annual Salary]]+TBL_Employees3[[#This Row],[Bonus %]]*TBL_Employees3[[#This Row],[Annual Salary]]</f>
        <v>87770</v>
      </c>
      <c r="P664" t="str">
        <f>IF(AND(TBL_Employees3[[#This Row],[Department]]="IT",TBL_Employees3[[#This Row],[Gender]]="Female"),"Yes","No")</f>
        <v>No</v>
      </c>
      <c r="Q664" t="str">
        <f>IF(AND(TBL_Employees3[[#This Row],[Gender]]="Female",TBL_Employees3[[#This Row],[Ethnicity]]="Black"), "Female_Black", "Others")</f>
        <v>Others</v>
      </c>
      <c r="T664" t="str">
        <v>E04247</v>
      </c>
    </row>
    <row r="665" spans="1:20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7">
        <v>42228</v>
      </c>
      <c r="J665" s="1">
        <v>106858</v>
      </c>
      <c r="K665" s="2">
        <v>0.05</v>
      </c>
      <c r="L665" t="s">
        <v>19</v>
      </c>
      <c r="M665" t="s">
        <v>63</v>
      </c>
      <c r="N665" s="7" t="s">
        <v>21</v>
      </c>
      <c r="O665" s="1">
        <f>TBL_Employees3[[#This Row],[Annual Salary]]+TBL_Employees3[[#This Row],[Bonus %]]*TBL_Employees3[[#This Row],[Annual Salary]]</f>
        <v>112200.9</v>
      </c>
      <c r="P665" t="str">
        <f>IF(AND(TBL_Employees3[[#This Row],[Department]]="IT",TBL_Employees3[[#This Row],[Gender]]="Female"),"Yes","No")</f>
        <v>No</v>
      </c>
      <c r="Q665" t="str">
        <f>IF(AND(TBL_Employees3[[#This Row],[Gender]]="Female",TBL_Employees3[[#This Row],[Ethnicity]]="Black"), "Female_Black", "Others")</f>
        <v>Others</v>
      </c>
      <c r="T665" t="str">
        <v>E03648</v>
      </c>
    </row>
    <row r="666" spans="1:20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7">
        <v>42108</v>
      </c>
      <c r="J666" s="1">
        <v>155788</v>
      </c>
      <c r="K666" s="2">
        <v>0.17</v>
      </c>
      <c r="L666" t="s">
        <v>19</v>
      </c>
      <c r="M666" t="s">
        <v>63</v>
      </c>
      <c r="N666" s="7" t="s">
        <v>21</v>
      </c>
      <c r="O666" s="1">
        <f>TBL_Employees3[[#This Row],[Annual Salary]]+TBL_Employees3[[#This Row],[Bonus %]]*TBL_Employees3[[#This Row],[Annual Salary]]</f>
        <v>182271.96</v>
      </c>
      <c r="P666" t="str">
        <f>IF(AND(TBL_Employees3[[#This Row],[Department]]="IT",TBL_Employees3[[#This Row],[Gender]]="Female"),"Yes","No")</f>
        <v>No</v>
      </c>
      <c r="Q666" t="str">
        <f>IF(AND(TBL_Employees3[[#This Row],[Gender]]="Female",TBL_Employees3[[#This Row],[Ethnicity]]="Black"), "Female_Black", "Others")</f>
        <v>Others</v>
      </c>
      <c r="T666" t="str">
        <v>E02192</v>
      </c>
    </row>
    <row r="667" spans="1:20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7">
        <v>43581</v>
      </c>
      <c r="J667" s="1">
        <v>74891</v>
      </c>
      <c r="K667" s="2">
        <v>0</v>
      </c>
      <c r="L667" t="s">
        <v>52</v>
      </c>
      <c r="M667" t="s">
        <v>66</v>
      </c>
      <c r="N667" s="7" t="s">
        <v>21</v>
      </c>
      <c r="O667" s="1">
        <f>TBL_Employees3[[#This Row],[Annual Salary]]+TBL_Employees3[[#This Row],[Bonus %]]*TBL_Employees3[[#This Row],[Annual Salary]]</f>
        <v>74891</v>
      </c>
      <c r="P667" t="str">
        <f>IF(AND(TBL_Employees3[[#This Row],[Department]]="IT",TBL_Employees3[[#This Row],[Gender]]="Female"),"Yes","No")</f>
        <v>No</v>
      </c>
      <c r="Q667" t="str">
        <f>IF(AND(TBL_Employees3[[#This Row],[Gender]]="Female",TBL_Employees3[[#This Row],[Ethnicity]]="Black"), "Female_Black", "Others")</f>
        <v>Others</v>
      </c>
      <c r="T667" t="str">
        <v>E03981</v>
      </c>
    </row>
    <row r="668" spans="1:20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7">
        <v>44548</v>
      </c>
      <c r="J668" s="1">
        <v>95670</v>
      </c>
      <c r="K668" s="2">
        <v>0</v>
      </c>
      <c r="L668" t="s">
        <v>19</v>
      </c>
      <c r="M668" t="s">
        <v>39</v>
      </c>
      <c r="N668" s="7" t="s">
        <v>21</v>
      </c>
      <c r="O668" s="1">
        <f>TBL_Employees3[[#This Row],[Annual Salary]]+TBL_Employees3[[#This Row],[Bonus %]]*TBL_Employees3[[#This Row],[Annual Salary]]</f>
        <v>95670</v>
      </c>
      <c r="P668" t="str">
        <f>IF(AND(TBL_Employees3[[#This Row],[Department]]="IT",TBL_Employees3[[#This Row],[Gender]]="Female"),"Yes","No")</f>
        <v>No</v>
      </c>
      <c r="Q668" t="str">
        <f>IF(AND(TBL_Employees3[[#This Row],[Gender]]="Female",TBL_Employees3[[#This Row],[Ethnicity]]="Black"), "Female_Black", "Others")</f>
        <v>Others</v>
      </c>
      <c r="T668" t="str">
        <v>E03262</v>
      </c>
    </row>
    <row r="669" spans="1:20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7">
        <v>36798</v>
      </c>
      <c r="J669" s="1">
        <v>67837</v>
      </c>
      <c r="K669" s="2">
        <v>0</v>
      </c>
      <c r="L669" t="s">
        <v>19</v>
      </c>
      <c r="M669" t="s">
        <v>25</v>
      </c>
      <c r="N669" s="7" t="s">
        <v>21</v>
      </c>
      <c r="O669" s="1">
        <f>TBL_Employees3[[#This Row],[Annual Salary]]+TBL_Employees3[[#This Row],[Bonus %]]*TBL_Employees3[[#This Row],[Annual Salary]]</f>
        <v>67837</v>
      </c>
      <c r="P669" t="str">
        <f>IF(AND(TBL_Employees3[[#This Row],[Department]]="IT",TBL_Employees3[[#This Row],[Gender]]="Female"),"Yes","No")</f>
        <v>No</v>
      </c>
      <c r="Q669" t="str">
        <f>IF(AND(TBL_Employees3[[#This Row],[Gender]]="Female",TBL_Employees3[[#This Row],[Ethnicity]]="Black"), "Female_Black", "Others")</f>
        <v>Female_Black</v>
      </c>
      <c r="T669" t="str">
        <v>E02716</v>
      </c>
    </row>
    <row r="670" spans="1:20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7">
        <v>40333</v>
      </c>
      <c r="J670" s="1">
        <v>72425</v>
      </c>
      <c r="K670" s="2">
        <v>0</v>
      </c>
      <c r="L670" t="s">
        <v>33</v>
      </c>
      <c r="M670" t="s">
        <v>60</v>
      </c>
      <c r="N670" s="7" t="s">
        <v>21</v>
      </c>
      <c r="O670" s="1">
        <f>TBL_Employees3[[#This Row],[Annual Salary]]+TBL_Employees3[[#This Row],[Bonus %]]*TBL_Employees3[[#This Row],[Annual Salary]]</f>
        <v>72425</v>
      </c>
      <c r="P670" t="str">
        <f>IF(AND(TBL_Employees3[[#This Row],[Department]]="IT",TBL_Employees3[[#This Row],[Gender]]="Female"),"Yes","No")</f>
        <v>No</v>
      </c>
      <c r="Q670" t="str">
        <f>IF(AND(TBL_Employees3[[#This Row],[Gender]]="Female",TBL_Employees3[[#This Row],[Ethnicity]]="Black"), "Female_Black", "Others")</f>
        <v>Others</v>
      </c>
      <c r="T670" t="str">
        <v>E04123</v>
      </c>
    </row>
    <row r="671" spans="1:20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7">
        <v>34623</v>
      </c>
      <c r="J671" s="1">
        <v>93103</v>
      </c>
      <c r="K671" s="2">
        <v>0</v>
      </c>
      <c r="L671" t="s">
        <v>19</v>
      </c>
      <c r="M671" t="s">
        <v>39</v>
      </c>
      <c r="N671" s="7" t="s">
        <v>21</v>
      </c>
      <c r="O671" s="1">
        <f>TBL_Employees3[[#This Row],[Annual Salary]]+TBL_Employees3[[#This Row],[Bonus %]]*TBL_Employees3[[#This Row],[Annual Salary]]</f>
        <v>93103</v>
      </c>
      <c r="P671" t="str">
        <f>IF(AND(TBL_Employees3[[#This Row],[Department]]="IT",TBL_Employees3[[#This Row],[Gender]]="Female"),"Yes","No")</f>
        <v>No</v>
      </c>
      <c r="Q671" t="str">
        <f>IF(AND(TBL_Employees3[[#This Row],[Gender]]="Female",TBL_Employees3[[#This Row],[Ethnicity]]="Black"), "Female_Black", "Others")</f>
        <v>Others</v>
      </c>
      <c r="T671" t="str">
        <v>E03471</v>
      </c>
    </row>
    <row r="672" spans="1:20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7">
        <v>42291</v>
      </c>
      <c r="J672" s="1">
        <v>76272</v>
      </c>
      <c r="K672" s="2">
        <v>0</v>
      </c>
      <c r="L672" t="s">
        <v>19</v>
      </c>
      <c r="M672" t="s">
        <v>45</v>
      </c>
      <c r="N672" s="7">
        <v>44491</v>
      </c>
      <c r="O672" s="1">
        <f>TBL_Employees3[[#This Row],[Annual Salary]]+TBL_Employees3[[#This Row],[Bonus %]]*TBL_Employees3[[#This Row],[Annual Salary]]</f>
        <v>76272</v>
      </c>
      <c r="P672" t="str">
        <f>IF(AND(TBL_Employees3[[#This Row],[Department]]="IT",TBL_Employees3[[#This Row],[Gender]]="Female"),"Yes","No")</f>
        <v>No</v>
      </c>
      <c r="Q672" t="str">
        <f>IF(AND(TBL_Employees3[[#This Row],[Gender]]="Female",TBL_Employees3[[#This Row],[Ethnicity]]="Black"), "Female_Black", "Others")</f>
        <v>Others</v>
      </c>
      <c r="T672" t="str">
        <v>E00717</v>
      </c>
    </row>
    <row r="673" spans="1:20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7">
        <v>37796</v>
      </c>
      <c r="J673" s="1">
        <v>55760</v>
      </c>
      <c r="K673" s="2">
        <v>0</v>
      </c>
      <c r="L673" t="s">
        <v>19</v>
      </c>
      <c r="M673" t="s">
        <v>25</v>
      </c>
      <c r="N673" s="7" t="s">
        <v>21</v>
      </c>
      <c r="O673" s="1">
        <f>TBL_Employees3[[#This Row],[Annual Salary]]+TBL_Employees3[[#This Row],[Bonus %]]*TBL_Employees3[[#This Row],[Annual Salary]]</f>
        <v>55760</v>
      </c>
      <c r="P673" t="str">
        <f>IF(AND(TBL_Employees3[[#This Row],[Department]]="IT",TBL_Employees3[[#This Row],[Gender]]="Female"),"Yes","No")</f>
        <v>No</v>
      </c>
      <c r="Q673" t="str">
        <f>IF(AND(TBL_Employees3[[#This Row],[Gender]]="Female",TBL_Employees3[[#This Row],[Ethnicity]]="Black"), "Female_Black", "Others")</f>
        <v>Others</v>
      </c>
      <c r="T673" t="str">
        <v>E01966</v>
      </c>
    </row>
    <row r="674" spans="1:20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7">
        <v>43843</v>
      </c>
      <c r="J674" s="1">
        <v>253294</v>
      </c>
      <c r="K674" s="2">
        <v>0.4</v>
      </c>
      <c r="L674" t="s">
        <v>19</v>
      </c>
      <c r="M674" t="s">
        <v>45</v>
      </c>
      <c r="N674" s="7" t="s">
        <v>21</v>
      </c>
      <c r="O674" s="1">
        <f>TBL_Employees3[[#This Row],[Annual Salary]]+TBL_Employees3[[#This Row],[Bonus %]]*TBL_Employees3[[#This Row],[Annual Salary]]</f>
        <v>354611.6</v>
      </c>
      <c r="P674" t="str">
        <f>IF(AND(TBL_Employees3[[#This Row],[Department]]="IT",TBL_Employees3[[#This Row],[Gender]]="Female"),"Yes","No")</f>
        <v>No</v>
      </c>
      <c r="Q674" t="str">
        <f>IF(AND(TBL_Employees3[[#This Row],[Gender]]="Female",TBL_Employees3[[#This Row],[Ethnicity]]="Black"), "Female_Black", "Others")</f>
        <v>Others</v>
      </c>
      <c r="T674" t="str">
        <v>E03683</v>
      </c>
    </row>
    <row r="675" spans="1:20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7">
        <v>39310</v>
      </c>
      <c r="J675" s="1">
        <v>58671</v>
      </c>
      <c r="K675" s="2">
        <v>0</v>
      </c>
      <c r="L675" t="s">
        <v>19</v>
      </c>
      <c r="M675" t="s">
        <v>29</v>
      </c>
      <c r="N675" s="7" t="s">
        <v>21</v>
      </c>
      <c r="O675" s="1">
        <f>TBL_Employees3[[#This Row],[Annual Salary]]+TBL_Employees3[[#This Row],[Bonus %]]*TBL_Employees3[[#This Row],[Annual Salary]]</f>
        <v>58671</v>
      </c>
      <c r="P675" t="str">
        <f>IF(AND(TBL_Employees3[[#This Row],[Department]]="IT",TBL_Employees3[[#This Row],[Gender]]="Female"),"Yes","No")</f>
        <v>No</v>
      </c>
      <c r="Q675" t="str">
        <f>IF(AND(TBL_Employees3[[#This Row],[Gender]]="Female",TBL_Employees3[[#This Row],[Ethnicity]]="Black"), "Female_Black", "Others")</f>
        <v>Others</v>
      </c>
      <c r="T675" t="str">
        <v>E04766</v>
      </c>
    </row>
    <row r="676" spans="1:20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7">
        <v>43175</v>
      </c>
      <c r="J676" s="1">
        <v>55457</v>
      </c>
      <c r="K676" s="2">
        <v>0</v>
      </c>
      <c r="L676" t="s">
        <v>19</v>
      </c>
      <c r="M676" t="s">
        <v>29</v>
      </c>
      <c r="N676" s="7" t="s">
        <v>21</v>
      </c>
      <c r="O676" s="1">
        <f>TBL_Employees3[[#This Row],[Annual Salary]]+TBL_Employees3[[#This Row],[Bonus %]]*TBL_Employees3[[#This Row],[Annual Salary]]</f>
        <v>55457</v>
      </c>
      <c r="P676" t="str">
        <f>IF(AND(TBL_Employees3[[#This Row],[Department]]="IT",TBL_Employees3[[#This Row],[Gender]]="Female"),"Yes","No")</f>
        <v>No</v>
      </c>
      <c r="Q676" t="str">
        <f>IF(AND(TBL_Employees3[[#This Row],[Gender]]="Female",TBL_Employees3[[#This Row],[Ethnicity]]="Black"), "Female_Black", "Others")</f>
        <v>Others</v>
      </c>
      <c r="T676" t="str">
        <v>E01465</v>
      </c>
    </row>
    <row r="677" spans="1:20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7">
        <v>43004</v>
      </c>
      <c r="J677" s="1">
        <v>72340</v>
      </c>
      <c r="K677" s="2">
        <v>0</v>
      </c>
      <c r="L677" t="s">
        <v>19</v>
      </c>
      <c r="M677" t="s">
        <v>39</v>
      </c>
      <c r="N677" s="7">
        <v>43558</v>
      </c>
      <c r="O677" s="1">
        <f>TBL_Employees3[[#This Row],[Annual Salary]]+TBL_Employees3[[#This Row],[Bonus %]]*TBL_Employees3[[#This Row],[Annual Salary]]</f>
        <v>72340</v>
      </c>
      <c r="P677" t="str">
        <f>IF(AND(TBL_Employees3[[#This Row],[Department]]="IT",TBL_Employees3[[#This Row],[Gender]]="Female"),"Yes","No")</f>
        <v>No</v>
      </c>
      <c r="Q677" t="str">
        <f>IF(AND(TBL_Employees3[[#This Row],[Gender]]="Female",TBL_Employees3[[#This Row],[Ethnicity]]="Black"), "Female_Black", "Others")</f>
        <v>Others</v>
      </c>
      <c r="T677" t="str">
        <v>E00206</v>
      </c>
    </row>
    <row r="678" spans="1:20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7">
        <v>42676</v>
      </c>
      <c r="J678" s="1">
        <v>122054</v>
      </c>
      <c r="K678" s="2">
        <v>0.06</v>
      </c>
      <c r="L678" t="s">
        <v>19</v>
      </c>
      <c r="M678" t="s">
        <v>39</v>
      </c>
      <c r="N678" s="7" t="s">
        <v>21</v>
      </c>
      <c r="O678" s="1">
        <f>TBL_Employees3[[#This Row],[Annual Salary]]+TBL_Employees3[[#This Row],[Bonus %]]*TBL_Employees3[[#This Row],[Annual Salary]]</f>
        <v>129377.24</v>
      </c>
      <c r="P678" t="str">
        <f>IF(AND(TBL_Employees3[[#This Row],[Department]]="IT",TBL_Employees3[[#This Row],[Gender]]="Female"),"Yes","No")</f>
        <v>No</v>
      </c>
      <c r="Q678" t="str">
        <f>IF(AND(TBL_Employees3[[#This Row],[Gender]]="Female",TBL_Employees3[[#This Row],[Ethnicity]]="Black"), "Female_Black", "Others")</f>
        <v>Others</v>
      </c>
      <c r="T678" t="str">
        <v>E04088</v>
      </c>
    </row>
    <row r="679" spans="1:20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7">
        <v>43103</v>
      </c>
      <c r="J679" s="1">
        <v>167100</v>
      </c>
      <c r="K679" s="2">
        <v>0.2</v>
      </c>
      <c r="L679" t="s">
        <v>33</v>
      </c>
      <c r="M679" t="s">
        <v>34</v>
      </c>
      <c r="N679" s="7" t="s">
        <v>21</v>
      </c>
      <c r="O679" s="1">
        <f>TBL_Employees3[[#This Row],[Annual Salary]]+TBL_Employees3[[#This Row],[Bonus %]]*TBL_Employees3[[#This Row],[Annual Salary]]</f>
        <v>200520</v>
      </c>
      <c r="P679" t="str">
        <f>IF(AND(TBL_Employees3[[#This Row],[Department]]="IT",TBL_Employees3[[#This Row],[Gender]]="Female"),"Yes","No")</f>
        <v>Yes</v>
      </c>
      <c r="Q679" t="str">
        <f>IF(AND(TBL_Employees3[[#This Row],[Gender]]="Female",TBL_Employees3[[#This Row],[Ethnicity]]="Black"), "Female_Black", "Others")</f>
        <v>Others</v>
      </c>
      <c r="T679" t="str">
        <v>E02066</v>
      </c>
    </row>
    <row r="680" spans="1:20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7">
        <v>35543</v>
      </c>
      <c r="J680" s="1">
        <v>78153</v>
      </c>
      <c r="K680" s="2">
        <v>0</v>
      </c>
      <c r="L680" t="s">
        <v>19</v>
      </c>
      <c r="M680" t="s">
        <v>45</v>
      </c>
      <c r="N680" s="7" t="s">
        <v>21</v>
      </c>
      <c r="O680" s="1">
        <f>TBL_Employees3[[#This Row],[Annual Salary]]+TBL_Employees3[[#This Row],[Bonus %]]*TBL_Employees3[[#This Row],[Annual Salary]]</f>
        <v>78153</v>
      </c>
      <c r="P680" t="str">
        <f>IF(AND(TBL_Employees3[[#This Row],[Department]]="IT",TBL_Employees3[[#This Row],[Gender]]="Female"),"Yes","No")</f>
        <v>Yes</v>
      </c>
      <c r="Q680" t="str">
        <f>IF(AND(TBL_Employees3[[#This Row],[Gender]]="Female",TBL_Employees3[[#This Row],[Ethnicity]]="Black"), "Female_Black", "Others")</f>
        <v>Others</v>
      </c>
      <c r="T680" t="str">
        <v>E03227</v>
      </c>
    </row>
    <row r="681" spans="1:20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7">
        <v>43935</v>
      </c>
      <c r="J681" s="1">
        <v>103524</v>
      </c>
      <c r="K681" s="2">
        <v>0.09</v>
      </c>
      <c r="L681" t="s">
        <v>19</v>
      </c>
      <c r="M681" t="s">
        <v>39</v>
      </c>
      <c r="N681" s="7" t="s">
        <v>21</v>
      </c>
      <c r="O681" s="1">
        <f>TBL_Employees3[[#This Row],[Annual Salary]]+TBL_Employees3[[#This Row],[Bonus %]]*TBL_Employees3[[#This Row],[Annual Salary]]</f>
        <v>112841.16</v>
      </c>
      <c r="P681" t="str">
        <f>IF(AND(TBL_Employees3[[#This Row],[Department]]="IT",TBL_Employees3[[#This Row],[Gender]]="Female"),"Yes","No")</f>
        <v>No</v>
      </c>
      <c r="Q681" t="str">
        <f>IF(AND(TBL_Employees3[[#This Row],[Gender]]="Female",TBL_Employees3[[#This Row],[Ethnicity]]="Black"), "Female_Black", "Others")</f>
        <v>Others</v>
      </c>
      <c r="T681" t="str">
        <v>E03364</v>
      </c>
    </row>
    <row r="682" spans="1:20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7">
        <v>42952</v>
      </c>
      <c r="J682" s="1">
        <v>119906</v>
      </c>
      <c r="K682" s="2">
        <v>0.05</v>
      </c>
      <c r="L682" t="s">
        <v>19</v>
      </c>
      <c r="M682" t="s">
        <v>29</v>
      </c>
      <c r="N682" s="7" t="s">
        <v>21</v>
      </c>
      <c r="O682" s="1">
        <f>TBL_Employees3[[#This Row],[Annual Salary]]+TBL_Employees3[[#This Row],[Bonus %]]*TBL_Employees3[[#This Row],[Annual Salary]]</f>
        <v>125901.3</v>
      </c>
      <c r="P682" t="str">
        <f>IF(AND(TBL_Employees3[[#This Row],[Department]]="IT",TBL_Employees3[[#This Row],[Gender]]="Female"),"Yes","No")</f>
        <v>No</v>
      </c>
      <c r="Q682" t="str">
        <f>IF(AND(TBL_Employees3[[#This Row],[Gender]]="Female",TBL_Employees3[[#This Row],[Ethnicity]]="Black"), "Female_Black", "Others")</f>
        <v>Others</v>
      </c>
      <c r="T682" t="str">
        <v>E00607</v>
      </c>
    </row>
    <row r="683" spans="1:20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7">
        <v>43847</v>
      </c>
      <c r="J683" s="1">
        <v>45061</v>
      </c>
      <c r="K683" s="2">
        <v>0</v>
      </c>
      <c r="L683" t="s">
        <v>19</v>
      </c>
      <c r="M683" t="s">
        <v>45</v>
      </c>
      <c r="N683" s="7" t="s">
        <v>21</v>
      </c>
      <c r="O683" s="1">
        <f>TBL_Employees3[[#This Row],[Annual Salary]]+TBL_Employees3[[#This Row],[Bonus %]]*TBL_Employees3[[#This Row],[Annual Salary]]</f>
        <v>45061</v>
      </c>
      <c r="P683" t="str">
        <f>IF(AND(TBL_Employees3[[#This Row],[Department]]="IT",TBL_Employees3[[#This Row],[Gender]]="Female"),"Yes","No")</f>
        <v>No</v>
      </c>
      <c r="Q683" t="str">
        <f>IF(AND(TBL_Employees3[[#This Row],[Gender]]="Female",TBL_Employees3[[#This Row],[Ethnicity]]="Black"), "Female_Black", "Others")</f>
        <v>Others</v>
      </c>
      <c r="T683" t="str">
        <v>E02258</v>
      </c>
    </row>
    <row r="684" spans="1:20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7">
        <v>37638</v>
      </c>
      <c r="J684" s="1">
        <v>91399</v>
      </c>
      <c r="K684" s="2">
        <v>0</v>
      </c>
      <c r="L684" t="s">
        <v>19</v>
      </c>
      <c r="M684" t="s">
        <v>63</v>
      </c>
      <c r="N684" s="7" t="s">
        <v>21</v>
      </c>
      <c r="O684" s="1">
        <f>TBL_Employees3[[#This Row],[Annual Salary]]+TBL_Employees3[[#This Row],[Bonus %]]*TBL_Employees3[[#This Row],[Annual Salary]]</f>
        <v>91399</v>
      </c>
      <c r="P684" t="str">
        <f>IF(AND(TBL_Employees3[[#This Row],[Department]]="IT",TBL_Employees3[[#This Row],[Gender]]="Female"),"Yes","No")</f>
        <v>No</v>
      </c>
      <c r="Q684" t="str">
        <f>IF(AND(TBL_Employees3[[#This Row],[Gender]]="Female",TBL_Employees3[[#This Row],[Ethnicity]]="Black"), "Female_Black", "Others")</f>
        <v>Others</v>
      </c>
      <c r="T684" t="str">
        <v>E03681</v>
      </c>
    </row>
    <row r="685" spans="1:20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7">
        <v>43006</v>
      </c>
      <c r="J685" s="1">
        <v>97336</v>
      </c>
      <c r="K685" s="2">
        <v>0</v>
      </c>
      <c r="L685" t="s">
        <v>19</v>
      </c>
      <c r="M685" t="s">
        <v>25</v>
      </c>
      <c r="N685" s="7" t="s">
        <v>21</v>
      </c>
      <c r="O685" s="1">
        <f>TBL_Employees3[[#This Row],[Annual Salary]]+TBL_Employees3[[#This Row],[Bonus %]]*TBL_Employees3[[#This Row],[Annual Salary]]</f>
        <v>97336</v>
      </c>
      <c r="P685" t="str">
        <f>IF(AND(TBL_Employees3[[#This Row],[Department]]="IT",TBL_Employees3[[#This Row],[Gender]]="Female"),"Yes","No")</f>
        <v>No</v>
      </c>
      <c r="Q685" t="str">
        <f>IF(AND(TBL_Employees3[[#This Row],[Gender]]="Female",TBL_Employees3[[#This Row],[Ethnicity]]="Black"), "Female_Black", "Others")</f>
        <v>Others</v>
      </c>
      <c r="T685" t="str">
        <v>E02298</v>
      </c>
    </row>
    <row r="686" spans="1:20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7">
        <v>42755</v>
      </c>
      <c r="J686" s="1">
        <v>124629</v>
      </c>
      <c r="K686" s="2">
        <v>0.1</v>
      </c>
      <c r="L686" t="s">
        <v>19</v>
      </c>
      <c r="M686" t="s">
        <v>29</v>
      </c>
      <c r="N686" s="7" t="s">
        <v>21</v>
      </c>
      <c r="O686" s="1">
        <f>TBL_Employees3[[#This Row],[Annual Salary]]+TBL_Employees3[[#This Row],[Bonus %]]*TBL_Employees3[[#This Row],[Annual Salary]]</f>
        <v>137091.9</v>
      </c>
      <c r="P686" t="str">
        <f>IF(AND(TBL_Employees3[[#This Row],[Department]]="IT",TBL_Employees3[[#This Row],[Gender]]="Female"),"Yes","No")</f>
        <v>No</v>
      </c>
      <c r="Q686" t="str">
        <f>IF(AND(TBL_Employees3[[#This Row],[Gender]]="Female",TBL_Employees3[[#This Row],[Ethnicity]]="Black"), "Female_Black", "Others")</f>
        <v>Female_Black</v>
      </c>
      <c r="T686" t="str">
        <v>E02984</v>
      </c>
    </row>
    <row r="687" spans="1:20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7">
        <v>44402</v>
      </c>
      <c r="J687" s="1">
        <v>231850</v>
      </c>
      <c r="K687" s="2">
        <v>0.39</v>
      </c>
      <c r="L687" t="s">
        <v>19</v>
      </c>
      <c r="M687" t="s">
        <v>45</v>
      </c>
      <c r="N687" s="7" t="s">
        <v>21</v>
      </c>
      <c r="O687" s="1">
        <f>TBL_Employees3[[#This Row],[Annual Salary]]+TBL_Employees3[[#This Row],[Bonus %]]*TBL_Employees3[[#This Row],[Annual Salary]]</f>
        <v>322271.5</v>
      </c>
      <c r="P687" t="str">
        <f>IF(AND(TBL_Employees3[[#This Row],[Department]]="IT",TBL_Employees3[[#This Row],[Gender]]="Female"),"Yes","No")</f>
        <v>No</v>
      </c>
      <c r="Q687" t="str">
        <f>IF(AND(TBL_Employees3[[#This Row],[Gender]]="Female",TBL_Employees3[[#This Row],[Ethnicity]]="Black"), "Female_Black", "Others")</f>
        <v>Others</v>
      </c>
      <c r="T687" t="str">
        <v>E02440</v>
      </c>
    </row>
    <row r="688" spans="1:20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7">
        <v>43255</v>
      </c>
      <c r="J688" s="1">
        <v>128329</v>
      </c>
      <c r="K688" s="2">
        <v>0.08</v>
      </c>
      <c r="L688" t="s">
        <v>19</v>
      </c>
      <c r="M688" t="s">
        <v>39</v>
      </c>
      <c r="N688" s="7" t="s">
        <v>21</v>
      </c>
      <c r="O688" s="1">
        <f>TBL_Employees3[[#This Row],[Annual Salary]]+TBL_Employees3[[#This Row],[Bonus %]]*TBL_Employees3[[#This Row],[Annual Salary]]</f>
        <v>138595.32</v>
      </c>
      <c r="P688" t="str">
        <f>IF(AND(TBL_Employees3[[#This Row],[Department]]="IT",TBL_Employees3[[#This Row],[Gender]]="Female"),"Yes","No")</f>
        <v>No</v>
      </c>
      <c r="Q688" t="str">
        <f>IF(AND(TBL_Employees3[[#This Row],[Gender]]="Female",TBL_Employees3[[#This Row],[Ethnicity]]="Black"), "Female_Black", "Others")</f>
        <v>Others</v>
      </c>
      <c r="T688" t="str">
        <v>E04699</v>
      </c>
    </row>
    <row r="689" spans="1:20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7">
        <v>44283</v>
      </c>
      <c r="J689" s="1">
        <v>186033</v>
      </c>
      <c r="K689" s="2">
        <v>0.34</v>
      </c>
      <c r="L689" t="s">
        <v>52</v>
      </c>
      <c r="M689" t="s">
        <v>53</v>
      </c>
      <c r="N689" s="7" t="s">
        <v>21</v>
      </c>
      <c r="O689" s="1">
        <f>TBL_Employees3[[#This Row],[Annual Salary]]+TBL_Employees3[[#This Row],[Bonus %]]*TBL_Employees3[[#This Row],[Annual Salary]]</f>
        <v>249284.22</v>
      </c>
      <c r="P689" t="str">
        <f>IF(AND(TBL_Employees3[[#This Row],[Department]]="IT",TBL_Employees3[[#This Row],[Gender]]="Female"),"Yes","No")</f>
        <v>No</v>
      </c>
      <c r="Q689" t="str">
        <f>IF(AND(TBL_Employees3[[#This Row],[Gender]]="Female",TBL_Employees3[[#This Row],[Ethnicity]]="Black"), "Female_Black", "Others")</f>
        <v>Others</v>
      </c>
      <c r="T689" t="str">
        <v>E03579</v>
      </c>
    </row>
    <row r="690" spans="1:20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7">
        <v>44403</v>
      </c>
      <c r="J690" s="1">
        <v>121480</v>
      </c>
      <c r="K690" s="2">
        <v>0.14000000000000001</v>
      </c>
      <c r="L690" t="s">
        <v>19</v>
      </c>
      <c r="M690" t="s">
        <v>39</v>
      </c>
      <c r="N690" s="7" t="s">
        <v>21</v>
      </c>
      <c r="O690" s="1">
        <f>TBL_Employees3[[#This Row],[Annual Salary]]+TBL_Employees3[[#This Row],[Bonus %]]*TBL_Employees3[[#This Row],[Annual Salary]]</f>
        <v>138487.20000000001</v>
      </c>
      <c r="P690" t="str">
        <f>IF(AND(TBL_Employees3[[#This Row],[Department]]="IT",TBL_Employees3[[#This Row],[Gender]]="Female"),"Yes","No")</f>
        <v>No</v>
      </c>
      <c r="Q690" t="str">
        <f>IF(AND(TBL_Employees3[[#This Row],[Gender]]="Female",TBL_Employees3[[#This Row],[Ethnicity]]="Black"), "Female_Black", "Others")</f>
        <v>Others</v>
      </c>
      <c r="T690" t="str">
        <v>E01649</v>
      </c>
    </row>
    <row r="691" spans="1:20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7">
        <v>40319</v>
      </c>
      <c r="J691" s="1">
        <v>153275</v>
      </c>
      <c r="K691" s="2">
        <v>0.24</v>
      </c>
      <c r="L691" t="s">
        <v>19</v>
      </c>
      <c r="M691" t="s">
        <v>29</v>
      </c>
      <c r="N691" s="7" t="s">
        <v>21</v>
      </c>
      <c r="O691" s="1">
        <f>TBL_Employees3[[#This Row],[Annual Salary]]+TBL_Employees3[[#This Row],[Bonus %]]*TBL_Employees3[[#This Row],[Annual Salary]]</f>
        <v>190061</v>
      </c>
      <c r="P691" t="str">
        <f>IF(AND(TBL_Employees3[[#This Row],[Department]]="IT",TBL_Employees3[[#This Row],[Gender]]="Female"),"Yes","No")</f>
        <v>No</v>
      </c>
      <c r="Q691" t="str">
        <f>IF(AND(TBL_Employees3[[#This Row],[Gender]]="Female",TBL_Employees3[[#This Row],[Ethnicity]]="Black"), "Female_Black", "Others")</f>
        <v>Others</v>
      </c>
      <c r="T691" t="str">
        <v>E04969</v>
      </c>
    </row>
    <row r="692" spans="1:20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7">
        <v>43969</v>
      </c>
      <c r="J692" s="1">
        <v>97830</v>
      </c>
      <c r="K692" s="2">
        <v>0</v>
      </c>
      <c r="L692" t="s">
        <v>19</v>
      </c>
      <c r="M692" t="s">
        <v>25</v>
      </c>
      <c r="N692" s="7" t="s">
        <v>21</v>
      </c>
      <c r="O692" s="1">
        <f>TBL_Employees3[[#This Row],[Annual Salary]]+TBL_Employees3[[#This Row],[Bonus %]]*TBL_Employees3[[#This Row],[Annual Salary]]</f>
        <v>97830</v>
      </c>
      <c r="P692" t="str">
        <f>IF(AND(TBL_Employees3[[#This Row],[Department]]="IT",TBL_Employees3[[#This Row],[Gender]]="Female"),"Yes","No")</f>
        <v>No</v>
      </c>
      <c r="Q692" t="str">
        <f>IF(AND(TBL_Employees3[[#This Row],[Gender]]="Female",TBL_Employees3[[#This Row],[Ethnicity]]="Black"), "Female_Black", "Others")</f>
        <v>Others</v>
      </c>
      <c r="T692" t="str">
        <v>E00955</v>
      </c>
    </row>
    <row r="693" spans="1:20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7">
        <v>36232</v>
      </c>
      <c r="J693" s="1">
        <v>239394</v>
      </c>
      <c r="K693" s="2">
        <v>0.32</v>
      </c>
      <c r="L693" t="s">
        <v>19</v>
      </c>
      <c r="M693" t="s">
        <v>25</v>
      </c>
      <c r="N693" s="7" t="s">
        <v>21</v>
      </c>
      <c r="O693" s="1">
        <f>TBL_Employees3[[#This Row],[Annual Salary]]+TBL_Employees3[[#This Row],[Bonus %]]*TBL_Employees3[[#This Row],[Annual Salary]]</f>
        <v>316000.08</v>
      </c>
      <c r="P693" t="str">
        <f>IF(AND(TBL_Employees3[[#This Row],[Department]]="IT",TBL_Employees3[[#This Row],[Gender]]="Female"),"Yes","No")</f>
        <v>No</v>
      </c>
      <c r="Q693" t="str">
        <f>IF(AND(TBL_Employees3[[#This Row],[Gender]]="Female",TBL_Employees3[[#This Row],[Ethnicity]]="Black"), "Female_Black", "Others")</f>
        <v>Others</v>
      </c>
      <c r="T693" t="str">
        <v>E00810</v>
      </c>
    </row>
    <row r="694" spans="1:20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7">
        <v>37519</v>
      </c>
      <c r="J694" s="1">
        <v>49738</v>
      </c>
      <c r="K694" s="2">
        <v>0</v>
      </c>
      <c r="L694" t="s">
        <v>33</v>
      </c>
      <c r="M694" t="s">
        <v>60</v>
      </c>
      <c r="N694" s="7" t="s">
        <v>21</v>
      </c>
      <c r="O694" s="1">
        <f>TBL_Employees3[[#This Row],[Annual Salary]]+TBL_Employees3[[#This Row],[Bonus %]]*TBL_Employees3[[#This Row],[Annual Salary]]</f>
        <v>49738</v>
      </c>
      <c r="P694" t="str">
        <f>IF(AND(TBL_Employees3[[#This Row],[Department]]="IT",TBL_Employees3[[#This Row],[Gender]]="Female"),"Yes","No")</f>
        <v>No</v>
      </c>
      <c r="Q694" t="str">
        <f>IF(AND(TBL_Employees3[[#This Row],[Gender]]="Female",TBL_Employees3[[#This Row],[Ethnicity]]="Black"), "Female_Black", "Others")</f>
        <v>Others</v>
      </c>
      <c r="T694" t="str">
        <v>E02798</v>
      </c>
    </row>
    <row r="695" spans="1:20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7">
        <v>43247</v>
      </c>
      <c r="J695" s="1">
        <v>45049</v>
      </c>
      <c r="K695" s="2">
        <v>0</v>
      </c>
      <c r="L695" t="s">
        <v>19</v>
      </c>
      <c r="M695" t="s">
        <v>63</v>
      </c>
      <c r="N695" s="7" t="s">
        <v>21</v>
      </c>
      <c r="O695" s="1">
        <f>TBL_Employees3[[#This Row],[Annual Salary]]+TBL_Employees3[[#This Row],[Bonus %]]*TBL_Employees3[[#This Row],[Annual Salary]]</f>
        <v>45049</v>
      </c>
      <c r="P695" t="str">
        <f>IF(AND(TBL_Employees3[[#This Row],[Department]]="IT",TBL_Employees3[[#This Row],[Gender]]="Female"),"Yes","No")</f>
        <v>No</v>
      </c>
      <c r="Q695" t="str">
        <f>IF(AND(TBL_Employees3[[#This Row],[Gender]]="Female",TBL_Employees3[[#This Row],[Ethnicity]]="Black"), "Female_Black", "Others")</f>
        <v>Others</v>
      </c>
      <c r="T695" t="str">
        <v>E04542</v>
      </c>
    </row>
    <row r="696" spans="1:20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7">
        <v>43977</v>
      </c>
      <c r="J696" s="1">
        <v>153628</v>
      </c>
      <c r="K696" s="2">
        <v>0.28999999999999998</v>
      </c>
      <c r="L696" t="s">
        <v>33</v>
      </c>
      <c r="M696" t="s">
        <v>80</v>
      </c>
      <c r="N696" s="7">
        <v>44177</v>
      </c>
      <c r="O696" s="1">
        <f>TBL_Employees3[[#This Row],[Annual Salary]]+TBL_Employees3[[#This Row],[Bonus %]]*TBL_Employees3[[#This Row],[Annual Salary]]</f>
        <v>198180.12</v>
      </c>
      <c r="P696" t="str">
        <f>IF(AND(TBL_Employees3[[#This Row],[Department]]="IT",TBL_Employees3[[#This Row],[Gender]]="Female"),"Yes","No")</f>
        <v>No</v>
      </c>
      <c r="Q696" t="str">
        <f>IF(AND(TBL_Employees3[[#This Row],[Gender]]="Female",TBL_Employees3[[#This Row],[Ethnicity]]="Black"), "Female_Black", "Others")</f>
        <v>Others</v>
      </c>
      <c r="T696" t="str">
        <v>E02818</v>
      </c>
    </row>
    <row r="697" spans="1:20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7">
        <v>44362</v>
      </c>
      <c r="J697" s="1">
        <v>142731</v>
      </c>
      <c r="K697" s="2">
        <v>0.11</v>
      </c>
      <c r="L697" t="s">
        <v>33</v>
      </c>
      <c r="M697" t="s">
        <v>74</v>
      </c>
      <c r="N697" s="7">
        <v>44715</v>
      </c>
      <c r="O697" s="1">
        <f>TBL_Employees3[[#This Row],[Annual Salary]]+TBL_Employees3[[#This Row],[Bonus %]]*TBL_Employees3[[#This Row],[Annual Salary]]</f>
        <v>158431.41</v>
      </c>
      <c r="P697" t="str">
        <f>IF(AND(TBL_Employees3[[#This Row],[Department]]="IT",TBL_Employees3[[#This Row],[Gender]]="Female"),"Yes","No")</f>
        <v>No</v>
      </c>
      <c r="Q697" t="str">
        <f>IF(AND(TBL_Employees3[[#This Row],[Gender]]="Female",TBL_Employees3[[#This Row],[Ethnicity]]="Black"), "Female_Black", "Others")</f>
        <v>Others</v>
      </c>
      <c r="T697" t="str">
        <v>E02907</v>
      </c>
    </row>
    <row r="698" spans="1:20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7">
        <v>43966</v>
      </c>
      <c r="J698" s="1">
        <v>137106</v>
      </c>
      <c r="K698" s="2">
        <v>0.12</v>
      </c>
      <c r="L698" t="s">
        <v>52</v>
      </c>
      <c r="M698" t="s">
        <v>53</v>
      </c>
      <c r="N698" s="7" t="s">
        <v>21</v>
      </c>
      <c r="O698" s="1">
        <f>TBL_Employees3[[#This Row],[Annual Salary]]+TBL_Employees3[[#This Row],[Bonus %]]*TBL_Employees3[[#This Row],[Annual Salary]]</f>
        <v>153558.72</v>
      </c>
      <c r="P698" t="str">
        <f>IF(AND(TBL_Employees3[[#This Row],[Department]]="IT",TBL_Employees3[[#This Row],[Gender]]="Female"),"Yes","No")</f>
        <v>No</v>
      </c>
      <c r="Q698" t="str">
        <f>IF(AND(TBL_Employees3[[#This Row],[Gender]]="Female",TBL_Employees3[[#This Row],[Ethnicity]]="Black"), "Female_Black", "Others")</f>
        <v>Others</v>
      </c>
      <c r="T698" t="str">
        <v>E00023</v>
      </c>
    </row>
    <row r="699" spans="1:20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7">
        <v>39330</v>
      </c>
      <c r="J699" s="1">
        <v>183239</v>
      </c>
      <c r="K699" s="2">
        <v>0.32</v>
      </c>
      <c r="L699" t="s">
        <v>19</v>
      </c>
      <c r="M699" t="s">
        <v>63</v>
      </c>
      <c r="N699" s="7" t="s">
        <v>21</v>
      </c>
      <c r="O699" s="1">
        <f>TBL_Employees3[[#This Row],[Annual Salary]]+TBL_Employees3[[#This Row],[Bonus %]]*TBL_Employees3[[#This Row],[Annual Salary]]</f>
        <v>241875.48</v>
      </c>
      <c r="P699" t="str">
        <f>IF(AND(TBL_Employees3[[#This Row],[Department]]="IT",TBL_Employees3[[#This Row],[Gender]]="Female"),"Yes","No")</f>
        <v>No</v>
      </c>
      <c r="Q699" t="str">
        <f>IF(AND(TBL_Employees3[[#This Row],[Gender]]="Female",TBL_Employees3[[#This Row],[Ethnicity]]="Black"), "Female_Black", "Others")</f>
        <v>Others</v>
      </c>
      <c r="T699" t="str">
        <v>E02391</v>
      </c>
    </row>
    <row r="700" spans="1:20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7">
        <v>43610</v>
      </c>
      <c r="J700" s="1">
        <v>45819</v>
      </c>
      <c r="K700" s="2">
        <v>0</v>
      </c>
      <c r="L700" t="s">
        <v>19</v>
      </c>
      <c r="M700" t="s">
        <v>45</v>
      </c>
      <c r="N700" s="7" t="s">
        <v>21</v>
      </c>
      <c r="O700" s="1">
        <f>TBL_Employees3[[#This Row],[Annual Salary]]+TBL_Employees3[[#This Row],[Bonus %]]*TBL_Employees3[[#This Row],[Annual Salary]]</f>
        <v>45819</v>
      </c>
      <c r="P700" t="str">
        <f>IF(AND(TBL_Employees3[[#This Row],[Department]]="IT",TBL_Employees3[[#This Row],[Gender]]="Female"),"Yes","No")</f>
        <v>No</v>
      </c>
      <c r="Q700" t="str">
        <f>IF(AND(TBL_Employees3[[#This Row],[Gender]]="Female",TBL_Employees3[[#This Row],[Ethnicity]]="Black"), "Female_Black", "Others")</f>
        <v>Others</v>
      </c>
      <c r="T700" t="str">
        <v>E01429</v>
      </c>
    </row>
    <row r="701" spans="1:20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7">
        <v>39080</v>
      </c>
      <c r="J701" s="1">
        <v>55518</v>
      </c>
      <c r="K701" s="2">
        <v>0</v>
      </c>
      <c r="L701" t="s">
        <v>19</v>
      </c>
      <c r="M701" t="s">
        <v>29</v>
      </c>
      <c r="N701" s="7" t="s">
        <v>21</v>
      </c>
      <c r="O701" s="1">
        <f>TBL_Employees3[[#This Row],[Annual Salary]]+TBL_Employees3[[#This Row],[Bonus %]]*TBL_Employees3[[#This Row],[Annual Salary]]</f>
        <v>55518</v>
      </c>
      <c r="P701" t="str">
        <f>IF(AND(TBL_Employees3[[#This Row],[Department]]="IT",TBL_Employees3[[#This Row],[Gender]]="Female"),"Yes","No")</f>
        <v>No</v>
      </c>
      <c r="Q701" t="str">
        <f>IF(AND(TBL_Employees3[[#This Row],[Gender]]="Female",TBL_Employees3[[#This Row],[Ethnicity]]="Black"), "Female_Black", "Others")</f>
        <v>Others</v>
      </c>
      <c r="T701" t="str">
        <v>E00494</v>
      </c>
    </row>
    <row r="702" spans="1:20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7">
        <v>40979</v>
      </c>
      <c r="J702" s="1">
        <v>108134</v>
      </c>
      <c r="K702" s="2">
        <v>0.1</v>
      </c>
      <c r="L702" t="s">
        <v>33</v>
      </c>
      <c r="M702" t="s">
        <v>74</v>
      </c>
      <c r="N702" s="7" t="s">
        <v>21</v>
      </c>
      <c r="O702" s="1">
        <f>TBL_Employees3[[#This Row],[Annual Salary]]+TBL_Employees3[[#This Row],[Bonus %]]*TBL_Employees3[[#This Row],[Annual Salary]]</f>
        <v>118947.4</v>
      </c>
      <c r="P702" t="str">
        <f>IF(AND(TBL_Employees3[[#This Row],[Department]]="IT",TBL_Employees3[[#This Row],[Gender]]="Female"),"Yes","No")</f>
        <v>No</v>
      </c>
      <c r="Q702" t="str">
        <f>IF(AND(TBL_Employees3[[#This Row],[Gender]]="Female",TBL_Employees3[[#This Row],[Ethnicity]]="Black"), "Female_Black", "Others")</f>
        <v>Others</v>
      </c>
      <c r="T702" t="str">
        <v>E00634</v>
      </c>
    </row>
    <row r="703" spans="1:20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7">
        <v>33958</v>
      </c>
      <c r="J703" s="1">
        <v>113950</v>
      </c>
      <c r="K703" s="2">
        <v>0.09</v>
      </c>
      <c r="L703" t="s">
        <v>19</v>
      </c>
      <c r="M703" t="s">
        <v>45</v>
      </c>
      <c r="N703" s="7" t="s">
        <v>21</v>
      </c>
      <c r="O703" s="1">
        <f>TBL_Employees3[[#This Row],[Annual Salary]]+TBL_Employees3[[#This Row],[Bonus %]]*TBL_Employees3[[#This Row],[Annual Salary]]</f>
        <v>124205.5</v>
      </c>
      <c r="P703" t="str">
        <f>IF(AND(TBL_Employees3[[#This Row],[Department]]="IT",TBL_Employees3[[#This Row],[Gender]]="Female"),"Yes","No")</f>
        <v>No</v>
      </c>
      <c r="Q703" t="str">
        <f>IF(AND(TBL_Employees3[[#This Row],[Gender]]="Female",TBL_Employees3[[#This Row],[Ethnicity]]="Black"), "Female_Black", "Others")</f>
        <v>Female_Black</v>
      </c>
      <c r="T703" t="str">
        <v>E04683</v>
      </c>
    </row>
    <row r="704" spans="1:20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7">
        <v>35886</v>
      </c>
      <c r="J704" s="1">
        <v>182035</v>
      </c>
      <c r="K704" s="2">
        <v>0.3</v>
      </c>
      <c r="L704" t="s">
        <v>19</v>
      </c>
      <c r="M704" t="s">
        <v>20</v>
      </c>
      <c r="N704" s="7" t="s">
        <v>21</v>
      </c>
      <c r="O704" s="1">
        <f>TBL_Employees3[[#This Row],[Annual Salary]]+TBL_Employees3[[#This Row],[Bonus %]]*TBL_Employees3[[#This Row],[Annual Salary]]</f>
        <v>236645.5</v>
      </c>
      <c r="P704" t="str">
        <f>IF(AND(TBL_Employees3[[#This Row],[Department]]="IT",TBL_Employees3[[#This Row],[Gender]]="Female"),"Yes","No")</f>
        <v>No</v>
      </c>
      <c r="Q704" t="str">
        <f>IF(AND(TBL_Employees3[[#This Row],[Gender]]="Female",TBL_Employees3[[#This Row],[Ethnicity]]="Black"), "Female_Black", "Others")</f>
        <v>Others</v>
      </c>
      <c r="T704" t="str">
        <v>E03834</v>
      </c>
    </row>
    <row r="705" spans="1:20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7">
        <v>42963</v>
      </c>
      <c r="J705" s="1">
        <v>181356</v>
      </c>
      <c r="K705" s="2">
        <v>0.23</v>
      </c>
      <c r="L705" t="s">
        <v>33</v>
      </c>
      <c r="M705" t="s">
        <v>60</v>
      </c>
      <c r="N705" s="7" t="s">
        <v>21</v>
      </c>
      <c r="O705" s="1">
        <f>TBL_Employees3[[#This Row],[Annual Salary]]+TBL_Employees3[[#This Row],[Bonus %]]*TBL_Employees3[[#This Row],[Annual Salary]]</f>
        <v>223067.88</v>
      </c>
      <c r="P705" t="str">
        <f>IF(AND(TBL_Employees3[[#This Row],[Department]]="IT",TBL_Employees3[[#This Row],[Gender]]="Female"),"Yes","No")</f>
        <v>No</v>
      </c>
      <c r="Q705" t="str">
        <f>IF(AND(TBL_Employees3[[#This Row],[Gender]]="Female",TBL_Employees3[[#This Row],[Ethnicity]]="Black"), "Female_Black", "Others")</f>
        <v>Others</v>
      </c>
      <c r="T705" t="str">
        <v>E02923</v>
      </c>
    </row>
    <row r="706" spans="1:20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7">
        <v>43698</v>
      </c>
      <c r="J706" s="1">
        <v>66084</v>
      </c>
      <c r="K706" s="2">
        <v>0</v>
      </c>
      <c r="L706" t="s">
        <v>19</v>
      </c>
      <c r="M706" t="s">
        <v>63</v>
      </c>
      <c r="N706" s="7" t="s">
        <v>21</v>
      </c>
      <c r="O706" s="1">
        <f>TBL_Employees3[[#This Row],[Annual Salary]]+TBL_Employees3[[#This Row],[Bonus %]]*TBL_Employees3[[#This Row],[Annual Salary]]</f>
        <v>66084</v>
      </c>
      <c r="P706" t="str">
        <f>IF(AND(TBL_Employees3[[#This Row],[Department]]="IT",TBL_Employees3[[#This Row],[Gender]]="Female"),"Yes","No")</f>
        <v>No</v>
      </c>
      <c r="Q706" t="str">
        <f>IF(AND(TBL_Employees3[[#This Row],[Gender]]="Female",TBL_Employees3[[#This Row],[Ethnicity]]="Black"), "Female_Black", "Others")</f>
        <v>Female_Black</v>
      </c>
      <c r="T706" t="str">
        <v>E02642</v>
      </c>
    </row>
    <row r="707" spans="1:20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7">
        <v>40290</v>
      </c>
      <c r="J707" s="1">
        <v>76912</v>
      </c>
      <c r="K707" s="2">
        <v>0</v>
      </c>
      <c r="L707" t="s">
        <v>52</v>
      </c>
      <c r="M707" t="s">
        <v>53</v>
      </c>
      <c r="N707" s="7" t="s">
        <v>21</v>
      </c>
      <c r="O707" s="1">
        <f>TBL_Employees3[[#This Row],[Annual Salary]]+TBL_Employees3[[#This Row],[Bonus %]]*TBL_Employees3[[#This Row],[Annual Salary]]</f>
        <v>76912</v>
      </c>
      <c r="P707" t="str">
        <f>IF(AND(TBL_Employees3[[#This Row],[Department]]="IT",TBL_Employees3[[#This Row],[Gender]]="Female"),"Yes","No")</f>
        <v>Yes</v>
      </c>
      <c r="Q707" t="str">
        <f>IF(AND(TBL_Employees3[[#This Row],[Gender]]="Female",TBL_Employees3[[#This Row],[Ethnicity]]="Black"), "Female_Black", "Others")</f>
        <v>Others</v>
      </c>
      <c r="T707" t="str">
        <v>E00981</v>
      </c>
    </row>
    <row r="708" spans="1:20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7">
        <v>43227</v>
      </c>
      <c r="J708" s="1">
        <v>67987</v>
      </c>
      <c r="K708" s="2">
        <v>0</v>
      </c>
      <c r="L708" t="s">
        <v>19</v>
      </c>
      <c r="M708" t="s">
        <v>45</v>
      </c>
      <c r="N708" s="7" t="s">
        <v>21</v>
      </c>
      <c r="O708" s="1">
        <f>TBL_Employees3[[#This Row],[Annual Salary]]+TBL_Employees3[[#This Row],[Bonus %]]*TBL_Employees3[[#This Row],[Annual Salary]]</f>
        <v>67987</v>
      </c>
      <c r="P708" t="str">
        <f>IF(AND(TBL_Employees3[[#This Row],[Department]]="IT",TBL_Employees3[[#This Row],[Gender]]="Female"),"Yes","No")</f>
        <v>No</v>
      </c>
      <c r="Q708" t="str">
        <f>IF(AND(TBL_Employees3[[#This Row],[Gender]]="Female",TBL_Employees3[[#This Row],[Ethnicity]]="Black"), "Female_Black", "Others")</f>
        <v>Others</v>
      </c>
      <c r="T708" t="str">
        <v>E04157</v>
      </c>
    </row>
    <row r="709" spans="1:20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7">
        <v>38584</v>
      </c>
      <c r="J709" s="1">
        <v>59833</v>
      </c>
      <c r="K709" s="2">
        <v>0</v>
      </c>
      <c r="L709" t="s">
        <v>19</v>
      </c>
      <c r="M709" t="s">
        <v>29</v>
      </c>
      <c r="N709" s="7" t="s">
        <v>21</v>
      </c>
      <c r="O709" s="1">
        <f>TBL_Employees3[[#This Row],[Annual Salary]]+TBL_Employees3[[#This Row],[Bonus %]]*TBL_Employees3[[#This Row],[Annual Salary]]</f>
        <v>59833</v>
      </c>
      <c r="P709" t="str">
        <f>IF(AND(TBL_Employees3[[#This Row],[Department]]="IT",TBL_Employees3[[#This Row],[Gender]]="Female"),"Yes","No")</f>
        <v>No</v>
      </c>
      <c r="Q709" t="str">
        <f>IF(AND(TBL_Employees3[[#This Row],[Gender]]="Female",TBL_Employees3[[#This Row],[Ethnicity]]="Black"), "Female_Black", "Others")</f>
        <v>Others</v>
      </c>
      <c r="T709" t="str">
        <v>E03528</v>
      </c>
    </row>
    <row r="710" spans="1:20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7">
        <v>38453</v>
      </c>
      <c r="J710" s="1">
        <v>128468</v>
      </c>
      <c r="K710" s="2">
        <v>0.11</v>
      </c>
      <c r="L710" t="s">
        <v>19</v>
      </c>
      <c r="M710" t="s">
        <v>20</v>
      </c>
      <c r="N710" s="7" t="s">
        <v>21</v>
      </c>
      <c r="O710" s="1">
        <f>TBL_Employees3[[#This Row],[Annual Salary]]+TBL_Employees3[[#This Row],[Bonus %]]*TBL_Employees3[[#This Row],[Annual Salary]]</f>
        <v>142599.48000000001</v>
      </c>
      <c r="P710" t="str">
        <f>IF(AND(TBL_Employees3[[#This Row],[Department]]="IT",TBL_Employees3[[#This Row],[Gender]]="Female"),"Yes","No")</f>
        <v>No</v>
      </c>
      <c r="Q710" t="str">
        <f>IF(AND(TBL_Employees3[[#This Row],[Gender]]="Female",TBL_Employees3[[#This Row],[Ethnicity]]="Black"), "Female_Black", "Others")</f>
        <v>Others</v>
      </c>
      <c r="T710" t="str">
        <v>E04547</v>
      </c>
    </row>
    <row r="711" spans="1:20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7">
        <v>40692</v>
      </c>
      <c r="J711" s="1">
        <v>102440</v>
      </c>
      <c r="K711" s="2">
        <v>0.06</v>
      </c>
      <c r="L711" t="s">
        <v>19</v>
      </c>
      <c r="M711" t="s">
        <v>20</v>
      </c>
      <c r="N711" s="7" t="s">
        <v>21</v>
      </c>
      <c r="O711" s="1">
        <f>TBL_Employees3[[#This Row],[Annual Salary]]+TBL_Employees3[[#This Row],[Bonus %]]*TBL_Employees3[[#This Row],[Annual Salary]]</f>
        <v>108586.4</v>
      </c>
      <c r="P711" t="str">
        <f>IF(AND(TBL_Employees3[[#This Row],[Department]]="IT",TBL_Employees3[[#This Row],[Gender]]="Female"),"Yes","No")</f>
        <v>No</v>
      </c>
      <c r="Q711" t="str">
        <f>IF(AND(TBL_Employees3[[#This Row],[Gender]]="Female",TBL_Employees3[[#This Row],[Ethnicity]]="Black"), "Female_Black", "Others")</f>
        <v>Others</v>
      </c>
      <c r="T711" t="str">
        <v>E04415</v>
      </c>
    </row>
    <row r="712" spans="1:20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7">
        <v>40542</v>
      </c>
      <c r="J712" s="1">
        <v>246619</v>
      </c>
      <c r="K712" s="2">
        <v>0.36</v>
      </c>
      <c r="L712" t="s">
        <v>19</v>
      </c>
      <c r="M712" t="s">
        <v>45</v>
      </c>
      <c r="N712" s="7" t="s">
        <v>21</v>
      </c>
      <c r="O712" s="1">
        <f>TBL_Employees3[[#This Row],[Annual Salary]]+TBL_Employees3[[#This Row],[Bonus %]]*TBL_Employees3[[#This Row],[Annual Salary]]</f>
        <v>335401.83999999997</v>
      </c>
      <c r="P712" t="str">
        <f>IF(AND(TBL_Employees3[[#This Row],[Department]]="IT",TBL_Employees3[[#This Row],[Gender]]="Female"),"Yes","No")</f>
        <v>No</v>
      </c>
      <c r="Q712" t="str">
        <f>IF(AND(TBL_Employees3[[#This Row],[Gender]]="Female",TBL_Employees3[[#This Row],[Ethnicity]]="Black"), "Female_Black", "Others")</f>
        <v>Others</v>
      </c>
      <c r="T712" t="str">
        <v>E04484</v>
      </c>
    </row>
    <row r="713" spans="1:20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7">
        <v>43058</v>
      </c>
      <c r="J713" s="1">
        <v>101143</v>
      </c>
      <c r="K713" s="2">
        <v>0.06</v>
      </c>
      <c r="L713" t="s">
        <v>19</v>
      </c>
      <c r="M713" t="s">
        <v>45</v>
      </c>
      <c r="N713" s="7" t="s">
        <v>21</v>
      </c>
      <c r="O713" s="1">
        <f>TBL_Employees3[[#This Row],[Annual Salary]]+TBL_Employees3[[#This Row],[Bonus %]]*TBL_Employees3[[#This Row],[Annual Salary]]</f>
        <v>107211.58</v>
      </c>
      <c r="P713" t="str">
        <f>IF(AND(TBL_Employees3[[#This Row],[Department]]="IT",TBL_Employees3[[#This Row],[Gender]]="Female"),"Yes","No")</f>
        <v>No</v>
      </c>
      <c r="Q713" t="str">
        <f>IF(AND(TBL_Employees3[[#This Row],[Gender]]="Female",TBL_Employees3[[#This Row],[Ethnicity]]="Black"), "Female_Black", "Others")</f>
        <v>Others</v>
      </c>
      <c r="T713" t="str">
        <v>E02800</v>
      </c>
    </row>
    <row r="714" spans="1:20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7">
        <v>38639</v>
      </c>
      <c r="J714" s="1">
        <v>51404</v>
      </c>
      <c r="K714" s="2">
        <v>0</v>
      </c>
      <c r="L714" t="s">
        <v>52</v>
      </c>
      <c r="M714" t="s">
        <v>81</v>
      </c>
      <c r="N714" s="7">
        <v>40153</v>
      </c>
      <c r="O714" s="1">
        <f>TBL_Employees3[[#This Row],[Annual Salary]]+TBL_Employees3[[#This Row],[Bonus %]]*TBL_Employees3[[#This Row],[Annual Salary]]</f>
        <v>51404</v>
      </c>
      <c r="P714" t="str">
        <f>IF(AND(TBL_Employees3[[#This Row],[Department]]="IT",TBL_Employees3[[#This Row],[Gender]]="Female"),"Yes","No")</f>
        <v>No</v>
      </c>
      <c r="Q714" t="str">
        <f>IF(AND(TBL_Employees3[[#This Row],[Gender]]="Female",TBL_Employees3[[#This Row],[Ethnicity]]="Black"), "Female_Black", "Others")</f>
        <v>Others</v>
      </c>
      <c r="T714" t="str">
        <v>E04926</v>
      </c>
    </row>
    <row r="715" spans="1:20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7">
        <v>42329</v>
      </c>
      <c r="J715" s="1">
        <v>87292</v>
      </c>
      <c r="K715" s="2">
        <v>0</v>
      </c>
      <c r="L715" t="s">
        <v>19</v>
      </c>
      <c r="M715" t="s">
        <v>29</v>
      </c>
      <c r="N715" s="7" t="s">
        <v>21</v>
      </c>
      <c r="O715" s="1">
        <f>TBL_Employees3[[#This Row],[Annual Salary]]+TBL_Employees3[[#This Row],[Bonus %]]*TBL_Employees3[[#This Row],[Annual Salary]]</f>
        <v>87292</v>
      </c>
      <c r="P715" t="str">
        <f>IF(AND(TBL_Employees3[[#This Row],[Department]]="IT",TBL_Employees3[[#This Row],[Gender]]="Female"),"Yes","No")</f>
        <v>No</v>
      </c>
      <c r="Q715" t="str">
        <f>IF(AND(TBL_Employees3[[#This Row],[Gender]]="Female",TBL_Employees3[[#This Row],[Ethnicity]]="Black"), "Female_Black", "Others")</f>
        <v>Others</v>
      </c>
      <c r="T715" t="str">
        <v>E01268</v>
      </c>
    </row>
    <row r="716" spans="1:20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7">
        <v>43810</v>
      </c>
      <c r="J716" s="1">
        <v>182321</v>
      </c>
      <c r="K716" s="2">
        <v>0.28000000000000003</v>
      </c>
      <c r="L716" t="s">
        <v>33</v>
      </c>
      <c r="M716" t="s">
        <v>60</v>
      </c>
      <c r="N716" s="7" t="s">
        <v>21</v>
      </c>
      <c r="O716" s="1">
        <f>TBL_Employees3[[#This Row],[Annual Salary]]+TBL_Employees3[[#This Row],[Bonus %]]*TBL_Employees3[[#This Row],[Annual Salary]]</f>
        <v>233370.88</v>
      </c>
      <c r="P716" t="str">
        <f>IF(AND(TBL_Employees3[[#This Row],[Department]]="IT",TBL_Employees3[[#This Row],[Gender]]="Female"),"Yes","No")</f>
        <v>No</v>
      </c>
      <c r="Q716" t="str">
        <f>IF(AND(TBL_Employees3[[#This Row],[Gender]]="Female",TBL_Employees3[[#This Row],[Ethnicity]]="Black"), "Female_Black", "Others")</f>
        <v>Others</v>
      </c>
      <c r="T716" t="str">
        <v>E04853</v>
      </c>
    </row>
    <row r="717" spans="1:20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7">
        <v>41697</v>
      </c>
      <c r="J717" s="1">
        <v>53929</v>
      </c>
      <c r="K717" s="2">
        <v>0</v>
      </c>
      <c r="L717" t="s">
        <v>19</v>
      </c>
      <c r="M717" t="s">
        <v>45</v>
      </c>
      <c r="N717" s="7">
        <v>43091</v>
      </c>
      <c r="O717" s="1">
        <f>TBL_Employees3[[#This Row],[Annual Salary]]+TBL_Employees3[[#This Row],[Bonus %]]*TBL_Employees3[[#This Row],[Annual Salary]]</f>
        <v>53929</v>
      </c>
      <c r="P717" t="str">
        <f>IF(AND(TBL_Employees3[[#This Row],[Department]]="IT",TBL_Employees3[[#This Row],[Gender]]="Female"),"Yes","No")</f>
        <v>No</v>
      </c>
      <c r="Q717" t="str">
        <f>IF(AND(TBL_Employees3[[#This Row],[Gender]]="Female",TBL_Employees3[[#This Row],[Ethnicity]]="Black"), "Female_Black", "Others")</f>
        <v>Others</v>
      </c>
      <c r="T717" t="str">
        <v>E01209</v>
      </c>
    </row>
    <row r="718" spans="1:20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7">
        <v>41256</v>
      </c>
      <c r="J718" s="1">
        <v>191571</v>
      </c>
      <c r="K718" s="2">
        <v>0.32</v>
      </c>
      <c r="L718" t="s">
        <v>19</v>
      </c>
      <c r="M718" t="s">
        <v>25</v>
      </c>
      <c r="N718" s="7" t="s">
        <v>21</v>
      </c>
      <c r="O718" s="1">
        <f>TBL_Employees3[[#This Row],[Annual Salary]]+TBL_Employees3[[#This Row],[Bonus %]]*TBL_Employees3[[#This Row],[Annual Salary]]</f>
        <v>252873.72</v>
      </c>
      <c r="P718" t="str">
        <f>IF(AND(TBL_Employees3[[#This Row],[Department]]="IT",TBL_Employees3[[#This Row],[Gender]]="Female"),"Yes","No")</f>
        <v>No</v>
      </c>
      <c r="Q718" t="str">
        <f>IF(AND(TBL_Employees3[[#This Row],[Gender]]="Female",TBL_Employees3[[#This Row],[Ethnicity]]="Black"), "Female_Black", "Others")</f>
        <v>Others</v>
      </c>
      <c r="T718" t="str">
        <v>E02024</v>
      </c>
    </row>
    <row r="719" spans="1:20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7">
        <v>39843</v>
      </c>
      <c r="J719" s="1">
        <v>150555</v>
      </c>
      <c r="K719" s="2">
        <v>0.13</v>
      </c>
      <c r="L719" t="s">
        <v>19</v>
      </c>
      <c r="M719" t="s">
        <v>39</v>
      </c>
      <c r="N719" s="7" t="s">
        <v>21</v>
      </c>
      <c r="O719" s="1">
        <f>TBL_Employees3[[#This Row],[Annual Salary]]+TBL_Employees3[[#This Row],[Bonus %]]*TBL_Employees3[[#This Row],[Annual Salary]]</f>
        <v>170127.15</v>
      </c>
      <c r="P719" t="str">
        <f>IF(AND(TBL_Employees3[[#This Row],[Department]]="IT",TBL_Employees3[[#This Row],[Gender]]="Female"),"Yes","No")</f>
        <v>No</v>
      </c>
      <c r="Q719" t="str">
        <f>IF(AND(TBL_Employees3[[#This Row],[Gender]]="Female",TBL_Employees3[[#This Row],[Ethnicity]]="Black"), "Female_Black", "Others")</f>
        <v>Others</v>
      </c>
      <c r="T719" t="str">
        <v>E02427</v>
      </c>
    </row>
    <row r="720" spans="1:20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40091</v>
      </c>
      <c r="J720" s="1">
        <v>122890</v>
      </c>
      <c r="K720" s="2">
        <v>7.0000000000000007E-2</v>
      </c>
      <c r="L720" t="s">
        <v>33</v>
      </c>
      <c r="M720" t="s">
        <v>74</v>
      </c>
      <c r="N720" s="7" t="s">
        <v>21</v>
      </c>
      <c r="O720" s="1">
        <f>TBL_Employees3[[#This Row],[Annual Salary]]+TBL_Employees3[[#This Row],[Bonus %]]*TBL_Employees3[[#This Row],[Annual Salary]]</f>
        <v>131492.29999999999</v>
      </c>
      <c r="P720" t="str">
        <f>IF(AND(TBL_Employees3[[#This Row],[Department]]="IT",TBL_Employees3[[#This Row],[Gender]]="Female"),"Yes","No")</f>
        <v>No</v>
      </c>
      <c r="Q720" t="str">
        <f>IF(AND(TBL_Employees3[[#This Row],[Gender]]="Female",TBL_Employees3[[#This Row],[Ethnicity]]="Black"), "Female_Black", "Others")</f>
        <v>Others</v>
      </c>
      <c r="T720" t="str">
        <v>E00951</v>
      </c>
    </row>
    <row r="721" spans="1:20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7">
        <v>35576</v>
      </c>
      <c r="J721" s="1">
        <v>216999</v>
      </c>
      <c r="K721" s="2">
        <v>0.37</v>
      </c>
      <c r="L721" t="s">
        <v>19</v>
      </c>
      <c r="M721" t="s">
        <v>45</v>
      </c>
      <c r="N721" s="7" t="s">
        <v>21</v>
      </c>
      <c r="O721" s="1">
        <f>TBL_Employees3[[#This Row],[Annual Salary]]+TBL_Employees3[[#This Row],[Bonus %]]*TBL_Employees3[[#This Row],[Annual Salary]]</f>
        <v>297288.63</v>
      </c>
      <c r="P721" t="str">
        <f>IF(AND(TBL_Employees3[[#This Row],[Department]]="IT",TBL_Employees3[[#This Row],[Gender]]="Female"),"Yes","No")</f>
        <v>No</v>
      </c>
      <c r="Q721" t="str">
        <f>IF(AND(TBL_Employees3[[#This Row],[Gender]]="Female",TBL_Employees3[[#This Row],[Ethnicity]]="Black"), "Female_Black", "Others")</f>
        <v>Others</v>
      </c>
      <c r="T721" t="str">
        <v>E03248</v>
      </c>
    </row>
    <row r="722" spans="1:20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7">
        <v>42201</v>
      </c>
      <c r="J722" s="1">
        <v>110565</v>
      </c>
      <c r="K722" s="2">
        <v>0.09</v>
      </c>
      <c r="L722" t="s">
        <v>33</v>
      </c>
      <c r="M722" t="s">
        <v>60</v>
      </c>
      <c r="N722" s="7" t="s">
        <v>21</v>
      </c>
      <c r="O722" s="1">
        <f>TBL_Employees3[[#This Row],[Annual Salary]]+TBL_Employees3[[#This Row],[Bonus %]]*TBL_Employees3[[#This Row],[Annual Salary]]</f>
        <v>120515.85</v>
      </c>
      <c r="P722" t="str">
        <f>IF(AND(TBL_Employees3[[#This Row],[Department]]="IT",TBL_Employees3[[#This Row],[Gender]]="Female"),"Yes","No")</f>
        <v>No</v>
      </c>
      <c r="Q722" t="str">
        <f>IF(AND(TBL_Employees3[[#This Row],[Gender]]="Female",TBL_Employees3[[#This Row],[Ethnicity]]="Black"), "Female_Black", "Others")</f>
        <v>Others</v>
      </c>
      <c r="T722" t="str">
        <v>E04444</v>
      </c>
    </row>
    <row r="723" spans="1:20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7">
        <v>42113</v>
      </c>
      <c r="J723" s="1">
        <v>48762</v>
      </c>
      <c r="K723" s="2">
        <v>0</v>
      </c>
      <c r="L723" t="s">
        <v>19</v>
      </c>
      <c r="M723" t="s">
        <v>63</v>
      </c>
      <c r="N723" s="7" t="s">
        <v>21</v>
      </c>
      <c r="O723" s="1">
        <f>TBL_Employees3[[#This Row],[Annual Salary]]+TBL_Employees3[[#This Row],[Bonus %]]*TBL_Employees3[[#This Row],[Annual Salary]]</f>
        <v>48762</v>
      </c>
      <c r="P723" t="str">
        <f>IF(AND(TBL_Employees3[[#This Row],[Department]]="IT",TBL_Employees3[[#This Row],[Gender]]="Female"),"Yes","No")</f>
        <v>No</v>
      </c>
      <c r="Q723" t="str">
        <f>IF(AND(TBL_Employees3[[#This Row],[Gender]]="Female",TBL_Employees3[[#This Row],[Ethnicity]]="Black"), "Female_Black", "Others")</f>
        <v>Others</v>
      </c>
      <c r="T723" t="str">
        <v>E02307</v>
      </c>
    </row>
    <row r="724" spans="1:20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7">
        <v>42777</v>
      </c>
      <c r="J724" s="1">
        <v>87036</v>
      </c>
      <c r="K724" s="2">
        <v>0</v>
      </c>
      <c r="L724" t="s">
        <v>33</v>
      </c>
      <c r="M724" t="s">
        <v>80</v>
      </c>
      <c r="N724" s="7" t="s">
        <v>21</v>
      </c>
      <c r="O724" s="1">
        <f>TBL_Employees3[[#This Row],[Annual Salary]]+TBL_Employees3[[#This Row],[Bonus %]]*TBL_Employees3[[#This Row],[Annual Salary]]</f>
        <v>87036</v>
      </c>
      <c r="P724" t="str">
        <f>IF(AND(TBL_Employees3[[#This Row],[Department]]="IT",TBL_Employees3[[#This Row],[Gender]]="Female"),"Yes","No")</f>
        <v>No</v>
      </c>
      <c r="Q724" t="str">
        <f>IF(AND(TBL_Employees3[[#This Row],[Gender]]="Female",TBL_Employees3[[#This Row],[Ethnicity]]="Black"), "Female_Black", "Others")</f>
        <v>Others</v>
      </c>
      <c r="T724" t="str">
        <v>E02375</v>
      </c>
    </row>
    <row r="725" spans="1:20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7">
        <v>42702</v>
      </c>
      <c r="J725" s="1">
        <v>177443</v>
      </c>
      <c r="K725" s="2">
        <v>0.16</v>
      </c>
      <c r="L725" t="s">
        <v>19</v>
      </c>
      <c r="M725" t="s">
        <v>63</v>
      </c>
      <c r="N725" s="7" t="s">
        <v>21</v>
      </c>
      <c r="O725" s="1">
        <f>TBL_Employees3[[#This Row],[Annual Salary]]+TBL_Employees3[[#This Row],[Bonus %]]*TBL_Employees3[[#This Row],[Annual Salary]]</f>
        <v>205833.88</v>
      </c>
      <c r="P725" t="str">
        <f>IF(AND(TBL_Employees3[[#This Row],[Department]]="IT",TBL_Employees3[[#This Row],[Gender]]="Female"),"Yes","No")</f>
        <v>No</v>
      </c>
      <c r="Q725" t="str">
        <f>IF(AND(TBL_Employees3[[#This Row],[Gender]]="Female",TBL_Employees3[[#This Row],[Ethnicity]]="Black"), "Female_Black", "Others")</f>
        <v>Others</v>
      </c>
      <c r="T725" t="str">
        <v>E02276</v>
      </c>
    </row>
    <row r="726" spans="1:20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7">
        <v>42489</v>
      </c>
      <c r="J726" s="1">
        <v>75862</v>
      </c>
      <c r="K726" s="2">
        <v>0</v>
      </c>
      <c r="L726" t="s">
        <v>19</v>
      </c>
      <c r="M726" t="s">
        <v>25</v>
      </c>
      <c r="N726" s="7" t="s">
        <v>21</v>
      </c>
      <c r="O726" s="1">
        <f>TBL_Employees3[[#This Row],[Annual Salary]]+TBL_Employees3[[#This Row],[Bonus %]]*TBL_Employees3[[#This Row],[Annual Salary]]</f>
        <v>75862</v>
      </c>
      <c r="P726" t="str">
        <f>IF(AND(TBL_Employees3[[#This Row],[Department]]="IT",TBL_Employees3[[#This Row],[Gender]]="Female"),"Yes","No")</f>
        <v>Yes</v>
      </c>
      <c r="Q726" t="str">
        <f>IF(AND(TBL_Employees3[[#This Row],[Gender]]="Female",TBL_Employees3[[#This Row],[Ethnicity]]="Black"), "Female_Black", "Others")</f>
        <v>Others</v>
      </c>
      <c r="T726" t="str">
        <v>E02649</v>
      </c>
    </row>
    <row r="727" spans="1:20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7">
        <v>43581</v>
      </c>
      <c r="J727" s="1">
        <v>90870</v>
      </c>
      <c r="K727" s="2">
        <v>0</v>
      </c>
      <c r="L727" t="s">
        <v>19</v>
      </c>
      <c r="M727" t="s">
        <v>20</v>
      </c>
      <c r="N727" s="7" t="s">
        <v>21</v>
      </c>
      <c r="O727" s="1">
        <f>TBL_Employees3[[#This Row],[Annual Salary]]+TBL_Employees3[[#This Row],[Bonus %]]*TBL_Employees3[[#This Row],[Annual Salary]]</f>
        <v>90870</v>
      </c>
      <c r="P727" t="str">
        <f>IF(AND(TBL_Employees3[[#This Row],[Department]]="IT",TBL_Employees3[[#This Row],[Gender]]="Female"),"Yes","No")</f>
        <v>No</v>
      </c>
      <c r="Q727" t="str">
        <f>IF(AND(TBL_Employees3[[#This Row],[Gender]]="Female",TBL_Employees3[[#This Row],[Ethnicity]]="Black"), "Female_Black", "Others")</f>
        <v>Others</v>
      </c>
      <c r="T727" t="str">
        <v>E00503</v>
      </c>
    </row>
    <row r="728" spans="1:20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7">
        <v>41977</v>
      </c>
      <c r="J728" s="1">
        <v>99202</v>
      </c>
      <c r="K728" s="2">
        <v>0.11</v>
      </c>
      <c r="L728" t="s">
        <v>19</v>
      </c>
      <c r="M728" t="s">
        <v>39</v>
      </c>
      <c r="N728" s="7" t="s">
        <v>21</v>
      </c>
      <c r="O728" s="1">
        <f>TBL_Employees3[[#This Row],[Annual Salary]]+TBL_Employees3[[#This Row],[Bonus %]]*TBL_Employees3[[#This Row],[Annual Salary]]</f>
        <v>110114.22</v>
      </c>
      <c r="P728" t="str">
        <f>IF(AND(TBL_Employees3[[#This Row],[Department]]="IT",TBL_Employees3[[#This Row],[Gender]]="Female"),"Yes","No")</f>
        <v>No</v>
      </c>
      <c r="Q728" t="str">
        <f>IF(AND(TBL_Employees3[[#This Row],[Gender]]="Female",TBL_Employees3[[#This Row],[Ethnicity]]="Black"), "Female_Black", "Others")</f>
        <v>Others</v>
      </c>
      <c r="T728" t="str">
        <v>E01706</v>
      </c>
    </row>
    <row r="729" spans="1:20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7">
        <v>39347</v>
      </c>
      <c r="J729" s="1">
        <v>92293</v>
      </c>
      <c r="K729" s="2">
        <v>0</v>
      </c>
      <c r="L729" t="s">
        <v>33</v>
      </c>
      <c r="M729" t="s">
        <v>34</v>
      </c>
      <c r="N729" s="7" t="s">
        <v>21</v>
      </c>
      <c r="O729" s="1">
        <f>TBL_Employees3[[#This Row],[Annual Salary]]+TBL_Employees3[[#This Row],[Bonus %]]*TBL_Employees3[[#This Row],[Annual Salary]]</f>
        <v>92293</v>
      </c>
      <c r="P729" t="str">
        <f>IF(AND(TBL_Employees3[[#This Row],[Department]]="IT",TBL_Employees3[[#This Row],[Gender]]="Female"),"Yes","No")</f>
        <v>No</v>
      </c>
      <c r="Q729" t="str">
        <f>IF(AND(TBL_Employees3[[#This Row],[Gender]]="Female",TBL_Employees3[[#This Row],[Ethnicity]]="Black"), "Female_Black", "Others")</f>
        <v>Others</v>
      </c>
      <c r="T729" t="str">
        <v>E00676</v>
      </c>
    </row>
    <row r="730" spans="1:20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7">
        <v>33785</v>
      </c>
      <c r="J730" s="1">
        <v>63196</v>
      </c>
      <c r="K730" s="2">
        <v>0</v>
      </c>
      <c r="L730" t="s">
        <v>19</v>
      </c>
      <c r="M730" t="s">
        <v>20</v>
      </c>
      <c r="N730" s="7">
        <v>41938</v>
      </c>
      <c r="O730" s="1">
        <f>TBL_Employees3[[#This Row],[Annual Salary]]+TBL_Employees3[[#This Row],[Bonus %]]*TBL_Employees3[[#This Row],[Annual Salary]]</f>
        <v>63196</v>
      </c>
      <c r="P730" t="str">
        <f>IF(AND(TBL_Employees3[[#This Row],[Department]]="IT",TBL_Employees3[[#This Row],[Gender]]="Female"),"Yes","No")</f>
        <v>No</v>
      </c>
      <c r="Q730" t="str">
        <f>IF(AND(TBL_Employees3[[#This Row],[Gender]]="Female",TBL_Employees3[[#This Row],[Ethnicity]]="Black"), "Female_Black", "Others")</f>
        <v>Others</v>
      </c>
      <c r="T730" t="str">
        <v>E02005</v>
      </c>
    </row>
    <row r="731" spans="1:20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7">
        <v>41032</v>
      </c>
      <c r="J731" s="1">
        <v>65340</v>
      </c>
      <c r="K731" s="2">
        <v>0</v>
      </c>
      <c r="L731" t="s">
        <v>33</v>
      </c>
      <c r="M731" t="s">
        <v>74</v>
      </c>
      <c r="N731" s="7">
        <v>43229</v>
      </c>
      <c r="O731" s="1">
        <f>TBL_Employees3[[#This Row],[Annual Salary]]+TBL_Employees3[[#This Row],[Bonus %]]*TBL_Employees3[[#This Row],[Annual Salary]]</f>
        <v>65340</v>
      </c>
      <c r="P731" t="str">
        <f>IF(AND(TBL_Employees3[[#This Row],[Department]]="IT",TBL_Employees3[[#This Row],[Gender]]="Female"),"Yes","No")</f>
        <v>No</v>
      </c>
      <c r="Q731" t="str">
        <f>IF(AND(TBL_Employees3[[#This Row],[Gender]]="Female",TBL_Employees3[[#This Row],[Ethnicity]]="Black"), "Female_Black", "Others")</f>
        <v>Others</v>
      </c>
      <c r="T731" t="str">
        <v>E01895</v>
      </c>
    </row>
    <row r="732" spans="1:20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7">
        <v>42271</v>
      </c>
      <c r="J732" s="1">
        <v>202680</v>
      </c>
      <c r="K732" s="2">
        <v>0.32</v>
      </c>
      <c r="L732" t="s">
        <v>19</v>
      </c>
      <c r="M732" t="s">
        <v>39</v>
      </c>
      <c r="N732" s="7">
        <v>44790</v>
      </c>
      <c r="O732" s="1">
        <f>TBL_Employees3[[#This Row],[Annual Salary]]+TBL_Employees3[[#This Row],[Bonus %]]*TBL_Employees3[[#This Row],[Annual Salary]]</f>
        <v>267537.59999999998</v>
      </c>
      <c r="P732" t="str">
        <f>IF(AND(TBL_Employees3[[#This Row],[Department]]="IT",TBL_Employees3[[#This Row],[Gender]]="Female"),"Yes","No")</f>
        <v>No</v>
      </c>
      <c r="Q732" t="str">
        <f>IF(AND(TBL_Employees3[[#This Row],[Gender]]="Female",TBL_Employees3[[#This Row],[Ethnicity]]="Black"), "Female_Black", "Others")</f>
        <v>Others</v>
      </c>
      <c r="T732" t="str">
        <v>E01396</v>
      </c>
    </row>
    <row r="733" spans="1:20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7">
        <v>42849</v>
      </c>
      <c r="J733" s="1">
        <v>77461</v>
      </c>
      <c r="K733" s="2">
        <v>0.09</v>
      </c>
      <c r="L733" t="s">
        <v>52</v>
      </c>
      <c r="M733" t="s">
        <v>53</v>
      </c>
      <c r="N733" s="7" t="s">
        <v>21</v>
      </c>
      <c r="O733" s="1">
        <f>TBL_Employees3[[#This Row],[Annual Salary]]+TBL_Employees3[[#This Row],[Bonus %]]*TBL_Employees3[[#This Row],[Annual Salary]]</f>
        <v>84432.49</v>
      </c>
      <c r="P733" t="str">
        <f>IF(AND(TBL_Employees3[[#This Row],[Department]]="IT",TBL_Employees3[[#This Row],[Gender]]="Female"),"Yes","No")</f>
        <v>Yes</v>
      </c>
      <c r="Q733" t="str">
        <f>IF(AND(TBL_Employees3[[#This Row],[Gender]]="Female",TBL_Employees3[[#This Row],[Ethnicity]]="Black"), "Female_Black", "Others")</f>
        <v>Others</v>
      </c>
      <c r="T733" t="str">
        <v>E00749</v>
      </c>
    </row>
    <row r="734" spans="1:20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7">
        <v>42622</v>
      </c>
      <c r="J734" s="1">
        <v>109680</v>
      </c>
      <c r="K734" s="2">
        <v>0</v>
      </c>
      <c r="L734" t="s">
        <v>33</v>
      </c>
      <c r="M734" t="s">
        <v>34</v>
      </c>
      <c r="N734" s="7" t="s">
        <v>21</v>
      </c>
      <c r="O734" s="1">
        <f>TBL_Employees3[[#This Row],[Annual Salary]]+TBL_Employees3[[#This Row],[Bonus %]]*TBL_Employees3[[#This Row],[Annual Salary]]</f>
        <v>109680</v>
      </c>
      <c r="P734" t="str">
        <f>IF(AND(TBL_Employees3[[#This Row],[Department]]="IT",TBL_Employees3[[#This Row],[Gender]]="Female"),"Yes","No")</f>
        <v>No</v>
      </c>
      <c r="Q734" t="str">
        <f>IF(AND(TBL_Employees3[[#This Row],[Gender]]="Female",TBL_Employees3[[#This Row],[Ethnicity]]="Black"), "Female_Black", "Others")</f>
        <v>Others</v>
      </c>
      <c r="T734" t="str">
        <v>E01941</v>
      </c>
    </row>
    <row r="735" spans="1:20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7">
        <v>35661</v>
      </c>
      <c r="J735" s="1">
        <v>159567</v>
      </c>
      <c r="K735" s="2">
        <v>0.28000000000000003</v>
      </c>
      <c r="L735" t="s">
        <v>19</v>
      </c>
      <c r="M735" t="s">
        <v>39</v>
      </c>
      <c r="N735" s="7" t="s">
        <v>21</v>
      </c>
      <c r="O735" s="1">
        <f>TBL_Employees3[[#This Row],[Annual Salary]]+TBL_Employees3[[#This Row],[Bonus %]]*TBL_Employees3[[#This Row],[Annual Salary]]</f>
        <v>204245.76000000001</v>
      </c>
      <c r="P735" t="str">
        <f>IF(AND(TBL_Employees3[[#This Row],[Department]]="IT",TBL_Employees3[[#This Row],[Gender]]="Female"),"Yes","No")</f>
        <v>No</v>
      </c>
      <c r="Q735" t="str">
        <f>IF(AND(TBL_Employees3[[#This Row],[Gender]]="Female",TBL_Employees3[[#This Row],[Ethnicity]]="Black"), "Female_Black", "Others")</f>
        <v>Female_Black</v>
      </c>
      <c r="T735" t="str">
        <v>E01413</v>
      </c>
    </row>
    <row r="736" spans="1:20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7">
        <v>41237</v>
      </c>
      <c r="J736" s="1">
        <v>94407</v>
      </c>
      <c r="K736" s="2">
        <v>0</v>
      </c>
      <c r="L736" t="s">
        <v>52</v>
      </c>
      <c r="M736" t="s">
        <v>53</v>
      </c>
      <c r="N736" s="7" t="s">
        <v>21</v>
      </c>
      <c r="O736" s="1">
        <f>TBL_Employees3[[#This Row],[Annual Salary]]+TBL_Employees3[[#This Row],[Bonus %]]*TBL_Employees3[[#This Row],[Annual Salary]]</f>
        <v>94407</v>
      </c>
      <c r="P736" t="str">
        <f>IF(AND(TBL_Employees3[[#This Row],[Department]]="IT",TBL_Employees3[[#This Row],[Gender]]="Female"),"Yes","No")</f>
        <v>No</v>
      </c>
      <c r="Q736" t="str">
        <f>IF(AND(TBL_Employees3[[#This Row],[Gender]]="Female",TBL_Employees3[[#This Row],[Ethnicity]]="Black"), "Female_Black", "Others")</f>
        <v>Others</v>
      </c>
      <c r="T736" t="str">
        <v>E03928</v>
      </c>
    </row>
    <row r="737" spans="1:20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7">
        <v>37484</v>
      </c>
      <c r="J737" s="1">
        <v>234594</v>
      </c>
      <c r="K737" s="2">
        <v>0.33</v>
      </c>
      <c r="L737" t="s">
        <v>19</v>
      </c>
      <c r="M737" t="s">
        <v>63</v>
      </c>
      <c r="N737" s="7" t="s">
        <v>21</v>
      </c>
      <c r="O737" s="1">
        <f>TBL_Employees3[[#This Row],[Annual Salary]]+TBL_Employees3[[#This Row],[Bonus %]]*TBL_Employees3[[#This Row],[Annual Salary]]</f>
        <v>312010.02</v>
      </c>
      <c r="P737" t="str">
        <f>IF(AND(TBL_Employees3[[#This Row],[Department]]="IT",TBL_Employees3[[#This Row],[Gender]]="Female"),"Yes","No")</f>
        <v>No</v>
      </c>
      <c r="Q737" t="str">
        <f>IF(AND(TBL_Employees3[[#This Row],[Gender]]="Female",TBL_Employees3[[#This Row],[Ethnicity]]="Black"), "Female_Black", "Others")</f>
        <v>Others</v>
      </c>
      <c r="T737" t="str">
        <v>E04109</v>
      </c>
    </row>
    <row r="738" spans="1:20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7">
        <v>37298</v>
      </c>
      <c r="J738" s="1">
        <v>43080</v>
      </c>
      <c r="K738" s="2">
        <v>0</v>
      </c>
      <c r="L738" t="s">
        <v>19</v>
      </c>
      <c r="M738" t="s">
        <v>25</v>
      </c>
      <c r="N738" s="7" t="s">
        <v>21</v>
      </c>
      <c r="O738" s="1">
        <f>TBL_Employees3[[#This Row],[Annual Salary]]+TBL_Employees3[[#This Row],[Bonus %]]*TBL_Employees3[[#This Row],[Annual Salary]]</f>
        <v>43080</v>
      </c>
      <c r="P738" t="str">
        <f>IF(AND(TBL_Employees3[[#This Row],[Department]]="IT",TBL_Employees3[[#This Row],[Gender]]="Female"),"Yes","No")</f>
        <v>No</v>
      </c>
      <c r="Q738" t="str">
        <f>IF(AND(TBL_Employees3[[#This Row],[Gender]]="Female",TBL_Employees3[[#This Row],[Ethnicity]]="Black"), "Female_Black", "Others")</f>
        <v>Others</v>
      </c>
      <c r="T738" t="str">
        <v>E03994</v>
      </c>
    </row>
    <row r="739" spans="1:20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7">
        <v>44325</v>
      </c>
      <c r="J739" s="1">
        <v>129541</v>
      </c>
      <c r="K739" s="2">
        <v>0.08</v>
      </c>
      <c r="L739" t="s">
        <v>19</v>
      </c>
      <c r="M739" t="s">
        <v>39</v>
      </c>
      <c r="N739" s="7">
        <v>44340</v>
      </c>
      <c r="O739" s="1">
        <f>TBL_Employees3[[#This Row],[Annual Salary]]+TBL_Employees3[[#This Row],[Bonus %]]*TBL_Employees3[[#This Row],[Annual Salary]]</f>
        <v>139904.28</v>
      </c>
      <c r="P739" t="str">
        <f>IF(AND(TBL_Employees3[[#This Row],[Department]]="IT",TBL_Employees3[[#This Row],[Gender]]="Female"),"Yes","No")</f>
        <v>No</v>
      </c>
      <c r="Q739" t="str">
        <f>IF(AND(TBL_Employees3[[#This Row],[Gender]]="Female",TBL_Employees3[[#This Row],[Ethnicity]]="Black"), "Female_Black", "Others")</f>
        <v>Others</v>
      </c>
      <c r="T739" t="str">
        <v>E00639</v>
      </c>
    </row>
    <row r="740" spans="1:20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7">
        <v>41635</v>
      </c>
      <c r="J740" s="1">
        <v>165756</v>
      </c>
      <c r="K740" s="2">
        <v>0.28000000000000003</v>
      </c>
      <c r="L740" t="s">
        <v>19</v>
      </c>
      <c r="M740" t="s">
        <v>29</v>
      </c>
      <c r="N740" s="7">
        <v>43991</v>
      </c>
      <c r="O740" s="1">
        <f>TBL_Employees3[[#This Row],[Annual Salary]]+TBL_Employees3[[#This Row],[Bonus %]]*TBL_Employees3[[#This Row],[Annual Salary]]</f>
        <v>212167.67999999999</v>
      </c>
      <c r="P740" t="str">
        <f>IF(AND(TBL_Employees3[[#This Row],[Department]]="IT",TBL_Employees3[[#This Row],[Gender]]="Female"),"Yes","No")</f>
        <v>No</v>
      </c>
      <c r="Q740" t="str">
        <f>IF(AND(TBL_Employees3[[#This Row],[Gender]]="Female",TBL_Employees3[[#This Row],[Ethnicity]]="Black"), "Female_Black", "Others")</f>
        <v>Others</v>
      </c>
      <c r="T740" t="str">
        <v>E00608</v>
      </c>
    </row>
    <row r="741" spans="1:20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7">
        <v>40274</v>
      </c>
      <c r="J741" s="1">
        <v>142878</v>
      </c>
      <c r="K741" s="2">
        <v>0.12</v>
      </c>
      <c r="L741" t="s">
        <v>19</v>
      </c>
      <c r="M741" t="s">
        <v>29</v>
      </c>
      <c r="N741" s="7" t="s">
        <v>21</v>
      </c>
      <c r="O741" s="1">
        <f>TBL_Employees3[[#This Row],[Annual Salary]]+TBL_Employees3[[#This Row],[Bonus %]]*TBL_Employees3[[#This Row],[Annual Salary]]</f>
        <v>160023.35999999999</v>
      </c>
      <c r="P741" t="str">
        <f>IF(AND(TBL_Employees3[[#This Row],[Department]]="IT",TBL_Employees3[[#This Row],[Gender]]="Female"),"Yes","No")</f>
        <v>No</v>
      </c>
      <c r="Q741" t="str">
        <f>IF(AND(TBL_Employees3[[#This Row],[Gender]]="Female",TBL_Employees3[[#This Row],[Ethnicity]]="Black"), "Female_Black", "Others")</f>
        <v>Others</v>
      </c>
      <c r="T741" t="str">
        <v>E04189</v>
      </c>
    </row>
    <row r="742" spans="1:20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7">
        <v>39018</v>
      </c>
      <c r="J742" s="1">
        <v>187992</v>
      </c>
      <c r="K742" s="2">
        <v>0.28000000000000003</v>
      </c>
      <c r="L742" t="s">
        <v>19</v>
      </c>
      <c r="M742" t="s">
        <v>45</v>
      </c>
      <c r="N742" s="7" t="s">
        <v>21</v>
      </c>
      <c r="O742" s="1">
        <f>TBL_Employees3[[#This Row],[Annual Salary]]+TBL_Employees3[[#This Row],[Bonus %]]*TBL_Employees3[[#This Row],[Annual Salary]]</f>
        <v>240629.76000000001</v>
      </c>
      <c r="P742" t="str">
        <f>IF(AND(TBL_Employees3[[#This Row],[Department]]="IT",TBL_Employees3[[#This Row],[Gender]]="Female"),"Yes","No")</f>
        <v>No</v>
      </c>
      <c r="Q742" t="str">
        <f>IF(AND(TBL_Employees3[[#This Row],[Gender]]="Female",TBL_Employees3[[#This Row],[Ethnicity]]="Black"), "Female_Black", "Others")</f>
        <v>Others</v>
      </c>
      <c r="T742" t="str">
        <v>E02732</v>
      </c>
    </row>
    <row r="743" spans="1:20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7">
        <v>43521</v>
      </c>
      <c r="J743" s="1">
        <v>249801</v>
      </c>
      <c r="K743" s="2">
        <v>0.39</v>
      </c>
      <c r="L743" t="s">
        <v>52</v>
      </c>
      <c r="M743" t="s">
        <v>53</v>
      </c>
      <c r="N743" s="7" t="s">
        <v>21</v>
      </c>
      <c r="O743" s="1">
        <f>TBL_Employees3[[#This Row],[Annual Salary]]+TBL_Employees3[[#This Row],[Bonus %]]*TBL_Employees3[[#This Row],[Annual Salary]]</f>
        <v>347223.39</v>
      </c>
      <c r="P743" t="str">
        <f>IF(AND(TBL_Employees3[[#This Row],[Department]]="IT",TBL_Employees3[[#This Row],[Gender]]="Female"),"Yes","No")</f>
        <v>No</v>
      </c>
      <c r="Q743" t="str">
        <f>IF(AND(TBL_Employees3[[#This Row],[Gender]]="Female",TBL_Employees3[[#This Row],[Ethnicity]]="Black"), "Female_Black", "Others")</f>
        <v>Others</v>
      </c>
      <c r="T743" t="str">
        <v>E00324</v>
      </c>
    </row>
    <row r="744" spans="1:20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7">
        <v>38987</v>
      </c>
      <c r="J744" s="1">
        <v>76505</v>
      </c>
      <c r="K744" s="2">
        <v>0</v>
      </c>
      <c r="L744" t="s">
        <v>19</v>
      </c>
      <c r="M744" t="s">
        <v>63</v>
      </c>
      <c r="N744" s="7">
        <v>39180</v>
      </c>
      <c r="O744" s="1">
        <f>TBL_Employees3[[#This Row],[Annual Salary]]+TBL_Employees3[[#This Row],[Bonus %]]*TBL_Employees3[[#This Row],[Annual Salary]]</f>
        <v>76505</v>
      </c>
      <c r="P744" t="str">
        <f>IF(AND(TBL_Employees3[[#This Row],[Department]]="IT",TBL_Employees3[[#This Row],[Gender]]="Female"),"Yes","No")</f>
        <v>No</v>
      </c>
      <c r="Q744" t="str">
        <f>IF(AND(TBL_Employees3[[#This Row],[Gender]]="Female",TBL_Employees3[[#This Row],[Ethnicity]]="Black"), "Female_Black", "Others")</f>
        <v>Others</v>
      </c>
      <c r="T744" t="str">
        <v>E00518</v>
      </c>
    </row>
    <row r="745" spans="1:20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7">
        <v>42664</v>
      </c>
      <c r="J745" s="1">
        <v>84297</v>
      </c>
      <c r="K745" s="2">
        <v>0</v>
      </c>
      <c r="L745" t="s">
        <v>52</v>
      </c>
      <c r="M745" t="s">
        <v>81</v>
      </c>
      <c r="N745" s="7" t="s">
        <v>21</v>
      </c>
      <c r="O745" s="1">
        <f>TBL_Employees3[[#This Row],[Annual Salary]]+TBL_Employees3[[#This Row],[Bonus %]]*TBL_Employees3[[#This Row],[Annual Salary]]</f>
        <v>84297</v>
      </c>
      <c r="P745" t="str">
        <f>IF(AND(TBL_Employees3[[#This Row],[Department]]="IT",TBL_Employees3[[#This Row],[Gender]]="Female"),"Yes","No")</f>
        <v>No</v>
      </c>
      <c r="Q745" t="str">
        <f>IF(AND(TBL_Employees3[[#This Row],[Gender]]="Female",TBL_Employees3[[#This Row],[Ethnicity]]="Black"), "Female_Black", "Others")</f>
        <v>Others</v>
      </c>
      <c r="T745" t="str">
        <v>E04564</v>
      </c>
    </row>
    <row r="746" spans="1:20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7">
        <v>42744</v>
      </c>
      <c r="J746" s="1">
        <v>75769</v>
      </c>
      <c r="K746" s="2">
        <v>0</v>
      </c>
      <c r="L746" t="s">
        <v>52</v>
      </c>
      <c r="M746" t="s">
        <v>81</v>
      </c>
      <c r="N746" s="7">
        <v>44029</v>
      </c>
      <c r="O746" s="1">
        <f>TBL_Employees3[[#This Row],[Annual Salary]]+TBL_Employees3[[#This Row],[Bonus %]]*TBL_Employees3[[#This Row],[Annual Salary]]</f>
        <v>75769</v>
      </c>
      <c r="P746" t="str">
        <f>IF(AND(TBL_Employees3[[#This Row],[Department]]="IT",TBL_Employees3[[#This Row],[Gender]]="Female"),"Yes","No")</f>
        <v>No</v>
      </c>
      <c r="Q746" t="str">
        <f>IF(AND(TBL_Employees3[[#This Row],[Gender]]="Female",TBL_Employees3[[#This Row],[Ethnicity]]="Black"), "Female_Black", "Others")</f>
        <v>Others</v>
      </c>
      <c r="T746" t="str">
        <v>E02033</v>
      </c>
    </row>
    <row r="747" spans="1:20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7">
        <v>41503</v>
      </c>
      <c r="J747" s="1">
        <v>235619</v>
      </c>
      <c r="K747" s="2">
        <v>0.3</v>
      </c>
      <c r="L747" t="s">
        <v>19</v>
      </c>
      <c r="M747" t="s">
        <v>63</v>
      </c>
      <c r="N747" s="7" t="s">
        <v>21</v>
      </c>
      <c r="O747" s="1">
        <f>TBL_Employees3[[#This Row],[Annual Salary]]+TBL_Employees3[[#This Row],[Bonus %]]*TBL_Employees3[[#This Row],[Annual Salary]]</f>
        <v>306304.7</v>
      </c>
      <c r="P747" t="str">
        <f>IF(AND(TBL_Employees3[[#This Row],[Department]]="IT",TBL_Employees3[[#This Row],[Gender]]="Female"),"Yes","No")</f>
        <v>No</v>
      </c>
      <c r="Q747" t="str">
        <f>IF(AND(TBL_Employees3[[#This Row],[Gender]]="Female",TBL_Employees3[[#This Row],[Ethnicity]]="Black"), "Female_Black", "Others")</f>
        <v>Others</v>
      </c>
      <c r="T747" t="str">
        <v>E00412</v>
      </c>
    </row>
    <row r="748" spans="1:20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7">
        <v>43868</v>
      </c>
      <c r="J748" s="1">
        <v>187187</v>
      </c>
      <c r="K748" s="2">
        <v>0.18</v>
      </c>
      <c r="L748" t="s">
        <v>52</v>
      </c>
      <c r="M748" t="s">
        <v>81</v>
      </c>
      <c r="N748" s="7" t="s">
        <v>21</v>
      </c>
      <c r="O748" s="1">
        <f>TBL_Employees3[[#This Row],[Annual Salary]]+TBL_Employees3[[#This Row],[Bonus %]]*TBL_Employees3[[#This Row],[Annual Salary]]</f>
        <v>220880.66</v>
      </c>
      <c r="P748" t="str">
        <f>IF(AND(TBL_Employees3[[#This Row],[Department]]="IT",TBL_Employees3[[#This Row],[Gender]]="Female"),"Yes","No")</f>
        <v>No</v>
      </c>
      <c r="Q748" t="str">
        <f>IF(AND(TBL_Employees3[[#This Row],[Gender]]="Female",TBL_Employees3[[#This Row],[Ethnicity]]="Black"), "Female_Black", "Others")</f>
        <v>Others</v>
      </c>
      <c r="T748" t="str">
        <v>E01844</v>
      </c>
    </row>
    <row r="749" spans="1:20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7">
        <v>38560</v>
      </c>
      <c r="J749" s="1">
        <v>68987</v>
      </c>
      <c r="K749" s="2">
        <v>0</v>
      </c>
      <c r="L749" t="s">
        <v>19</v>
      </c>
      <c r="M749" t="s">
        <v>20</v>
      </c>
      <c r="N749" s="7">
        <v>38829</v>
      </c>
      <c r="O749" s="1">
        <f>TBL_Employees3[[#This Row],[Annual Salary]]+TBL_Employees3[[#This Row],[Bonus %]]*TBL_Employees3[[#This Row],[Annual Salary]]</f>
        <v>68987</v>
      </c>
      <c r="P749" t="str">
        <f>IF(AND(TBL_Employees3[[#This Row],[Department]]="IT",TBL_Employees3[[#This Row],[Gender]]="Female"),"Yes","No")</f>
        <v>No</v>
      </c>
      <c r="Q749" t="str">
        <f>IF(AND(TBL_Employees3[[#This Row],[Gender]]="Female",TBL_Employees3[[#This Row],[Ethnicity]]="Black"), "Female_Black", "Others")</f>
        <v>Others</v>
      </c>
      <c r="T749" t="str">
        <v>E00667</v>
      </c>
    </row>
    <row r="750" spans="1:20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7">
        <v>39156</v>
      </c>
      <c r="J750" s="1">
        <v>155926</v>
      </c>
      <c r="K750" s="2">
        <v>0.24</v>
      </c>
      <c r="L750" t="s">
        <v>19</v>
      </c>
      <c r="M750" t="s">
        <v>29</v>
      </c>
      <c r="N750" s="7">
        <v>39598</v>
      </c>
      <c r="O750" s="1">
        <f>TBL_Employees3[[#This Row],[Annual Salary]]+TBL_Employees3[[#This Row],[Bonus %]]*TBL_Employees3[[#This Row],[Annual Salary]]</f>
        <v>193348.24</v>
      </c>
      <c r="P750" t="str">
        <f>IF(AND(TBL_Employees3[[#This Row],[Department]]="IT",TBL_Employees3[[#This Row],[Gender]]="Female"),"Yes","No")</f>
        <v>No</v>
      </c>
      <c r="Q750" t="str">
        <f>IF(AND(TBL_Employees3[[#This Row],[Gender]]="Female",TBL_Employees3[[#This Row],[Ethnicity]]="Black"), "Female_Black", "Others")</f>
        <v>Others</v>
      </c>
      <c r="T750" t="str">
        <v>E00287</v>
      </c>
    </row>
    <row r="751" spans="1:20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7">
        <v>42494</v>
      </c>
      <c r="J751" s="1">
        <v>93668</v>
      </c>
      <c r="K751" s="2">
        <v>0</v>
      </c>
      <c r="L751" t="s">
        <v>19</v>
      </c>
      <c r="M751" t="s">
        <v>20</v>
      </c>
      <c r="N751" s="7" t="s">
        <v>21</v>
      </c>
      <c r="O751" s="1">
        <f>TBL_Employees3[[#This Row],[Annual Salary]]+TBL_Employees3[[#This Row],[Bonus %]]*TBL_Employees3[[#This Row],[Annual Salary]]</f>
        <v>93668</v>
      </c>
      <c r="P751" t="str">
        <f>IF(AND(TBL_Employees3[[#This Row],[Department]]="IT",TBL_Employees3[[#This Row],[Gender]]="Female"),"Yes","No")</f>
        <v>No</v>
      </c>
      <c r="Q751" t="str">
        <f>IF(AND(TBL_Employees3[[#This Row],[Gender]]="Female",TBL_Employees3[[#This Row],[Ethnicity]]="Black"), "Female_Black", "Others")</f>
        <v>Others</v>
      </c>
      <c r="T751" t="str">
        <v>E02235</v>
      </c>
    </row>
    <row r="752" spans="1:20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7">
        <v>43798</v>
      </c>
      <c r="J752" s="1">
        <v>69647</v>
      </c>
      <c r="K752" s="2">
        <v>0</v>
      </c>
      <c r="L752" t="s">
        <v>19</v>
      </c>
      <c r="M752" t="s">
        <v>45</v>
      </c>
      <c r="N752" s="7">
        <v>44671</v>
      </c>
      <c r="O752" s="1">
        <f>TBL_Employees3[[#This Row],[Annual Salary]]+TBL_Employees3[[#This Row],[Bonus %]]*TBL_Employees3[[#This Row],[Annual Salary]]</f>
        <v>69647</v>
      </c>
      <c r="P752" t="str">
        <f>IF(AND(TBL_Employees3[[#This Row],[Department]]="IT",TBL_Employees3[[#This Row],[Gender]]="Female"),"Yes","No")</f>
        <v>No</v>
      </c>
      <c r="Q752" t="str">
        <f>IF(AND(TBL_Employees3[[#This Row],[Gender]]="Female",TBL_Employees3[[#This Row],[Ethnicity]]="Black"), "Female_Black", "Others")</f>
        <v>Others</v>
      </c>
      <c r="T752" t="str">
        <v>E02720</v>
      </c>
    </row>
    <row r="753" spans="1:20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7">
        <v>37798</v>
      </c>
      <c r="J753" s="1">
        <v>63318</v>
      </c>
      <c r="K753" s="2">
        <v>0</v>
      </c>
      <c r="L753" t="s">
        <v>19</v>
      </c>
      <c r="M753" t="s">
        <v>29</v>
      </c>
      <c r="N753" s="7" t="s">
        <v>21</v>
      </c>
      <c r="O753" s="1">
        <f>TBL_Employees3[[#This Row],[Annual Salary]]+TBL_Employees3[[#This Row],[Bonus %]]*TBL_Employees3[[#This Row],[Annual Salary]]</f>
        <v>63318</v>
      </c>
      <c r="P753" t="str">
        <f>IF(AND(TBL_Employees3[[#This Row],[Department]]="IT",TBL_Employees3[[#This Row],[Gender]]="Female"),"Yes","No")</f>
        <v>No</v>
      </c>
      <c r="Q753" t="str">
        <f>IF(AND(TBL_Employees3[[#This Row],[Gender]]="Female",TBL_Employees3[[#This Row],[Ethnicity]]="Black"), "Female_Black", "Others")</f>
        <v>Others</v>
      </c>
      <c r="T753" t="str">
        <v>E01188</v>
      </c>
    </row>
    <row r="754" spans="1:20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7">
        <v>42778</v>
      </c>
      <c r="J754" s="1">
        <v>77629</v>
      </c>
      <c r="K754" s="2">
        <v>0</v>
      </c>
      <c r="L754" t="s">
        <v>33</v>
      </c>
      <c r="M754" t="s">
        <v>60</v>
      </c>
      <c r="N754" s="7" t="s">
        <v>21</v>
      </c>
      <c r="O754" s="1">
        <f>TBL_Employees3[[#This Row],[Annual Salary]]+TBL_Employees3[[#This Row],[Bonus %]]*TBL_Employees3[[#This Row],[Annual Salary]]</f>
        <v>77629</v>
      </c>
      <c r="P754" t="str">
        <f>IF(AND(TBL_Employees3[[#This Row],[Department]]="IT",TBL_Employees3[[#This Row],[Gender]]="Female"),"Yes","No")</f>
        <v>No</v>
      </c>
      <c r="Q754" t="str">
        <f>IF(AND(TBL_Employees3[[#This Row],[Gender]]="Female",TBL_Employees3[[#This Row],[Ethnicity]]="Black"), "Female_Black", "Others")</f>
        <v>Others</v>
      </c>
      <c r="T754" t="str">
        <v>E02428</v>
      </c>
    </row>
    <row r="755" spans="1:20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7">
        <v>43061</v>
      </c>
      <c r="J755" s="1">
        <v>138808</v>
      </c>
      <c r="K755" s="2">
        <v>0.15</v>
      </c>
      <c r="L755" t="s">
        <v>33</v>
      </c>
      <c r="M755" t="s">
        <v>80</v>
      </c>
      <c r="N755" s="7" t="s">
        <v>21</v>
      </c>
      <c r="O755" s="1">
        <f>TBL_Employees3[[#This Row],[Annual Salary]]+TBL_Employees3[[#This Row],[Bonus %]]*TBL_Employees3[[#This Row],[Annual Salary]]</f>
        <v>159629.20000000001</v>
      </c>
      <c r="P755" t="str">
        <f>IF(AND(TBL_Employees3[[#This Row],[Department]]="IT",TBL_Employees3[[#This Row],[Gender]]="Female"),"Yes","No")</f>
        <v>No</v>
      </c>
      <c r="Q755" t="str">
        <f>IF(AND(TBL_Employees3[[#This Row],[Gender]]="Female",TBL_Employees3[[#This Row],[Ethnicity]]="Black"), "Female_Black", "Others")</f>
        <v>Others</v>
      </c>
      <c r="T755" t="str">
        <v>E03289</v>
      </c>
    </row>
    <row r="756" spans="1:20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7">
        <v>41703</v>
      </c>
      <c r="J756" s="1">
        <v>88777</v>
      </c>
      <c r="K756" s="2">
        <v>0</v>
      </c>
      <c r="L756" t="s">
        <v>19</v>
      </c>
      <c r="M756" t="s">
        <v>20</v>
      </c>
      <c r="N756" s="7" t="s">
        <v>21</v>
      </c>
      <c r="O756" s="1">
        <f>TBL_Employees3[[#This Row],[Annual Salary]]+TBL_Employees3[[#This Row],[Bonus %]]*TBL_Employees3[[#This Row],[Annual Salary]]</f>
        <v>88777</v>
      </c>
      <c r="P756" t="str">
        <f>IF(AND(TBL_Employees3[[#This Row],[Department]]="IT",TBL_Employees3[[#This Row],[Gender]]="Female"),"Yes","No")</f>
        <v>Yes</v>
      </c>
      <c r="Q756" t="str">
        <f>IF(AND(TBL_Employees3[[#This Row],[Gender]]="Female",TBL_Employees3[[#This Row],[Ethnicity]]="Black"), "Female_Black", "Others")</f>
        <v>Others</v>
      </c>
      <c r="T756" t="str">
        <v>E01947</v>
      </c>
    </row>
    <row r="757" spans="1:20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7">
        <v>38121</v>
      </c>
      <c r="J757" s="1">
        <v>186378</v>
      </c>
      <c r="K757" s="2">
        <v>0.26</v>
      </c>
      <c r="L757" t="s">
        <v>33</v>
      </c>
      <c r="M757" t="s">
        <v>80</v>
      </c>
      <c r="N757" s="7" t="s">
        <v>21</v>
      </c>
      <c r="O757" s="1">
        <f>TBL_Employees3[[#This Row],[Annual Salary]]+TBL_Employees3[[#This Row],[Bonus %]]*TBL_Employees3[[#This Row],[Annual Salary]]</f>
        <v>234836.28</v>
      </c>
      <c r="P757" t="str">
        <f>IF(AND(TBL_Employees3[[#This Row],[Department]]="IT",TBL_Employees3[[#This Row],[Gender]]="Female"),"Yes","No")</f>
        <v>No</v>
      </c>
      <c r="Q757" t="str">
        <f>IF(AND(TBL_Employees3[[#This Row],[Gender]]="Female",TBL_Employees3[[#This Row],[Ethnicity]]="Black"), "Female_Black", "Others")</f>
        <v>Others</v>
      </c>
      <c r="T757" t="str">
        <v>E04249</v>
      </c>
    </row>
    <row r="758" spans="1:20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7">
        <v>42117</v>
      </c>
      <c r="J758" s="1">
        <v>60017</v>
      </c>
      <c r="K758" s="2">
        <v>0</v>
      </c>
      <c r="L758" t="s">
        <v>19</v>
      </c>
      <c r="M758" t="s">
        <v>20</v>
      </c>
      <c r="N758" s="7" t="s">
        <v>21</v>
      </c>
      <c r="O758" s="1">
        <f>TBL_Employees3[[#This Row],[Annual Salary]]+TBL_Employees3[[#This Row],[Bonus %]]*TBL_Employees3[[#This Row],[Annual Salary]]</f>
        <v>60017</v>
      </c>
      <c r="P758" t="str">
        <f>IF(AND(TBL_Employees3[[#This Row],[Department]]="IT",TBL_Employees3[[#This Row],[Gender]]="Female"),"Yes","No")</f>
        <v>No</v>
      </c>
      <c r="Q758" t="str">
        <f>IF(AND(TBL_Employees3[[#This Row],[Gender]]="Female",TBL_Employees3[[#This Row],[Ethnicity]]="Black"), "Female_Black", "Others")</f>
        <v>Others</v>
      </c>
      <c r="T758" t="str">
        <v>E04363</v>
      </c>
    </row>
    <row r="759" spans="1:20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7">
        <v>43305</v>
      </c>
      <c r="J759" s="1">
        <v>148991</v>
      </c>
      <c r="K759" s="2">
        <v>0.12</v>
      </c>
      <c r="L759" t="s">
        <v>52</v>
      </c>
      <c r="M759" t="s">
        <v>53</v>
      </c>
      <c r="N759" s="7" t="s">
        <v>21</v>
      </c>
      <c r="O759" s="1">
        <f>TBL_Employees3[[#This Row],[Annual Salary]]+TBL_Employees3[[#This Row],[Bonus %]]*TBL_Employees3[[#This Row],[Annual Salary]]</f>
        <v>166869.91999999998</v>
      </c>
      <c r="P759" t="str">
        <f>IF(AND(TBL_Employees3[[#This Row],[Department]]="IT",TBL_Employees3[[#This Row],[Gender]]="Female"),"Yes","No")</f>
        <v>No</v>
      </c>
      <c r="Q759" t="str">
        <f>IF(AND(TBL_Employees3[[#This Row],[Gender]]="Female",TBL_Employees3[[#This Row],[Ethnicity]]="Black"), "Female_Black", "Others")</f>
        <v>Others</v>
      </c>
      <c r="T759" t="str">
        <v>E04920</v>
      </c>
    </row>
    <row r="760" spans="1:20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7">
        <v>39532</v>
      </c>
      <c r="J760" s="1">
        <v>97398</v>
      </c>
      <c r="K760" s="2">
        <v>0</v>
      </c>
      <c r="L760" t="s">
        <v>52</v>
      </c>
      <c r="M760" t="s">
        <v>81</v>
      </c>
      <c r="N760" s="7" t="s">
        <v>21</v>
      </c>
      <c r="O760" s="1">
        <f>TBL_Employees3[[#This Row],[Annual Salary]]+TBL_Employees3[[#This Row],[Bonus %]]*TBL_Employees3[[#This Row],[Annual Salary]]</f>
        <v>97398</v>
      </c>
      <c r="P760" t="str">
        <f>IF(AND(TBL_Employees3[[#This Row],[Department]]="IT",TBL_Employees3[[#This Row],[Gender]]="Female"),"Yes","No")</f>
        <v>No</v>
      </c>
      <c r="Q760" t="str">
        <f>IF(AND(TBL_Employees3[[#This Row],[Gender]]="Female",TBL_Employees3[[#This Row],[Ethnicity]]="Black"), "Female_Black", "Others")</f>
        <v>Others</v>
      </c>
      <c r="T760" t="str">
        <v>E03866</v>
      </c>
    </row>
    <row r="761" spans="1:20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7">
        <v>39204</v>
      </c>
      <c r="J761" s="1">
        <v>72805</v>
      </c>
      <c r="K761" s="2">
        <v>0</v>
      </c>
      <c r="L761" t="s">
        <v>33</v>
      </c>
      <c r="M761" t="s">
        <v>74</v>
      </c>
      <c r="N761" s="7" t="s">
        <v>21</v>
      </c>
      <c r="O761" s="1">
        <f>TBL_Employees3[[#This Row],[Annual Salary]]+TBL_Employees3[[#This Row],[Bonus %]]*TBL_Employees3[[#This Row],[Annual Salary]]</f>
        <v>72805</v>
      </c>
      <c r="P761" t="str">
        <f>IF(AND(TBL_Employees3[[#This Row],[Department]]="IT",TBL_Employees3[[#This Row],[Gender]]="Female"),"Yes","No")</f>
        <v>No</v>
      </c>
      <c r="Q761" t="str">
        <f>IF(AND(TBL_Employees3[[#This Row],[Gender]]="Female",TBL_Employees3[[#This Row],[Ethnicity]]="Black"), "Female_Black", "Others")</f>
        <v>Others</v>
      </c>
      <c r="T761" t="str">
        <v>E03521</v>
      </c>
    </row>
    <row r="762" spans="1:20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7">
        <v>44213</v>
      </c>
      <c r="J762" s="1">
        <v>72131</v>
      </c>
      <c r="K762" s="2">
        <v>0</v>
      </c>
      <c r="L762" t="s">
        <v>33</v>
      </c>
      <c r="M762" t="s">
        <v>74</v>
      </c>
      <c r="N762" s="7" t="s">
        <v>21</v>
      </c>
      <c r="O762" s="1">
        <f>TBL_Employees3[[#This Row],[Annual Salary]]+TBL_Employees3[[#This Row],[Bonus %]]*TBL_Employees3[[#This Row],[Annual Salary]]</f>
        <v>72131</v>
      </c>
      <c r="P762" t="str">
        <f>IF(AND(TBL_Employees3[[#This Row],[Department]]="IT",TBL_Employees3[[#This Row],[Gender]]="Female"),"Yes","No")</f>
        <v>No</v>
      </c>
      <c r="Q762" t="str">
        <f>IF(AND(TBL_Employees3[[#This Row],[Gender]]="Female",TBL_Employees3[[#This Row],[Ethnicity]]="Black"), "Female_Black", "Others")</f>
        <v>Others</v>
      </c>
      <c r="T762" t="str">
        <v>E04095</v>
      </c>
    </row>
    <row r="763" spans="1:20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7">
        <v>33964</v>
      </c>
      <c r="J763" s="1">
        <v>104668</v>
      </c>
      <c r="K763" s="2">
        <v>0.08</v>
      </c>
      <c r="L763" t="s">
        <v>19</v>
      </c>
      <c r="M763" t="s">
        <v>29</v>
      </c>
      <c r="N763" s="7" t="s">
        <v>21</v>
      </c>
      <c r="O763" s="1">
        <f>TBL_Employees3[[#This Row],[Annual Salary]]+TBL_Employees3[[#This Row],[Bonus %]]*TBL_Employees3[[#This Row],[Annual Salary]]</f>
        <v>113041.44</v>
      </c>
      <c r="P763" t="str">
        <f>IF(AND(TBL_Employees3[[#This Row],[Department]]="IT",TBL_Employees3[[#This Row],[Gender]]="Female"),"Yes","No")</f>
        <v>No</v>
      </c>
      <c r="Q763" t="str">
        <f>IF(AND(TBL_Employees3[[#This Row],[Gender]]="Female",TBL_Employees3[[#This Row],[Ethnicity]]="Black"), "Female_Black", "Others")</f>
        <v>Others</v>
      </c>
      <c r="T763" t="str">
        <v>E04079</v>
      </c>
    </row>
    <row r="764" spans="1:20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7">
        <v>42952</v>
      </c>
      <c r="J764" s="1">
        <v>89769</v>
      </c>
      <c r="K764" s="2">
        <v>0</v>
      </c>
      <c r="L764" t="s">
        <v>19</v>
      </c>
      <c r="M764" t="s">
        <v>63</v>
      </c>
      <c r="N764" s="7" t="s">
        <v>21</v>
      </c>
      <c r="O764" s="1">
        <f>TBL_Employees3[[#This Row],[Annual Salary]]+TBL_Employees3[[#This Row],[Bonus %]]*TBL_Employees3[[#This Row],[Annual Salary]]</f>
        <v>89769</v>
      </c>
      <c r="P764" t="str">
        <f>IF(AND(TBL_Employees3[[#This Row],[Department]]="IT",TBL_Employees3[[#This Row],[Gender]]="Female"),"Yes","No")</f>
        <v>No</v>
      </c>
      <c r="Q764" t="str">
        <f>IF(AND(TBL_Employees3[[#This Row],[Gender]]="Female",TBL_Employees3[[#This Row],[Ethnicity]]="Black"), "Female_Black", "Others")</f>
        <v>Others</v>
      </c>
      <c r="T764" t="str">
        <v>E01508</v>
      </c>
    </row>
    <row r="765" spans="1:20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7">
        <v>43358</v>
      </c>
      <c r="J765" s="1">
        <v>127616</v>
      </c>
      <c r="K765" s="2">
        <v>7.0000000000000007E-2</v>
      </c>
      <c r="L765" t="s">
        <v>19</v>
      </c>
      <c r="M765" t="s">
        <v>29</v>
      </c>
      <c r="N765" s="7" t="s">
        <v>21</v>
      </c>
      <c r="O765" s="1">
        <f>TBL_Employees3[[#This Row],[Annual Salary]]+TBL_Employees3[[#This Row],[Bonus %]]*TBL_Employees3[[#This Row],[Annual Salary]]</f>
        <v>136549.12</v>
      </c>
      <c r="P765" t="str">
        <f>IF(AND(TBL_Employees3[[#This Row],[Department]]="IT",TBL_Employees3[[#This Row],[Gender]]="Female"),"Yes","No")</f>
        <v>No</v>
      </c>
      <c r="Q765" t="str">
        <f>IF(AND(TBL_Employees3[[#This Row],[Gender]]="Female",TBL_Employees3[[#This Row],[Ethnicity]]="Black"), "Female_Black", "Others")</f>
        <v>Others</v>
      </c>
      <c r="T765" t="str">
        <v>E02259</v>
      </c>
    </row>
    <row r="766" spans="1:20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7">
        <v>41099</v>
      </c>
      <c r="J766" s="1">
        <v>109883</v>
      </c>
      <c r="K766" s="2">
        <v>7.0000000000000007E-2</v>
      </c>
      <c r="L766" t="s">
        <v>19</v>
      </c>
      <c r="M766" t="s">
        <v>29</v>
      </c>
      <c r="N766" s="7" t="s">
        <v>21</v>
      </c>
      <c r="O766" s="1">
        <f>TBL_Employees3[[#This Row],[Annual Salary]]+TBL_Employees3[[#This Row],[Bonus %]]*TBL_Employees3[[#This Row],[Annual Salary]]</f>
        <v>117574.81</v>
      </c>
      <c r="P766" t="str">
        <f>IF(AND(TBL_Employees3[[#This Row],[Department]]="IT",TBL_Employees3[[#This Row],[Gender]]="Female"),"Yes","No")</f>
        <v>No</v>
      </c>
      <c r="Q766" t="str">
        <f>IF(AND(TBL_Employees3[[#This Row],[Gender]]="Female",TBL_Employees3[[#This Row],[Ethnicity]]="Black"), "Female_Black", "Others")</f>
        <v>Others</v>
      </c>
      <c r="T766" t="str">
        <v>E01834</v>
      </c>
    </row>
    <row r="767" spans="1:20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7">
        <v>44270</v>
      </c>
      <c r="J767" s="1">
        <v>47974</v>
      </c>
      <c r="K767" s="2">
        <v>0</v>
      </c>
      <c r="L767" t="s">
        <v>33</v>
      </c>
      <c r="M767" t="s">
        <v>80</v>
      </c>
      <c r="N767" s="7" t="s">
        <v>21</v>
      </c>
      <c r="O767" s="1">
        <f>TBL_Employees3[[#This Row],[Annual Salary]]+TBL_Employees3[[#This Row],[Bonus %]]*TBL_Employees3[[#This Row],[Annual Salary]]</f>
        <v>47974</v>
      </c>
      <c r="P767" t="str">
        <f>IF(AND(TBL_Employees3[[#This Row],[Department]]="IT",TBL_Employees3[[#This Row],[Gender]]="Female"),"Yes","No")</f>
        <v>No</v>
      </c>
      <c r="Q767" t="str">
        <f>IF(AND(TBL_Employees3[[#This Row],[Gender]]="Female",TBL_Employees3[[#This Row],[Ethnicity]]="Black"), "Female_Black", "Others")</f>
        <v>Others</v>
      </c>
      <c r="T767" t="str">
        <v>E03124</v>
      </c>
    </row>
    <row r="768" spans="1:20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7">
        <v>42090</v>
      </c>
      <c r="J768" s="1">
        <v>120321</v>
      </c>
      <c r="K768" s="2">
        <v>0.12</v>
      </c>
      <c r="L768" t="s">
        <v>19</v>
      </c>
      <c r="M768" t="s">
        <v>25</v>
      </c>
      <c r="N768" s="7" t="s">
        <v>21</v>
      </c>
      <c r="O768" s="1">
        <f>TBL_Employees3[[#This Row],[Annual Salary]]+TBL_Employees3[[#This Row],[Bonus %]]*TBL_Employees3[[#This Row],[Annual Salary]]</f>
        <v>134759.51999999999</v>
      </c>
      <c r="P768" t="str">
        <f>IF(AND(TBL_Employees3[[#This Row],[Department]]="IT",TBL_Employees3[[#This Row],[Gender]]="Female"),"Yes","No")</f>
        <v>Yes</v>
      </c>
      <c r="Q768" t="str">
        <f>IF(AND(TBL_Employees3[[#This Row],[Gender]]="Female",TBL_Employees3[[#This Row],[Ethnicity]]="Black"), "Female_Black", "Others")</f>
        <v>Others</v>
      </c>
      <c r="T768" t="str">
        <v>E01898</v>
      </c>
    </row>
    <row r="769" spans="1:20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7">
        <v>41861</v>
      </c>
      <c r="J769" s="1">
        <v>57446</v>
      </c>
      <c r="K769" s="2">
        <v>0</v>
      </c>
      <c r="L769" t="s">
        <v>19</v>
      </c>
      <c r="M769" t="s">
        <v>39</v>
      </c>
      <c r="N769" s="7" t="s">
        <v>21</v>
      </c>
      <c r="O769" s="1">
        <f>TBL_Employees3[[#This Row],[Annual Salary]]+TBL_Employees3[[#This Row],[Bonus %]]*TBL_Employees3[[#This Row],[Annual Salary]]</f>
        <v>57446</v>
      </c>
      <c r="P769" t="str">
        <f>IF(AND(TBL_Employees3[[#This Row],[Department]]="IT",TBL_Employees3[[#This Row],[Gender]]="Female"),"Yes","No")</f>
        <v>Yes</v>
      </c>
      <c r="Q769" t="str">
        <f>IF(AND(TBL_Employees3[[#This Row],[Gender]]="Female",TBL_Employees3[[#This Row],[Ethnicity]]="Black"), "Female_Black", "Others")</f>
        <v>Others</v>
      </c>
      <c r="T769" t="str">
        <v>E00342</v>
      </c>
    </row>
    <row r="770" spans="1:20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7">
        <v>39968</v>
      </c>
      <c r="J770" s="1">
        <v>174099</v>
      </c>
      <c r="K770" s="2">
        <v>0.26</v>
      </c>
      <c r="L770" t="s">
        <v>19</v>
      </c>
      <c r="M770" t="s">
        <v>25</v>
      </c>
      <c r="N770" s="7" t="s">
        <v>21</v>
      </c>
      <c r="O770" s="1">
        <f>TBL_Employees3[[#This Row],[Annual Salary]]+TBL_Employees3[[#This Row],[Bonus %]]*TBL_Employees3[[#This Row],[Annual Salary]]</f>
        <v>219364.74</v>
      </c>
      <c r="P770" t="str">
        <f>IF(AND(TBL_Employees3[[#This Row],[Department]]="IT",TBL_Employees3[[#This Row],[Gender]]="Female"),"Yes","No")</f>
        <v>No</v>
      </c>
      <c r="Q770" t="str">
        <f>IF(AND(TBL_Employees3[[#This Row],[Gender]]="Female",TBL_Employees3[[#This Row],[Ethnicity]]="Black"), "Female_Black", "Others")</f>
        <v>Others</v>
      </c>
      <c r="T770" t="str">
        <v>E03910</v>
      </c>
    </row>
    <row r="771" spans="1:20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7">
        <v>37295</v>
      </c>
      <c r="J771" s="1">
        <v>128703</v>
      </c>
      <c r="K771" s="2">
        <v>0.13</v>
      </c>
      <c r="L771" t="s">
        <v>19</v>
      </c>
      <c r="M771" t="s">
        <v>25</v>
      </c>
      <c r="N771" s="7" t="s">
        <v>21</v>
      </c>
      <c r="O771" s="1">
        <f>TBL_Employees3[[#This Row],[Annual Salary]]+TBL_Employees3[[#This Row],[Bonus %]]*TBL_Employees3[[#This Row],[Annual Salary]]</f>
        <v>145434.39000000001</v>
      </c>
      <c r="P771" t="str">
        <f>IF(AND(TBL_Employees3[[#This Row],[Department]]="IT",TBL_Employees3[[#This Row],[Gender]]="Female"),"Yes","No")</f>
        <v>No</v>
      </c>
      <c r="Q771" t="str">
        <f>IF(AND(TBL_Employees3[[#This Row],[Gender]]="Female",TBL_Employees3[[#This Row],[Ethnicity]]="Black"), "Female_Black", "Others")</f>
        <v>Others</v>
      </c>
      <c r="T771" t="str">
        <v>E00862</v>
      </c>
    </row>
    <row r="772" spans="1:20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7">
        <v>42317</v>
      </c>
      <c r="J772" s="1">
        <v>65247</v>
      </c>
      <c r="K772" s="2">
        <v>0</v>
      </c>
      <c r="L772" t="s">
        <v>19</v>
      </c>
      <c r="M772" t="s">
        <v>39</v>
      </c>
      <c r="N772" s="7" t="s">
        <v>21</v>
      </c>
      <c r="O772" s="1">
        <f>TBL_Employees3[[#This Row],[Annual Salary]]+TBL_Employees3[[#This Row],[Bonus %]]*TBL_Employees3[[#This Row],[Annual Salary]]</f>
        <v>65247</v>
      </c>
      <c r="P772" t="str">
        <f>IF(AND(TBL_Employees3[[#This Row],[Department]]="IT",TBL_Employees3[[#This Row],[Gender]]="Female"),"Yes","No")</f>
        <v>No</v>
      </c>
      <c r="Q772" t="str">
        <f>IF(AND(TBL_Employees3[[#This Row],[Gender]]="Female",TBL_Employees3[[#This Row],[Ethnicity]]="Black"), "Female_Black", "Others")</f>
        <v>Others</v>
      </c>
      <c r="T772" t="str">
        <v>E02576</v>
      </c>
    </row>
    <row r="773" spans="1:20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7">
        <v>43371</v>
      </c>
      <c r="J773" s="1">
        <v>64247</v>
      </c>
      <c r="K773" s="2">
        <v>0</v>
      </c>
      <c r="L773" t="s">
        <v>52</v>
      </c>
      <c r="M773" t="s">
        <v>66</v>
      </c>
      <c r="N773" s="7" t="s">
        <v>21</v>
      </c>
      <c r="O773" s="1">
        <f>TBL_Employees3[[#This Row],[Annual Salary]]+TBL_Employees3[[#This Row],[Bonus %]]*TBL_Employees3[[#This Row],[Annual Salary]]</f>
        <v>64247</v>
      </c>
      <c r="P773" t="str">
        <f>IF(AND(TBL_Employees3[[#This Row],[Department]]="IT",TBL_Employees3[[#This Row],[Gender]]="Female"),"Yes","No")</f>
        <v>No</v>
      </c>
      <c r="Q773" t="str">
        <f>IF(AND(TBL_Employees3[[#This Row],[Gender]]="Female",TBL_Employees3[[#This Row],[Ethnicity]]="Black"), "Female_Black", "Others")</f>
        <v>Others</v>
      </c>
      <c r="T773" t="str">
        <v>E00035</v>
      </c>
    </row>
    <row r="774" spans="1:20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7">
        <v>41071</v>
      </c>
      <c r="J774" s="1">
        <v>118253</v>
      </c>
      <c r="K774" s="2">
        <v>0.08</v>
      </c>
      <c r="L774" t="s">
        <v>19</v>
      </c>
      <c r="M774" t="s">
        <v>25</v>
      </c>
      <c r="N774" s="7" t="s">
        <v>21</v>
      </c>
      <c r="O774" s="1">
        <f>TBL_Employees3[[#This Row],[Annual Salary]]+TBL_Employees3[[#This Row],[Bonus %]]*TBL_Employees3[[#This Row],[Annual Salary]]</f>
        <v>127713.24</v>
      </c>
      <c r="P774" t="str">
        <f>IF(AND(TBL_Employees3[[#This Row],[Department]]="IT",TBL_Employees3[[#This Row],[Gender]]="Female"),"Yes","No")</f>
        <v>No</v>
      </c>
      <c r="Q774" t="str">
        <f>IF(AND(TBL_Employees3[[#This Row],[Gender]]="Female",TBL_Employees3[[#This Row],[Ethnicity]]="Black"), "Female_Black", "Others")</f>
        <v>Others</v>
      </c>
      <c r="T774" t="str">
        <v>E01832</v>
      </c>
    </row>
    <row r="775" spans="1:20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7">
        <v>38057</v>
      </c>
      <c r="J775" s="1">
        <v>109422</v>
      </c>
      <c r="K775" s="2">
        <v>0</v>
      </c>
      <c r="L775" t="s">
        <v>33</v>
      </c>
      <c r="M775" t="s">
        <v>80</v>
      </c>
      <c r="N775" s="7" t="s">
        <v>21</v>
      </c>
      <c r="O775" s="1">
        <f>TBL_Employees3[[#This Row],[Annual Salary]]+TBL_Employees3[[#This Row],[Bonus %]]*TBL_Employees3[[#This Row],[Annual Salary]]</f>
        <v>109422</v>
      </c>
      <c r="P775" t="str">
        <f>IF(AND(TBL_Employees3[[#This Row],[Department]]="IT",TBL_Employees3[[#This Row],[Gender]]="Female"),"Yes","No")</f>
        <v>No</v>
      </c>
      <c r="Q775" t="str">
        <f>IF(AND(TBL_Employees3[[#This Row],[Gender]]="Female",TBL_Employees3[[#This Row],[Ethnicity]]="Black"), "Female_Black", "Others")</f>
        <v>Others</v>
      </c>
      <c r="T775" t="str">
        <v>E01755</v>
      </c>
    </row>
    <row r="776" spans="1:20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7">
        <v>43502</v>
      </c>
      <c r="J776" s="1">
        <v>126950</v>
      </c>
      <c r="K776" s="2">
        <v>0.1</v>
      </c>
      <c r="L776" t="s">
        <v>19</v>
      </c>
      <c r="M776" t="s">
        <v>20</v>
      </c>
      <c r="N776" s="7" t="s">
        <v>21</v>
      </c>
      <c r="O776" s="1">
        <f>TBL_Employees3[[#This Row],[Annual Salary]]+TBL_Employees3[[#This Row],[Bonus %]]*TBL_Employees3[[#This Row],[Annual Salary]]</f>
        <v>139645</v>
      </c>
      <c r="P776" t="str">
        <f>IF(AND(TBL_Employees3[[#This Row],[Department]]="IT",TBL_Employees3[[#This Row],[Gender]]="Female"),"Yes","No")</f>
        <v>No</v>
      </c>
      <c r="Q776" t="str">
        <f>IF(AND(TBL_Employees3[[#This Row],[Gender]]="Female",TBL_Employees3[[#This Row],[Ethnicity]]="Black"), "Female_Black", "Others")</f>
        <v>Others</v>
      </c>
      <c r="T776" t="str">
        <v>E04697</v>
      </c>
    </row>
    <row r="777" spans="1:20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7">
        <v>41964</v>
      </c>
      <c r="J777" s="1">
        <v>97500</v>
      </c>
      <c r="K777" s="2">
        <v>0</v>
      </c>
      <c r="L777" t="s">
        <v>19</v>
      </c>
      <c r="M777" t="s">
        <v>45</v>
      </c>
      <c r="N777" s="7" t="s">
        <v>21</v>
      </c>
      <c r="O777" s="1">
        <f>TBL_Employees3[[#This Row],[Annual Salary]]+TBL_Employees3[[#This Row],[Bonus %]]*TBL_Employees3[[#This Row],[Annual Salary]]</f>
        <v>97500</v>
      </c>
      <c r="P777" t="str">
        <f>IF(AND(TBL_Employees3[[#This Row],[Department]]="IT",TBL_Employees3[[#This Row],[Gender]]="Female"),"Yes","No")</f>
        <v>Yes</v>
      </c>
      <c r="Q777" t="str">
        <f>IF(AND(TBL_Employees3[[#This Row],[Gender]]="Female",TBL_Employees3[[#This Row],[Ethnicity]]="Black"), "Female_Black", "Others")</f>
        <v>Others</v>
      </c>
      <c r="T777" t="str">
        <v>E00371</v>
      </c>
    </row>
    <row r="778" spans="1:20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7">
        <v>44213</v>
      </c>
      <c r="J778" s="1">
        <v>41844</v>
      </c>
      <c r="K778" s="2">
        <v>0</v>
      </c>
      <c r="L778" t="s">
        <v>33</v>
      </c>
      <c r="M778" t="s">
        <v>80</v>
      </c>
      <c r="N778" s="7" t="s">
        <v>21</v>
      </c>
      <c r="O778" s="1">
        <f>TBL_Employees3[[#This Row],[Annual Salary]]+TBL_Employees3[[#This Row],[Bonus %]]*TBL_Employees3[[#This Row],[Annual Salary]]</f>
        <v>41844</v>
      </c>
      <c r="P778" t="str">
        <f>IF(AND(TBL_Employees3[[#This Row],[Department]]="IT",TBL_Employees3[[#This Row],[Gender]]="Female"),"Yes","No")</f>
        <v>No</v>
      </c>
      <c r="Q778" t="str">
        <f>IF(AND(TBL_Employees3[[#This Row],[Gender]]="Female",TBL_Employees3[[#This Row],[Ethnicity]]="Black"), "Female_Black", "Others")</f>
        <v>Others</v>
      </c>
      <c r="T778" t="str">
        <v>E02992</v>
      </c>
    </row>
    <row r="779" spans="1:20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7">
        <v>41680</v>
      </c>
      <c r="J779" s="1">
        <v>58875</v>
      </c>
      <c r="K779" s="2">
        <v>0</v>
      </c>
      <c r="L779" t="s">
        <v>33</v>
      </c>
      <c r="M779" t="s">
        <v>34</v>
      </c>
      <c r="N779" s="7" t="s">
        <v>21</v>
      </c>
      <c r="O779" s="1">
        <f>TBL_Employees3[[#This Row],[Annual Salary]]+TBL_Employees3[[#This Row],[Bonus %]]*TBL_Employees3[[#This Row],[Annual Salary]]</f>
        <v>58875</v>
      </c>
      <c r="P779" t="str">
        <f>IF(AND(TBL_Employees3[[#This Row],[Department]]="IT",TBL_Employees3[[#This Row],[Gender]]="Female"),"Yes","No")</f>
        <v>No</v>
      </c>
      <c r="Q779" t="str">
        <f>IF(AND(TBL_Employees3[[#This Row],[Gender]]="Female",TBL_Employees3[[#This Row],[Ethnicity]]="Black"), "Female_Black", "Others")</f>
        <v>Others</v>
      </c>
      <c r="T779" t="str">
        <v>E04369</v>
      </c>
    </row>
    <row r="780" spans="1:20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7">
        <v>42318</v>
      </c>
      <c r="J780" s="1">
        <v>64204</v>
      </c>
      <c r="K780" s="2">
        <v>0</v>
      </c>
      <c r="L780" t="s">
        <v>19</v>
      </c>
      <c r="M780" t="s">
        <v>29</v>
      </c>
      <c r="N780" s="7">
        <v>44306</v>
      </c>
      <c r="O780" s="1">
        <f>TBL_Employees3[[#This Row],[Annual Salary]]+TBL_Employees3[[#This Row],[Bonus %]]*TBL_Employees3[[#This Row],[Annual Salary]]</f>
        <v>64204</v>
      </c>
      <c r="P780" t="str">
        <f>IF(AND(TBL_Employees3[[#This Row],[Department]]="IT",TBL_Employees3[[#This Row],[Gender]]="Female"),"Yes","No")</f>
        <v>No</v>
      </c>
      <c r="Q780" t="str">
        <f>IF(AND(TBL_Employees3[[#This Row],[Gender]]="Female",TBL_Employees3[[#This Row],[Ethnicity]]="Black"), "Female_Black", "Others")</f>
        <v>Others</v>
      </c>
      <c r="T780" t="str">
        <v>E00592</v>
      </c>
    </row>
    <row r="781" spans="1:20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7">
        <v>40307</v>
      </c>
      <c r="J781" s="1">
        <v>67743</v>
      </c>
      <c r="K781" s="2">
        <v>0</v>
      </c>
      <c r="L781" t="s">
        <v>33</v>
      </c>
      <c r="M781" t="s">
        <v>60</v>
      </c>
      <c r="N781" s="7">
        <v>41998</v>
      </c>
      <c r="O781" s="1">
        <f>TBL_Employees3[[#This Row],[Annual Salary]]+TBL_Employees3[[#This Row],[Bonus %]]*TBL_Employees3[[#This Row],[Annual Salary]]</f>
        <v>67743</v>
      </c>
      <c r="P781" t="str">
        <f>IF(AND(TBL_Employees3[[#This Row],[Department]]="IT",TBL_Employees3[[#This Row],[Gender]]="Female"),"Yes","No")</f>
        <v>No</v>
      </c>
      <c r="Q781" t="str">
        <f>IF(AND(TBL_Employees3[[#This Row],[Gender]]="Female",TBL_Employees3[[#This Row],[Ethnicity]]="Black"), "Female_Black", "Others")</f>
        <v>Others</v>
      </c>
      <c r="T781" t="str">
        <v>E03532</v>
      </c>
    </row>
    <row r="782" spans="1:20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7">
        <v>35641</v>
      </c>
      <c r="J782" s="1">
        <v>71677</v>
      </c>
      <c r="K782" s="2">
        <v>0</v>
      </c>
      <c r="L782" t="s">
        <v>19</v>
      </c>
      <c r="M782" t="s">
        <v>29</v>
      </c>
      <c r="N782" s="7" t="s">
        <v>21</v>
      </c>
      <c r="O782" s="1">
        <f>TBL_Employees3[[#This Row],[Annual Salary]]+TBL_Employees3[[#This Row],[Bonus %]]*TBL_Employees3[[#This Row],[Annual Salary]]</f>
        <v>71677</v>
      </c>
      <c r="P782" t="str">
        <f>IF(AND(TBL_Employees3[[#This Row],[Department]]="IT",TBL_Employees3[[#This Row],[Gender]]="Female"),"Yes","No")</f>
        <v>No</v>
      </c>
      <c r="Q782" t="str">
        <f>IF(AND(TBL_Employees3[[#This Row],[Gender]]="Female",TBL_Employees3[[#This Row],[Ethnicity]]="Black"), "Female_Black", "Others")</f>
        <v>Female_Black</v>
      </c>
      <c r="T782" t="str">
        <v>E00863</v>
      </c>
    </row>
    <row r="783" spans="1:20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7">
        <v>36793</v>
      </c>
      <c r="J783" s="1">
        <v>40063</v>
      </c>
      <c r="K783" s="2">
        <v>0</v>
      </c>
      <c r="L783" t="s">
        <v>19</v>
      </c>
      <c r="M783" t="s">
        <v>45</v>
      </c>
      <c r="N783" s="7" t="s">
        <v>21</v>
      </c>
      <c r="O783" s="1">
        <f>TBL_Employees3[[#This Row],[Annual Salary]]+TBL_Employees3[[#This Row],[Bonus %]]*TBL_Employees3[[#This Row],[Annual Salary]]</f>
        <v>40063</v>
      </c>
      <c r="P783" t="str">
        <f>IF(AND(TBL_Employees3[[#This Row],[Department]]="IT",TBL_Employees3[[#This Row],[Gender]]="Female"),"Yes","No")</f>
        <v>No</v>
      </c>
      <c r="Q783" t="str">
        <f>IF(AND(TBL_Employees3[[#This Row],[Gender]]="Female",TBL_Employees3[[#This Row],[Ethnicity]]="Black"), "Female_Black", "Others")</f>
        <v>Others</v>
      </c>
      <c r="T783" t="str">
        <v>E03310</v>
      </c>
    </row>
    <row r="784" spans="1:20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7">
        <v>38107</v>
      </c>
      <c r="J784" s="1">
        <v>40124</v>
      </c>
      <c r="K784" s="2">
        <v>0</v>
      </c>
      <c r="L784" t="s">
        <v>19</v>
      </c>
      <c r="M784" t="s">
        <v>25</v>
      </c>
      <c r="N784" s="7" t="s">
        <v>21</v>
      </c>
      <c r="O784" s="1">
        <f>TBL_Employees3[[#This Row],[Annual Salary]]+TBL_Employees3[[#This Row],[Bonus %]]*TBL_Employees3[[#This Row],[Annual Salary]]</f>
        <v>40124</v>
      </c>
      <c r="P784" t="str">
        <f>IF(AND(TBL_Employees3[[#This Row],[Department]]="IT",TBL_Employees3[[#This Row],[Gender]]="Female"),"Yes","No")</f>
        <v>Yes</v>
      </c>
      <c r="Q784" t="str">
        <f>IF(AND(TBL_Employees3[[#This Row],[Gender]]="Female",TBL_Employees3[[#This Row],[Ethnicity]]="Black"), "Female_Black", "Others")</f>
        <v>Others</v>
      </c>
      <c r="T784" t="str">
        <v>E01242</v>
      </c>
    </row>
    <row r="785" spans="1:20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7">
        <v>43157</v>
      </c>
      <c r="J785" s="1">
        <v>103183</v>
      </c>
      <c r="K785" s="2">
        <v>0</v>
      </c>
      <c r="L785" t="s">
        <v>19</v>
      </c>
      <c r="M785" t="s">
        <v>25</v>
      </c>
      <c r="N785" s="7">
        <v>44386</v>
      </c>
      <c r="O785" s="1">
        <f>TBL_Employees3[[#This Row],[Annual Salary]]+TBL_Employees3[[#This Row],[Bonus %]]*TBL_Employees3[[#This Row],[Annual Salary]]</f>
        <v>103183</v>
      </c>
      <c r="P785" t="str">
        <f>IF(AND(TBL_Employees3[[#This Row],[Department]]="IT",TBL_Employees3[[#This Row],[Gender]]="Female"),"Yes","No")</f>
        <v>No</v>
      </c>
      <c r="Q785" t="str">
        <f>IF(AND(TBL_Employees3[[#This Row],[Gender]]="Female",TBL_Employees3[[#This Row],[Ethnicity]]="Black"), "Female_Black", "Others")</f>
        <v>Others</v>
      </c>
      <c r="T785" t="str">
        <v>E02535</v>
      </c>
    </row>
    <row r="786" spans="1:20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7">
        <v>35961</v>
      </c>
      <c r="J786" s="1">
        <v>95239</v>
      </c>
      <c r="K786" s="2">
        <v>0</v>
      </c>
      <c r="L786" t="s">
        <v>19</v>
      </c>
      <c r="M786" t="s">
        <v>39</v>
      </c>
      <c r="N786" s="7" t="s">
        <v>21</v>
      </c>
      <c r="O786" s="1">
        <f>TBL_Employees3[[#This Row],[Annual Salary]]+TBL_Employees3[[#This Row],[Bonus %]]*TBL_Employees3[[#This Row],[Annual Salary]]</f>
        <v>95239</v>
      </c>
      <c r="P786" t="str">
        <f>IF(AND(TBL_Employees3[[#This Row],[Department]]="IT",TBL_Employees3[[#This Row],[Gender]]="Female"),"Yes","No")</f>
        <v>No</v>
      </c>
      <c r="Q786" t="str">
        <f>IF(AND(TBL_Employees3[[#This Row],[Gender]]="Female",TBL_Employees3[[#This Row],[Ethnicity]]="Black"), "Female_Black", "Others")</f>
        <v>Others</v>
      </c>
      <c r="T786" t="str">
        <v>E00369</v>
      </c>
    </row>
    <row r="787" spans="1:20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7">
        <v>43778</v>
      </c>
      <c r="J787" s="1">
        <v>75012</v>
      </c>
      <c r="K787" s="2">
        <v>0</v>
      </c>
      <c r="L787" t="s">
        <v>19</v>
      </c>
      <c r="M787" t="s">
        <v>20</v>
      </c>
      <c r="N787" s="7" t="s">
        <v>21</v>
      </c>
      <c r="O787" s="1">
        <f>TBL_Employees3[[#This Row],[Annual Salary]]+TBL_Employees3[[#This Row],[Bonus %]]*TBL_Employees3[[#This Row],[Annual Salary]]</f>
        <v>75012</v>
      </c>
      <c r="P787" t="str">
        <f>IF(AND(TBL_Employees3[[#This Row],[Department]]="IT",TBL_Employees3[[#This Row],[Gender]]="Female"),"Yes","No")</f>
        <v>No</v>
      </c>
      <c r="Q787" t="str">
        <f>IF(AND(TBL_Employees3[[#This Row],[Gender]]="Female",TBL_Employees3[[#This Row],[Ethnicity]]="Black"), "Female_Black", "Others")</f>
        <v>Others</v>
      </c>
      <c r="T787" t="str">
        <v>E03332</v>
      </c>
    </row>
    <row r="788" spans="1:20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7">
        <v>41819</v>
      </c>
      <c r="J788" s="1">
        <v>96366</v>
      </c>
      <c r="K788" s="2">
        <v>0</v>
      </c>
      <c r="L788" t="s">
        <v>33</v>
      </c>
      <c r="M788" t="s">
        <v>34</v>
      </c>
      <c r="N788" s="7" t="s">
        <v>21</v>
      </c>
      <c r="O788" s="1">
        <f>TBL_Employees3[[#This Row],[Annual Salary]]+TBL_Employees3[[#This Row],[Bonus %]]*TBL_Employees3[[#This Row],[Annual Salary]]</f>
        <v>96366</v>
      </c>
      <c r="P788" t="str">
        <f>IF(AND(TBL_Employees3[[#This Row],[Department]]="IT",TBL_Employees3[[#This Row],[Gender]]="Female"),"Yes","No")</f>
        <v>Yes</v>
      </c>
      <c r="Q788" t="str">
        <f>IF(AND(TBL_Employees3[[#This Row],[Gender]]="Female",TBL_Employees3[[#This Row],[Ethnicity]]="Black"), "Female_Black", "Others")</f>
        <v>Others</v>
      </c>
      <c r="T788" t="str">
        <v>E03278</v>
      </c>
    </row>
    <row r="789" spans="1:20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7">
        <v>41849</v>
      </c>
      <c r="J789" s="1">
        <v>40897</v>
      </c>
      <c r="K789" s="2">
        <v>0</v>
      </c>
      <c r="L789" t="s">
        <v>19</v>
      </c>
      <c r="M789" t="s">
        <v>63</v>
      </c>
      <c r="N789" s="7" t="s">
        <v>21</v>
      </c>
      <c r="O789" s="1">
        <f>TBL_Employees3[[#This Row],[Annual Salary]]+TBL_Employees3[[#This Row],[Bonus %]]*TBL_Employees3[[#This Row],[Annual Salary]]</f>
        <v>40897</v>
      </c>
      <c r="P789" t="str">
        <f>IF(AND(TBL_Employees3[[#This Row],[Department]]="IT",TBL_Employees3[[#This Row],[Gender]]="Female"),"Yes","No")</f>
        <v>No</v>
      </c>
      <c r="Q789" t="str">
        <f>IF(AND(TBL_Employees3[[#This Row],[Gender]]="Female",TBL_Employees3[[#This Row],[Ethnicity]]="Black"), "Female_Black", "Others")</f>
        <v>Others</v>
      </c>
      <c r="T789" t="str">
        <v>E03055</v>
      </c>
    </row>
    <row r="790" spans="1:20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7">
        <v>42605</v>
      </c>
      <c r="J790" s="1">
        <v>124928</v>
      </c>
      <c r="K790" s="2">
        <v>0.06</v>
      </c>
      <c r="L790" t="s">
        <v>33</v>
      </c>
      <c r="M790" t="s">
        <v>80</v>
      </c>
      <c r="N790" s="7" t="s">
        <v>21</v>
      </c>
      <c r="O790" s="1">
        <f>TBL_Employees3[[#This Row],[Annual Salary]]+TBL_Employees3[[#This Row],[Bonus %]]*TBL_Employees3[[#This Row],[Annual Salary]]</f>
        <v>132423.67999999999</v>
      </c>
      <c r="P790" t="str">
        <f>IF(AND(TBL_Employees3[[#This Row],[Department]]="IT",TBL_Employees3[[#This Row],[Gender]]="Female"),"Yes","No")</f>
        <v>No</v>
      </c>
      <c r="Q790" t="str">
        <f>IF(AND(TBL_Employees3[[#This Row],[Gender]]="Female",TBL_Employees3[[#This Row],[Ethnicity]]="Black"), "Female_Black", "Others")</f>
        <v>Others</v>
      </c>
      <c r="T790" t="str">
        <v>E01943</v>
      </c>
    </row>
    <row r="791" spans="1:20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7">
        <v>41439</v>
      </c>
      <c r="J791" s="1">
        <v>108221</v>
      </c>
      <c r="K791" s="2">
        <v>0.05</v>
      </c>
      <c r="L791" t="s">
        <v>52</v>
      </c>
      <c r="M791" t="s">
        <v>81</v>
      </c>
      <c r="N791" s="7" t="s">
        <v>21</v>
      </c>
      <c r="O791" s="1">
        <f>TBL_Employees3[[#This Row],[Annual Salary]]+TBL_Employees3[[#This Row],[Bonus %]]*TBL_Employees3[[#This Row],[Annual Salary]]</f>
        <v>113632.05</v>
      </c>
      <c r="P791" t="str">
        <f>IF(AND(TBL_Employees3[[#This Row],[Department]]="IT",TBL_Employees3[[#This Row],[Gender]]="Female"),"Yes","No")</f>
        <v>No</v>
      </c>
      <c r="Q791" t="str">
        <f>IF(AND(TBL_Employees3[[#This Row],[Gender]]="Female",TBL_Employees3[[#This Row],[Ethnicity]]="Black"), "Female_Black", "Others")</f>
        <v>Others</v>
      </c>
      <c r="T791" t="str">
        <v>E04637</v>
      </c>
    </row>
    <row r="792" spans="1:20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7">
        <v>39133</v>
      </c>
      <c r="J792" s="1">
        <v>75579</v>
      </c>
      <c r="K792" s="2">
        <v>0</v>
      </c>
      <c r="L792" t="s">
        <v>19</v>
      </c>
      <c r="M792" t="s">
        <v>63</v>
      </c>
      <c r="N792" s="7" t="s">
        <v>21</v>
      </c>
      <c r="O792" s="1">
        <f>TBL_Employees3[[#This Row],[Annual Salary]]+TBL_Employees3[[#This Row],[Bonus %]]*TBL_Employees3[[#This Row],[Annual Salary]]</f>
        <v>75579</v>
      </c>
      <c r="P792" t="str">
        <f>IF(AND(TBL_Employees3[[#This Row],[Department]]="IT",TBL_Employees3[[#This Row],[Gender]]="Female"),"Yes","No")</f>
        <v>No</v>
      </c>
      <c r="Q792" t="str">
        <f>IF(AND(TBL_Employees3[[#This Row],[Gender]]="Female",TBL_Employees3[[#This Row],[Ethnicity]]="Black"), "Female_Black", "Others")</f>
        <v>Others</v>
      </c>
      <c r="T792" t="str">
        <v>E03240</v>
      </c>
    </row>
    <row r="793" spans="1:20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7">
        <v>42365</v>
      </c>
      <c r="J793" s="1">
        <v>129903</v>
      </c>
      <c r="K793" s="2">
        <v>0.13</v>
      </c>
      <c r="L793" t="s">
        <v>52</v>
      </c>
      <c r="M793" t="s">
        <v>53</v>
      </c>
      <c r="N793" s="7" t="s">
        <v>21</v>
      </c>
      <c r="O793" s="1">
        <f>TBL_Employees3[[#This Row],[Annual Salary]]+TBL_Employees3[[#This Row],[Bonus %]]*TBL_Employees3[[#This Row],[Annual Salary]]</f>
        <v>146790.39000000001</v>
      </c>
      <c r="P793" t="str">
        <f>IF(AND(TBL_Employees3[[#This Row],[Department]]="IT",TBL_Employees3[[#This Row],[Gender]]="Female"),"Yes","No")</f>
        <v>No</v>
      </c>
      <c r="Q793" t="str">
        <f>IF(AND(TBL_Employees3[[#This Row],[Gender]]="Female",TBL_Employees3[[#This Row],[Ethnicity]]="Black"), "Female_Black", "Others")</f>
        <v>Others</v>
      </c>
      <c r="T793" t="str">
        <v>E00340</v>
      </c>
    </row>
    <row r="794" spans="1:20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7">
        <v>44303</v>
      </c>
      <c r="J794" s="1">
        <v>186870</v>
      </c>
      <c r="K794" s="2">
        <v>0.2</v>
      </c>
      <c r="L794" t="s">
        <v>33</v>
      </c>
      <c r="M794" t="s">
        <v>74</v>
      </c>
      <c r="N794" s="7" t="s">
        <v>21</v>
      </c>
      <c r="O794" s="1">
        <f>TBL_Employees3[[#This Row],[Annual Salary]]+TBL_Employees3[[#This Row],[Bonus %]]*TBL_Employees3[[#This Row],[Annual Salary]]</f>
        <v>224244</v>
      </c>
      <c r="P794" t="str">
        <f>IF(AND(TBL_Employees3[[#This Row],[Department]]="IT",TBL_Employees3[[#This Row],[Gender]]="Female"),"Yes","No")</f>
        <v>No</v>
      </c>
      <c r="Q794" t="str">
        <f>IF(AND(TBL_Employees3[[#This Row],[Gender]]="Female",TBL_Employees3[[#This Row],[Ethnicity]]="Black"), "Female_Black", "Others")</f>
        <v>Others</v>
      </c>
      <c r="T794" t="str">
        <v>E04751</v>
      </c>
    </row>
    <row r="795" spans="1:20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7">
        <v>40291</v>
      </c>
      <c r="J795" s="1">
        <v>57531</v>
      </c>
      <c r="K795" s="2">
        <v>0</v>
      </c>
      <c r="L795" t="s">
        <v>19</v>
      </c>
      <c r="M795" t="s">
        <v>20</v>
      </c>
      <c r="N795" s="7" t="s">
        <v>21</v>
      </c>
      <c r="O795" s="1">
        <f>TBL_Employees3[[#This Row],[Annual Salary]]+TBL_Employees3[[#This Row],[Bonus %]]*TBL_Employees3[[#This Row],[Annual Salary]]</f>
        <v>57531</v>
      </c>
      <c r="P795" t="str">
        <f>IF(AND(TBL_Employees3[[#This Row],[Department]]="IT",TBL_Employees3[[#This Row],[Gender]]="Female"),"Yes","No")</f>
        <v>No</v>
      </c>
      <c r="Q795" t="str">
        <f>IF(AND(TBL_Employees3[[#This Row],[Gender]]="Female",TBL_Employees3[[#This Row],[Ethnicity]]="Black"), "Female_Black", "Others")</f>
        <v>Others</v>
      </c>
      <c r="T795" t="str">
        <v>E04636</v>
      </c>
    </row>
    <row r="796" spans="1:20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7">
        <v>40657</v>
      </c>
      <c r="J796" s="1">
        <v>55894</v>
      </c>
      <c r="K796" s="2">
        <v>0</v>
      </c>
      <c r="L796" t="s">
        <v>19</v>
      </c>
      <c r="M796" t="s">
        <v>63</v>
      </c>
      <c r="N796" s="7" t="s">
        <v>21</v>
      </c>
      <c r="O796" s="1">
        <f>TBL_Employees3[[#This Row],[Annual Salary]]+TBL_Employees3[[#This Row],[Bonus %]]*TBL_Employees3[[#This Row],[Annual Salary]]</f>
        <v>55894</v>
      </c>
      <c r="P796" t="str">
        <f>IF(AND(TBL_Employees3[[#This Row],[Department]]="IT",TBL_Employees3[[#This Row],[Gender]]="Female"),"Yes","No")</f>
        <v>No</v>
      </c>
      <c r="Q796" t="str">
        <f>IF(AND(TBL_Employees3[[#This Row],[Gender]]="Female",TBL_Employees3[[#This Row],[Ethnicity]]="Black"), "Female_Black", "Others")</f>
        <v>Others</v>
      </c>
      <c r="T796" t="str">
        <v>E02938</v>
      </c>
    </row>
    <row r="797" spans="1:20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7">
        <v>41026</v>
      </c>
      <c r="J797" s="1">
        <v>72903</v>
      </c>
      <c r="K797" s="2">
        <v>0</v>
      </c>
      <c r="L797" t="s">
        <v>19</v>
      </c>
      <c r="M797" t="s">
        <v>39</v>
      </c>
      <c r="N797" s="7" t="s">
        <v>21</v>
      </c>
      <c r="O797" s="1">
        <f>TBL_Employees3[[#This Row],[Annual Salary]]+TBL_Employees3[[#This Row],[Bonus %]]*TBL_Employees3[[#This Row],[Annual Salary]]</f>
        <v>72903</v>
      </c>
      <c r="P797" t="str">
        <f>IF(AND(TBL_Employees3[[#This Row],[Department]]="IT",TBL_Employees3[[#This Row],[Gender]]="Female"),"Yes","No")</f>
        <v>No</v>
      </c>
      <c r="Q797" t="str">
        <f>IF(AND(TBL_Employees3[[#This Row],[Gender]]="Female",TBL_Employees3[[#This Row],[Ethnicity]]="Black"), "Female_Black", "Others")</f>
        <v>Others</v>
      </c>
      <c r="T797" t="str">
        <v>E01111</v>
      </c>
    </row>
    <row r="798" spans="1:20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7">
        <v>42317</v>
      </c>
      <c r="J798" s="1">
        <v>45369</v>
      </c>
      <c r="K798" s="2">
        <v>0</v>
      </c>
      <c r="L798" t="s">
        <v>33</v>
      </c>
      <c r="M798" t="s">
        <v>60</v>
      </c>
      <c r="N798" s="7" t="s">
        <v>21</v>
      </c>
      <c r="O798" s="1">
        <f>TBL_Employees3[[#This Row],[Annual Salary]]+TBL_Employees3[[#This Row],[Bonus %]]*TBL_Employees3[[#This Row],[Annual Salary]]</f>
        <v>45369</v>
      </c>
      <c r="P798" t="str">
        <f>IF(AND(TBL_Employees3[[#This Row],[Department]]="IT",TBL_Employees3[[#This Row],[Gender]]="Female"),"Yes","No")</f>
        <v>No</v>
      </c>
      <c r="Q798" t="str">
        <f>IF(AND(TBL_Employees3[[#This Row],[Gender]]="Female",TBL_Employees3[[#This Row],[Ethnicity]]="Black"), "Female_Black", "Others")</f>
        <v>Others</v>
      </c>
      <c r="T798" t="str">
        <v>E03149</v>
      </c>
    </row>
    <row r="799" spans="1:20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7">
        <v>40344</v>
      </c>
      <c r="J799" s="1">
        <v>106578</v>
      </c>
      <c r="K799" s="2">
        <v>0.09</v>
      </c>
      <c r="L799" t="s">
        <v>19</v>
      </c>
      <c r="M799" t="s">
        <v>45</v>
      </c>
      <c r="N799" s="7" t="s">
        <v>21</v>
      </c>
      <c r="O799" s="1">
        <f>TBL_Employees3[[#This Row],[Annual Salary]]+TBL_Employees3[[#This Row],[Bonus %]]*TBL_Employees3[[#This Row],[Annual Salary]]</f>
        <v>116170.02</v>
      </c>
      <c r="P799" t="str">
        <f>IF(AND(TBL_Employees3[[#This Row],[Department]]="IT",TBL_Employees3[[#This Row],[Gender]]="Female"),"Yes","No")</f>
        <v>No</v>
      </c>
      <c r="Q799" t="str">
        <f>IF(AND(TBL_Employees3[[#This Row],[Gender]]="Female",TBL_Employees3[[#This Row],[Ethnicity]]="Black"), "Female_Black", "Others")</f>
        <v>Others</v>
      </c>
      <c r="T799" t="str">
        <v>E00952</v>
      </c>
    </row>
    <row r="800" spans="1:20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7">
        <v>36416</v>
      </c>
      <c r="J800" s="1">
        <v>92994</v>
      </c>
      <c r="K800" s="2">
        <v>0</v>
      </c>
      <c r="L800" t="s">
        <v>19</v>
      </c>
      <c r="M800" t="s">
        <v>20</v>
      </c>
      <c r="N800" s="7" t="s">
        <v>21</v>
      </c>
      <c r="O800" s="1">
        <f>TBL_Employees3[[#This Row],[Annual Salary]]+TBL_Employees3[[#This Row],[Bonus %]]*TBL_Employees3[[#This Row],[Annual Salary]]</f>
        <v>92994</v>
      </c>
      <c r="P800" t="str">
        <f>IF(AND(TBL_Employees3[[#This Row],[Department]]="IT",TBL_Employees3[[#This Row],[Gender]]="Female"),"Yes","No")</f>
        <v>No</v>
      </c>
      <c r="Q800" t="str">
        <f>IF(AND(TBL_Employees3[[#This Row],[Gender]]="Female",TBL_Employees3[[#This Row],[Ethnicity]]="Black"), "Female_Black", "Others")</f>
        <v>Others</v>
      </c>
      <c r="T800" t="str">
        <v>E04380</v>
      </c>
    </row>
    <row r="801" spans="1:20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7">
        <v>35502</v>
      </c>
      <c r="J801" s="1">
        <v>83685</v>
      </c>
      <c r="K801" s="2">
        <v>0</v>
      </c>
      <c r="L801" t="s">
        <v>33</v>
      </c>
      <c r="M801" t="s">
        <v>60</v>
      </c>
      <c r="N801" s="7" t="s">
        <v>21</v>
      </c>
      <c r="O801" s="1">
        <f>TBL_Employees3[[#This Row],[Annual Salary]]+TBL_Employees3[[#This Row],[Bonus %]]*TBL_Employees3[[#This Row],[Annual Salary]]</f>
        <v>83685</v>
      </c>
      <c r="P801" t="str">
        <f>IF(AND(TBL_Employees3[[#This Row],[Department]]="IT",TBL_Employees3[[#This Row],[Gender]]="Female"),"Yes","No")</f>
        <v>No</v>
      </c>
      <c r="Q801" t="str">
        <f>IF(AND(TBL_Employees3[[#This Row],[Gender]]="Female",TBL_Employees3[[#This Row],[Ethnicity]]="Black"), "Female_Black", "Others")</f>
        <v>Others</v>
      </c>
      <c r="T801" t="str">
        <v>E04994</v>
      </c>
    </row>
    <row r="802" spans="1:20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7">
        <v>40435</v>
      </c>
      <c r="J802" s="1">
        <v>99335</v>
      </c>
      <c r="K802" s="2">
        <v>0</v>
      </c>
      <c r="L802" t="s">
        <v>19</v>
      </c>
      <c r="M802" t="s">
        <v>39</v>
      </c>
      <c r="N802" s="7" t="s">
        <v>21</v>
      </c>
      <c r="O802" s="1">
        <f>TBL_Employees3[[#This Row],[Annual Salary]]+TBL_Employees3[[#This Row],[Bonus %]]*TBL_Employees3[[#This Row],[Annual Salary]]</f>
        <v>99335</v>
      </c>
      <c r="P802" t="str">
        <f>IF(AND(TBL_Employees3[[#This Row],[Department]]="IT",TBL_Employees3[[#This Row],[Gender]]="Female"),"Yes","No")</f>
        <v>No</v>
      </c>
      <c r="Q802" t="str">
        <f>IF(AND(TBL_Employees3[[#This Row],[Gender]]="Female",TBL_Employees3[[#This Row],[Ethnicity]]="Black"), "Female_Black", "Others")</f>
        <v>Others</v>
      </c>
      <c r="T802" t="str">
        <v>E00447</v>
      </c>
    </row>
    <row r="803" spans="1:20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7">
        <v>41382</v>
      </c>
      <c r="J803" s="1">
        <v>131179</v>
      </c>
      <c r="K803" s="2">
        <v>0.15</v>
      </c>
      <c r="L803" t="s">
        <v>19</v>
      </c>
      <c r="M803" t="s">
        <v>29</v>
      </c>
      <c r="N803" s="7" t="s">
        <v>21</v>
      </c>
      <c r="O803" s="1">
        <f>TBL_Employees3[[#This Row],[Annual Salary]]+TBL_Employees3[[#This Row],[Bonus %]]*TBL_Employees3[[#This Row],[Annual Salary]]</f>
        <v>150855.85</v>
      </c>
      <c r="P803" t="str">
        <f>IF(AND(TBL_Employees3[[#This Row],[Department]]="IT",TBL_Employees3[[#This Row],[Gender]]="Female"),"Yes","No")</f>
        <v>No</v>
      </c>
      <c r="Q803" t="str">
        <f>IF(AND(TBL_Employees3[[#This Row],[Gender]]="Female",TBL_Employees3[[#This Row],[Ethnicity]]="Black"), "Female_Black", "Others")</f>
        <v>Others</v>
      </c>
      <c r="T803" t="str">
        <v>E00089</v>
      </c>
    </row>
    <row r="804" spans="1:20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7">
        <v>42493</v>
      </c>
      <c r="J804" s="1">
        <v>73899</v>
      </c>
      <c r="K804" s="2">
        <v>0.05</v>
      </c>
      <c r="L804" t="s">
        <v>33</v>
      </c>
      <c r="M804" t="s">
        <v>34</v>
      </c>
      <c r="N804" s="7" t="s">
        <v>21</v>
      </c>
      <c r="O804" s="1">
        <f>TBL_Employees3[[#This Row],[Annual Salary]]+TBL_Employees3[[#This Row],[Bonus %]]*TBL_Employees3[[#This Row],[Annual Salary]]</f>
        <v>77593.95</v>
      </c>
      <c r="P804" t="str">
        <f>IF(AND(TBL_Employees3[[#This Row],[Department]]="IT",TBL_Employees3[[#This Row],[Gender]]="Female"),"Yes","No")</f>
        <v>No</v>
      </c>
      <c r="Q804" t="str">
        <f>IF(AND(TBL_Employees3[[#This Row],[Gender]]="Female",TBL_Employees3[[#This Row],[Ethnicity]]="Black"), "Female_Black", "Others")</f>
        <v>Others</v>
      </c>
      <c r="T804" t="str">
        <v>E02035</v>
      </c>
    </row>
    <row r="805" spans="1:20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7">
        <v>41362</v>
      </c>
      <c r="J805" s="1">
        <v>252325</v>
      </c>
      <c r="K805" s="2">
        <v>0.4</v>
      </c>
      <c r="L805" t="s">
        <v>19</v>
      </c>
      <c r="M805" t="s">
        <v>29</v>
      </c>
      <c r="N805" s="7" t="s">
        <v>21</v>
      </c>
      <c r="O805" s="1">
        <f>TBL_Employees3[[#This Row],[Annual Salary]]+TBL_Employees3[[#This Row],[Bonus %]]*TBL_Employees3[[#This Row],[Annual Salary]]</f>
        <v>353255</v>
      </c>
      <c r="P805" t="str">
        <f>IF(AND(TBL_Employees3[[#This Row],[Department]]="IT",TBL_Employees3[[#This Row],[Gender]]="Female"),"Yes","No")</f>
        <v>No</v>
      </c>
      <c r="Q805" t="str">
        <f>IF(AND(TBL_Employees3[[#This Row],[Gender]]="Female",TBL_Employees3[[#This Row],[Ethnicity]]="Black"), "Female_Black", "Others")</f>
        <v>Others</v>
      </c>
      <c r="T805" t="str">
        <v>E03595</v>
      </c>
    </row>
    <row r="806" spans="1:20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7">
        <v>42068</v>
      </c>
      <c r="J806" s="1">
        <v>52697</v>
      </c>
      <c r="K806" s="2">
        <v>0</v>
      </c>
      <c r="L806" t="s">
        <v>19</v>
      </c>
      <c r="M806" t="s">
        <v>63</v>
      </c>
      <c r="N806" s="7" t="s">
        <v>21</v>
      </c>
      <c r="O806" s="1">
        <f>TBL_Employees3[[#This Row],[Annual Salary]]+TBL_Employees3[[#This Row],[Bonus %]]*TBL_Employees3[[#This Row],[Annual Salary]]</f>
        <v>52697</v>
      </c>
      <c r="P806" t="str">
        <f>IF(AND(TBL_Employees3[[#This Row],[Department]]="IT",TBL_Employees3[[#This Row],[Gender]]="Female"),"Yes","No")</f>
        <v>No</v>
      </c>
      <c r="Q806" t="str">
        <f>IF(AND(TBL_Employees3[[#This Row],[Gender]]="Female",TBL_Employees3[[#This Row],[Ethnicity]]="Black"), "Female_Black", "Others")</f>
        <v>Others</v>
      </c>
      <c r="T806" t="str">
        <v>E03611</v>
      </c>
    </row>
    <row r="807" spans="1:20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7">
        <v>44099</v>
      </c>
      <c r="J807" s="1">
        <v>123588</v>
      </c>
      <c r="K807" s="2">
        <v>0</v>
      </c>
      <c r="L807" t="s">
        <v>52</v>
      </c>
      <c r="M807" t="s">
        <v>53</v>
      </c>
      <c r="N807" s="7" t="s">
        <v>21</v>
      </c>
      <c r="O807" s="1">
        <f>TBL_Employees3[[#This Row],[Annual Salary]]+TBL_Employees3[[#This Row],[Bonus %]]*TBL_Employees3[[#This Row],[Annual Salary]]</f>
        <v>123588</v>
      </c>
      <c r="P807" t="str">
        <f>IF(AND(TBL_Employees3[[#This Row],[Department]]="IT",TBL_Employees3[[#This Row],[Gender]]="Female"),"Yes","No")</f>
        <v>No</v>
      </c>
      <c r="Q807" t="str">
        <f>IF(AND(TBL_Employees3[[#This Row],[Gender]]="Female",TBL_Employees3[[#This Row],[Ethnicity]]="Black"), "Female_Black", "Others")</f>
        <v>Others</v>
      </c>
      <c r="T807" t="str">
        <v>E04464</v>
      </c>
    </row>
    <row r="808" spans="1:20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7">
        <v>44556</v>
      </c>
      <c r="J808" s="1">
        <v>243568</v>
      </c>
      <c r="K808" s="2">
        <v>0.33</v>
      </c>
      <c r="L808" t="s">
        <v>19</v>
      </c>
      <c r="M808" t="s">
        <v>25</v>
      </c>
      <c r="N808" s="7" t="s">
        <v>21</v>
      </c>
      <c r="O808" s="1">
        <f>TBL_Employees3[[#This Row],[Annual Salary]]+TBL_Employees3[[#This Row],[Bonus %]]*TBL_Employees3[[#This Row],[Annual Salary]]</f>
        <v>323945.44</v>
      </c>
      <c r="P808" t="str">
        <f>IF(AND(TBL_Employees3[[#This Row],[Department]]="IT",TBL_Employees3[[#This Row],[Gender]]="Female"),"Yes","No")</f>
        <v>No</v>
      </c>
      <c r="Q808" t="str">
        <f>IF(AND(TBL_Employees3[[#This Row],[Gender]]="Female",TBL_Employees3[[#This Row],[Ethnicity]]="Black"), "Female_Black", "Others")</f>
        <v>Others</v>
      </c>
      <c r="T808" t="str">
        <v>E02135</v>
      </c>
    </row>
    <row r="809" spans="1:20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7">
        <v>37092</v>
      </c>
      <c r="J809" s="1">
        <v>199176</v>
      </c>
      <c r="K809" s="2">
        <v>0.24</v>
      </c>
      <c r="L809" t="s">
        <v>19</v>
      </c>
      <c r="M809" t="s">
        <v>39</v>
      </c>
      <c r="N809" s="7" t="s">
        <v>21</v>
      </c>
      <c r="O809" s="1">
        <f>TBL_Employees3[[#This Row],[Annual Salary]]+TBL_Employees3[[#This Row],[Bonus %]]*TBL_Employees3[[#This Row],[Annual Salary]]</f>
        <v>246978.24</v>
      </c>
      <c r="P809" t="str">
        <f>IF(AND(TBL_Employees3[[#This Row],[Department]]="IT",TBL_Employees3[[#This Row],[Gender]]="Female"),"Yes","No")</f>
        <v>No</v>
      </c>
      <c r="Q809" t="str">
        <f>IF(AND(TBL_Employees3[[#This Row],[Gender]]="Female",TBL_Employees3[[#This Row],[Ethnicity]]="Black"), "Female_Black", "Others")</f>
        <v>Others</v>
      </c>
      <c r="T809" t="str">
        <v>E01684</v>
      </c>
    </row>
    <row r="810" spans="1:20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7">
        <v>35238</v>
      </c>
      <c r="J810" s="1">
        <v>82806</v>
      </c>
      <c r="K810" s="2">
        <v>0</v>
      </c>
      <c r="L810" t="s">
        <v>19</v>
      </c>
      <c r="M810" t="s">
        <v>63</v>
      </c>
      <c r="N810" s="7" t="s">
        <v>21</v>
      </c>
      <c r="O810" s="1">
        <f>TBL_Employees3[[#This Row],[Annual Salary]]+TBL_Employees3[[#This Row],[Bonus %]]*TBL_Employees3[[#This Row],[Annual Salary]]</f>
        <v>82806</v>
      </c>
      <c r="P810" t="str">
        <f>IF(AND(TBL_Employees3[[#This Row],[Department]]="IT",TBL_Employees3[[#This Row],[Gender]]="Female"),"Yes","No")</f>
        <v>Yes</v>
      </c>
      <c r="Q810" t="str">
        <f>IF(AND(TBL_Employees3[[#This Row],[Gender]]="Female",TBL_Employees3[[#This Row],[Ethnicity]]="Black"), "Female_Black", "Others")</f>
        <v>Others</v>
      </c>
      <c r="T810" t="str">
        <v>E02968</v>
      </c>
    </row>
    <row r="811" spans="1:20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7">
        <v>35601</v>
      </c>
      <c r="J811" s="1">
        <v>164399</v>
      </c>
      <c r="K811" s="2">
        <v>0.25</v>
      </c>
      <c r="L811" t="s">
        <v>19</v>
      </c>
      <c r="M811" t="s">
        <v>63</v>
      </c>
      <c r="N811" s="7" t="s">
        <v>21</v>
      </c>
      <c r="O811" s="1">
        <f>TBL_Employees3[[#This Row],[Annual Salary]]+TBL_Employees3[[#This Row],[Bonus %]]*TBL_Employees3[[#This Row],[Annual Salary]]</f>
        <v>205498.75</v>
      </c>
      <c r="P811" t="str">
        <f>IF(AND(TBL_Employees3[[#This Row],[Department]]="IT",TBL_Employees3[[#This Row],[Gender]]="Female"),"Yes","No")</f>
        <v>No</v>
      </c>
      <c r="Q811" t="str">
        <f>IF(AND(TBL_Employees3[[#This Row],[Gender]]="Female",TBL_Employees3[[#This Row],[Ethnicity]]="Black"), "Female_Black", "Others")</f>
        <v>Others</v>
      </c>
      <c r="T811" t="str">
        <v>E03362</v>
      </c>
    </row>
    <row r="812" spans="1:20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7">
        <v>42839</v>
      </c>
      <c r="J812" s="1">
        <v>154956</v>
      </c>
      <c r="K812" s="2">
        <v>0.13</v>
      </c>
      <c r="L812" t="s">
        <v>19</v>
      </c>
      <c r="M812" t="s">
        <v>39</v>
      </c>
      <c r="N812" s="7" t="s">
        <v>21</v>
      </c>
      <c r="O812" s="1">
        <f>TBL_Employees3[[#This Row],[Annual Salary]]+TBL_Employees3[[#This Row],[Bonus %]]*TBL_Employees3[[#This Row],[Annual Salary]]</f>
        <v>175100.28</v>
      </c>
      <c r="P812" t="str">
        <f>IF(AND(TBL_Employees3[[#This Row],[Department]]="IT",TBL_Employees3[[#This Row],[Gender]]="Female"),"Yes","No")</f>
        <v>No</v>
      </c>
      <c r="Q812" t="str">
        <f>IF(AND(TBL_Employees3[[#This Row],[Gender]]="Female",TBL_Employees3[[#This Row],[Ethnicity]]="Black"), "Female_Black", "Others")</f>
        <v>Others</v>
      </c>
      <c r="T812" t="str">
        <v>E01108</v>
      </c>
    </row>
    <row r="813" spans="1:20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7">
        <v>42764</v>
      </c>
      <c r="J813" s="1">
        <v>143970</v>
      </c>
      <c r="K813" s="2">
        <v>0.12</v>
      </c>
      <c r="L813" t="s">
        <v>19</v>
      </c>
      <c r="M813" t="s">
        <v>63</v>
      </c>
      <c r="N813" s="7">
        <v>43078</v>
      </c>
      <c r="O813" s="1">
        <f>TBL_Employees3[[#This Row],[Annual Salary]]+TBL_Employees3[[#This Row],[Bonus %]]*TBL_Employees3[[#This Row],[Annual Salary]]</f>
        <v>161246.39999999999</v>
      </c>
      <c r="P813" t="str">
        <f>IF(AND(TBL_Employees3[[#This Row],[Department]]="IT",TBL_Employees3[[#This Row],[Gender]]="Female"),"Yes","No")</f>
        <v>No</v>
      </c>
      <c r="Q813" t="str">
        <f>IF(AND(TBL_Employees3[[#This Row],[Gender]]="Female",TBL_Employees3[[#This Row],[Ethnicity]]="Black"), "Female_Black", "Others")</f>
        <v>Others</v>
      </c>
      <c r="T813" t="str">
        <v>E02217</v>
      </c>
    </row>
    <row r="814" spans="1:20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7">
        <v>44099</v>
      </c>
      <c r="J814" s="1">
        <v>163143</v>
      </c>
      <c r="K814" s="2">
        <v>0.28000000000000003</v>
      </c>
      <c r="L814" t="s">
        <v>52</v>
      </c>
      <c r="M814" t="s">
        <v>53</v>
      </c>
      <c r="N814" s="7" t="s">
        <v>21</v>
      </c>
      <c r="O814" s="1">
        <f>TBL_Employees3[[#This Row],[Annual Salary]]+TBL_Employees3[[#This Row],[Bonus %]]*TBL_Employees3[[#This Row],[Annual Salary]]</f>
        <v>208823.04000000001</v>
      </c>
      <c r="P814" t="str">
        <f>IF(AND(TBL_Employees3[[#This Row],[Department]]="IT",TBL_Employees3[[#This Row],[Gender]]="Female"),"Yes","No")</f>
        <v>No</v>
      </c>
      <c r="Q814" t="str">
        <f>IF(AND(TBL_Employees3[[#This Row],[Gender]]="Female",TBL_Employees3[[#This Row],[Ethnicity]]="Black"), "Female_Black", "Others")</f>
        <v>Others</v>
      </c>
      <c r="T814" t="str">
        <v>E03519</v>
      </c>
    </row>
    <row r="815" spans="1:20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7">
        <v>44036</v>
      </c>
      <c r="J815" s="1">
        <v>89390</v>
      </c>
      <c r="K815" s="2">
        <v>0</v>
      </c>
      <c r="L815" t="s">
        <v>19</v>
      </c>
      <c r="M815" t="s">
        <v>63</v>
      </c>
      <c r="N815" s="7" t="s">
        <v>21</v>
      </c>
      <c r="O815" s="1">
        <f>TBL_Employees3[[#This Row],[Annual Salary]]+TBL_Employees3[[#This Row],[Bonus %]]*TBL_Employees3[[#This Row],[Annual Salary]]</f>
        <v>89390</v>
      </c>
      <c r="P815" t="str">
        <f>IF(AND(TBL_Employees3[[#This Row],[Department]]="IT",TBL_Employees3[[#This Row],[Gender]]="Female"),"Yes","No")</f>
        <v>No</v>
      </c>
      <c r="Q815" t="str">
        <f>IF(AND(TBL_Employees3[[#This Row],[Gender]]="Female",TBL_Employees3[[#This Row],[Ethnicity]]="Black"), "Female_Black", "Others")</f>
        <v>Others</v>
      </c>
      <c r="T815" t="str">
        <v>E01967</v>
      </c>
    </row>
    <row r="816" spans="1:20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7">
        <v>43013</v>
      </c>
      <c r="J816" s="1">
        <v>67468</v>
      </c>
      <c r="K816" s="2">
        <v>0</v>
      </c>
      <c r="L816" t="s">
        <v>19</v>
      </c>
      <c r="M816" t="s">
        <v>45</v>
      </c>
      <c r="N816" s="7" t="s">
        <v>21</v>
      </c>
      <c r="O816" s="1">
        <f>TBL_Employees3[[#This Row],[Annual Salary]]+TBL_Employees3[[#This Row],[Bonus %]]*TBL_Employees3[[#This Row],[Annual Salary]]</f>
        <v>67468</v>
      </c>
      <c r="P816" t="str">
        <f>IF(AND(TBL_Employees3[[#This Row],[Department]]="IT",TBL_Employees3[[#This Row],[Gender]]="Female"),"Yes","No")</f>
        <v>No</v>
      </c>
      <c r="Q816" t="str">
        <f>IF(AND(TBL_Employees3[[#This Row],[Gender]]="Female",TBL_Employees3[[#This Row],[Ethnicity]]="Black"), "Female_Black", "Others")</f>
        <v>Others</v>
      </c>
      <c r="T816" t="str">
        <v>E01125</v>
      </c>
    </row>
    <row r="817" spans="1:20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7">
        <v>42441</v>
      </c>
      <c r="J817" s="1">
        <v>100810</v>
      </c>
      <c r="K817" s="2">
        <v>0.12</v>
      </c>
      <c r="L817" t="s">
        <v>52</v>
      </c>
      <c r="M817" t="s">
        <v>66</v>
      </c>
      <c r="N817" s="7" t="s">
        <v>21</v>
      </c>
      <c r="O817" s="1">
        <f>TBL_Employees3[[#This Row],[Annual Salary]]+TBL_Employees3[[#This Row],[Bonus %]]*TBL_Employees3[[#This Row],[Annual Salary]]</f>
        <v>112907.2</v>
      </c>
      <c r="P817" t="str">
        <f>IF(AND(TBL_Employees3[[#This Row],[Department]]="IT",TBL_Employees3[[#This Row],[Gender]]="Female"),"Yes","No")</f>
        <v>No</v>
      </c>
      <c r="Q817" t="str">
        <f>IF(AND(TBL_Employees3[[#This Row],[Gender]]="Female",TBL_Employees3[[#This Row],[Ethnicity]]="Black"), "Female_Black", "Others")</f>
        <v>Others</v>
      </c>
      <c r="T817" t="str">
        <v>E03795</v>
      </c>
    </row>
    <row r="818" spans="1:20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7">
        <v>43542</v>
      </c>
      <c r="J818" s="1">
        <v>74779</v>
      </c>
      <c r="K818" s="2">
        <v>0</v>
      </c>
      <c r="L818" t="s">
        <v>19</v>
      </c>
      <c r="M818" t="s">
        <v>39</v>
      </c>
      <c r="N818" s="7" t="s">
        <v>21</v>
      </c>
      <c r="O818" s="1">
        <f>TBL_Employees3[[#This Row],[Annual Salary]]+TBL_Employees3[[#This Row],[Bonus %]]*TBL_Employees3[[#This Row],[Annual Salary]]</f>
        <v>74779</v>
      </c>
      <c r="P818" t="str">
        <f>IF(AND(TBL_Employees3[[#This Row],[Department]]="IT",TBL_Employees3[[#This Row],[Gender]]="Female"),"Yes","No")</f>
        <v>No</v>
      </c>
      <c r="Q818" t="str">
        <f>IF(AND(TBL_Employees3[[#This Row],[Gender]]="Female",TBL_Employees3[[#This Row],[Ethnicity]]="Black"), "Female_Black", "Others")</f>
        <v>Others</v>
      </c>
      <c r="T818" t="str">
        <v>E00508</v>
      </c>
    </row>
    <row r="819" spans="1:20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7">
        <v>43048</v>
      </c>
      <c r="J819" s="1">
        <v>63985</v>
      </c>
      <c r="K819" s="2">
        <v>0</v>
      </c>
      <c r="L819" t="s">
        <v>19</v>
      </c>
      <c r="M819" t="s">
        <v>45</v>
      </c>
      <c r="N819" s="7" t="s">
        <v>21</v>
      </c>
      <c r="O819" s="1">
        <f>TBL_Employees3[[#This Row],[Annual Salary]]+TBL_Employees3[[#This Row],[Bonus %]]*TBL_Employees3[[#This Row],[Annual Salary]]</f>
        <v>63985</v>
      </c>
      <c r="P819" t="str">
        <f>IF(AND(TBL_Employees3[[#This Row],[Department]]="IT",TBL_Employees3[[#This Row],[Gender]]="Female"),"Yes","No")</f>
        <v>Yes</v>
      </c>
      <c r="Q819" t="str">
        <f>IF(AND(TBL_Employees3[[#This Row],[Gender]]="Female",TBL_Employees3[[#This Row],[Ethnicity]]="Black"), "Female_Black", "Others")</f>
        <v>Others</v>
      </c>
      <c r="T819" t="str">
        <v>E02047</v>
      </c>
    </row>
    <row r="820" spans="1:20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7">
        <v>38176</v>
      </c>
      <c r="J820" s="1">
        <v>77903</v>
      </c>
      <c r="K820" s="2">
        <v>0</v>
      </c>
      <c r="L820" t="s">
        <v>19</v>
      </c>
      <c r="M820" t="s">
        <v>63</v>
      </c>
      <c r="N820" s="7" t="s">
        <v>21</v>
      </c>
      <c r="O820" s="1">
        <f>TBL_Employees3[[#This Row],[Annual Salary]]+TBL_Employees3[[#This Row],[Bonus %]]*TBL_Employees3[[#This Row],[Annual Salary]]</f>
        <v>77903</v>
      </c>
      <c r="P820" t="str">
        <f>IF(AND(TBL_Employees3[[#This Row],[Department]]="IT",TBL_Employees3[[#This Row],[Gender]]="Female"),"Yes","No")</f>
        <v>Yes</v>
      </c>
      <c r="Q820" t="str">
        <f>IF(AND(TBL_Employees3[[#This Row],[Gender]]="Female",TBL_Employees3[[#This Row],[Ethnicity]]="Black"), "Female_Black", "Others")</f>
        <v>Others</v>
      </c>
      <c r="T820" t="str">
        <v>E01582</v>
      </c>
    </row>
    <row r="821" spans="1:20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7">
        <v>42898</v>
      </c>
      <c r="J821" s="1">
        <v>164396</v>
      </c>
      <c r="K821" s="2">
        <v>0.28999999999999998</v>
      </c>
      <c r="L821" t="s">
        <v>19</v>
      </c>
      <c r="M821" t="s">
        <v>29</v>
      </c>
      <c r="N821" s="7" t="s">
        <v>21</v>
      </c>
      <c r="O821" s="1">
        <f>TBL_Employees3[[#This Row],[Annual Salary]]+TBL_Employees3[[#This Row],[Bonus %]]*TBL_Employees3[[#This Row],[Annual Salary]]</f>
        <v>212070.84</v>
      </c>
      <c r="P821" t="str">
        <f>IF(AND(TBL_Employees3[[#This Row],[Department]]="IT",TBL_Employees3[[#This Row],[Gender]]="Female"),"Yes","No")</f>
        <v>No</v>
      </c>
      <c r="Q821" t="str">
        <f>IF(AND(TBL_Employees3[[#This Row],[Gender]]="Female",TBL_Employees3[[#This Row],[Ethnicity]]="Black"), "Female_Black", "Others")</f>
        <v>Others</v>
      </c>
      <c r="T821" t="str">
        <v>E04872</v>
      </c>
    </row>
    <row r="822" spans="1:20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7">
        <v>44375</v>
      </c>
      <c r="J822" s="1">
        <v>71234</v>
      </c>
      <c r="K822" s="2">
        <v>0</v>
      </c>
      <c r="L822" t="s">
        <v>19</v>
      </c>
      <c r="M822" t="s">
        <v>63</v>
      </c>
      <c r="N822" s="7" t="s">
        <v>21</v>
      </c>
      <c r="O822" s="1">
        <f>TBL_Employees3[[#This Row],[Annual Salary]]+TBL_Employees3[[#This Row],[Bonus %]]*TBL_Employees3[[#This Row],[Annual Salary]]</f>
        <v>71234</v>
      </c>
      <c r="P822" t="str">
        <f>IF(AND(TBL_Employees3[[#This Row],[Department]]="IT",TBL_Employees3[[#This Row],[Gender]]="Female"),"Yes","No")</f>
        <v>No</v>
      </c>
      <c r="Q822" t="str">
        <f>IF(AND(TBL_Employees3[[#This Row],[Gender]]="Female",TBL_Employees3[[#This Row],[Ethnicity]]="Black"), "Female_Black", "Others")</f>
        <v>Others</v>
      </c>
      <c r="T822" t="str">
        <v>E03159</v>
      </c>
    </row>
    <row r="823" spans="1:20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7">
        <v>38096</v>
      </c>
      <c r="J823" s="1">
        <v>122487</v>
      </c>
      <c r="K823" s="2">
        <v>0.08</v>
      </c>
      <c r="L823" t="s">
        <v>33</v>
      </c>
      <c r="M823" t="s">
        <v>74</v>
      </c>
      <c r="N823" s="7" t="s">
        <v>21</v>
      </c>
      <c r="O823" s="1">
        <f>TBL_Employees3[[#This Row],[Annual Salary]]+TBL_Employees3[[#This Row],[Bonus %]]*TBL_Employees3[[#This Row],[Annual Salary]]</f>
        <v>132285.96</v>
      </c>
      <c r="P823" t="str">
        <f>IF(AND(TBL_Employees3[[#This Row],[Department]]="IT",TBL_Employees3[[#This Row],[Gender]]="Female"),"Yes","No")</f>
        <v>No</v>
      </c>
      <c r="Q823" t="str">
        <f>IF(AND(TBL_Employees3[[#This Row],[Gender]]="Female",TBL_Employees3[[#This Row],[Ethnicity]]="Black"), "Female_Black", "Others")</f>
        <v>Others</v>
      </c>
      <c r="T823" t="str">
        <v>E01337</v>
      </c>
    </row>
    <row r="824" spans="1:20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7">
        <v>42738</v>
      </c>
      <c r="J824" s="1">
        <v>101870</v>
      </c>
      <c r="K824" s="2">
        <v>0.1</v>
      </c>
      <c r="L824" t="s">
        <v>19</v>
      </c>
      <c r="M824" t="s">
        <v>39</v>
      </c>
      <c r="N824" s="7" t="s">
        <v>21</v>
      </c>
      <c r="O824" s="1">
        <f>TBL_Employees3[[#This Row],[Annual Salary]]+TBL_Employees3[[#This Row],[Bonus %]]*TBL_Employees3[[#This Row],[Annual Salary]]</f>
        <v>112057</v>
      </c>
      <c r="P824" t="str">
        <f>IF(AND(TBL_Employees3[[#This Row],[Department]]="IT",TBL_Employees3[[#This Row],[Gender]]="Female"),"Yes","No")</f>
        <v>No</v>
      </c>
      <c r="Q824" t="str">
        <f>IF(AND(TBL_Employees3[[#This Row],[Gender]]="Female",TBL_Employees3[[#This Row],[Ethnicity]]="Black"), "Female_Black", "Others")</f>
        <v>Others</v>
      </c>
      <c r="T824" t="str">
        <v>E00102</v>
      </c>
    </row>
    <row r="825" spans="1:20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7">
        <v>44009</v>
      </c>
      <c r="J825" s="1">
        <v>40316</v>
      </c>
      <c r="K825" s="2">
        <v>0</v>
      </c>
      <c r="L825" t="s">
        <v>52</v>
      </c>
      <c r="M825" t="s">
        <v>81</v>
      </c>
      <c r="N825" s="7" t="s">
        <v>21</v>
      </c>
      <c r="O825" s="1">
        <f>TBL_Employees3[[#This Row],[Annual Salary]]+TBL_Employees3[[#This Row],[Bonus %]]*TBL_Employees3[[#This Row],[Annual Salary]]</f>
        <v>40316</v>
      </c>
      <c r="P825" t="str">
        <f>IF(AND(TBL_Employees3[[#This Row],[Department]]="IT",TBL_Employees3[[#This Row],[Gender]]="Female"),"Yes","No")</f>
        <v>No</v>
      </c>
      <c r="Q825" t="str">
        <f>IF(AND(TBL_Employees3[[#This Row],[Gender]]="Female",TBL_Employees3[[#This Row],[Ethnicity]]="Black"), "Female_Black", "Others")</f>
        <v>Others</v>
      </c>
      <c r="T825" t="str">
        <v>E03637</v>
      </c>
    </row>
    <row r="826" spans="1:20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7">
        <v>38391</v>
      </c>
      <c r="J826" s="1">
        <v>115145</v>
      </c>
      <c r="K826" s="2">
        <v>0.05</v>
      </c>
      <c r="L826" t="s">
        <v>33</v>
      </c>
      <c r="M826" t="s">
        <v>80</v>
      </c>
      <c r="N826" s="7" t="s">
        <v>21</v>
      </c>
      <c r="O826" s="1">
        <f>TBL_Employees3[[#This Row],[Annual Salary]]+TBL_Employees3[[#This Row],[Bonus %]]*TBL_Employees3[[#This Row],[Annual Salary]]</f>
        <v>120902.25</v>
      </c>
      <c r="P826" t="str">
        <f>IF(AND(TBL_Employees3[[#This Row],[Department]]="IT",TBL_Employees3[[#This Row],[Gender]]="Female"),"Yes","No")</f>
        <v>Yes</v>
      </c>
      <c r="Q826" t="str">
        <f>IF(AND(TBL_Employees3[[#This Row],[Gender]]="Female",TBL_Employees3[[#This Row],[Ethnicity]]="Black"), "Female_Black", "Others")</f>
        <v>Others</v>
      </c>
      <c r="T826" t="str">
        <v>E03455</v>
      </c>
    </row>
    <row r="827" spans="1:20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7">
        <v>39885</v>
      </c>
      <c r="J827" s="1">
        <v>62335</v>
      </c>
      <c r="K827" s="2">
        <v>0</v>
      </c>
      <c r="L827" t="s">
        <v>52</v>
      </c>
      <c r="M827" t="s">
        <v>81</v>
      </c>
      <c r="N827" s="7" t="s">
        <v>21</v>
      </c>
      <c r="O827" s="1">
        <f>TBL_Employees3[[#This Row],[Annual Salary]]+TBL_Employees3[[#This Row],[Bonus %]]*TBL_Employees3[[#This Row],[Annual Salary]]</f>
        <v>62335</v>
      </c>
      <c r="P827" t="str">
        <f>IF(AND(TBL_Employees3[[#This Row],[Department]]="IT",TBL_Employees3[[#This Row],[Gender]]="Female"),"Yes","No")</f>
        <v>Yes</v>
      </c>
      <c r="Q827" t="str">
        <f>IF(AND(TBL_Employees3[[#This Row],[Gender]]="Female",TBL_Employees3[[#This Row],[Ethnicity]]="Black"), "Female_Black", "Others")</f>
        <v>Others</v>
      </c>
      <c r="T827" t="str">
        <v>E01225</v>
      </c>
    </row>
    <row r="828" spans="1:20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7">
        <v>38847</v>
      </c>
      <c r="J828" s="1">
        <v>41561</v>
      </c>
      <c r="K828" s="2">
        <v>0</v>
      </c>
      <c r="L828" t="s">
        <v>19</v>
      </c>
      <c r="M828" t="s">
        <v>25</v>
      </c>
      <c r="N828" s="7" t="s">
        <v>21</v>
      </c>
      <c r="O828" s="1">
        <f>TBL_Employees3[[#This Row],[Annual Salary]]+TBL_Employees3[[#This Row],[Bonus %]]*TBL_Employees3[[#This Row],[Annual Salary]]</f>
        <v>41561</v>
      </c>
      <c r="P828" t="str">
        <f>IF(AND(TBL_Employees3[[#This Row],[Department]]="IT",TBL_Employees3[[#This Row],[Gender]]="Female"),"Yes","No")</f>
        <v>No</v>
      </c>
      <c r="Q828" t="str">
        <f>IF(AND(TBL_Employees3[[#This Row],[Gender]]="Female",TBL_Employees3[[#This Row],[Ethnicity]]="Black"), "Female_Black", "Others")</f>
        <v>Others</v>
      </c>
      <c r="T828" t="str">
        <v>E01264</v>
      </c>
    </row>
    <row r="829" spans="1:20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7">
        <v>40657</v>
      </c>
      <c r="J829" s="1">
        <v>131183</v>
      </c>
      <c r="K829" s="2">
        <v>0.14000000000000001</v>
      </c>
      <c r="L829" t="s">
        <v>33</v>
      </c>
      <c r="M829" t="s">
        <v>74</v>
      </c>
      <c r="N829" s="7">
        <v>42445</v>
      </c>
      <c r="O829" s="1">
        <f>TBL_Employees3[[#This Row],[Annual Salary]]+TBL_Employees3[[#This Row],[Bonus %]]*TBL_Employees3[[#This Row],[Annual Salary]]</f>
        <v>149548.62</v>
      </c>
      <c r="P829" t="str">
        <f>IF(AND(TBL_Employees3[[#This Row],[Department]]="IT",TBL_Employees3[[#This Row],[Gender]]="Female"),"Yes","No")</f>
        <v>No</v>
      </c>
      <c r="Q829" t="str">
        <f>IF(AND(TBL_Employees3[[#This Row],[Gender]]="Female",TBL_Employees3[[#This Row],[Ethnicity]]="Black"), "Female_Black", "Others")</f>
        <v>Others</v>
      </c>
      <c r="T829" t="str">
        <v>E02274</v>
      </c>
    </row>
    <row r="830" spans="1:20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7">
        <v>37445</v>
      </c>
      <c r="J830" s="1">
        <v>92655</v>
      </c>
      <c r="K830" s="2">
        <v>0</v>
      </c>
      <c r="L830" t="s">
        <v>33</v>
      </c>
      <c r="M830" t="s">
        <v>34</v>
      </c>
      <c r="N830" s="7" t="s">
        <v>21</v>
      </c>
      <c r="O830" s="1">
        <f>TBL_Employees3[[#This Row],[Annual Salary]]+TBL_Employees3[[#This Row],[Bonus %]]*TBL_Employees3[[#This Row],[Annual Salary]]</f>
        <v>92655</v>
      </c>
      <c r="P830" t="str">
        <f>IF(AND(TBL_Employees3[[#This Row],[Department]]="IT",TBL_Employees3[[#This Row],[Gender]]="Female"),"Yes","No")</f>
        <v>Yes</v>
      </c>
      <c r="Q830" t="str">
        <f>IF(AND(TBL_Employees3[[#This Row],[Gender]]="Female",TBL_Employees3[[#This Row],[Ethnicity]]="Black"), "Female_Black", "Others")</f>
        <v>Others</v>
      </c>
      <c r="T830" t="str">
        <v>E00480</v>
      </c>
    </row>
    <row r="831" spans="1:20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7">
        <v>35157</v>
      </c>
      <c r="J831" s="1">
        <v>157057</v>
      </c>
      <c r="K831" s="2">
        <v>0.12</v>
      </c>
      <c r="L831" t="s">
        <v>19</v>
      </c>
      <c r="M831" t="s">
        <v>45</v>
      </c>
      <c r="N831" s="7" t="s">
        <v>21</v>
      </c>
      <c r="O831" s="1">
        <f>TBL_Employees3[[#This Row],[Annual Salary]]+TBL_Employees3[[#This Row],[Bonus %]]*TBL_Employees3[[#This Row],[Annual Salary]]</f>
        <v>175903.84</v>
      </c>
      <c r="P831" t="str">
        <f>IF(AND(TBL_Employees3[[#This Row],[Department]]="IT",TBL_Employees3[[#This Row],[Gender]]="Female"),"Yes","No")</f>
        <v>No</v>
      </c>
      <c r="Q831" t="str">
        <f>IF(AND(TBL_Employees3[[#This Row],[Gender]]="Female",TBL_Employees3[[#This Row],[Ethnicity]]="Black"), "Female_Black", "Others")</f>
        <v>Others</v>
      </c>
      <c r="T831" t="str">
        <v>E00203</v>
      </c>
    </row>
    <row r="832" spans="1:20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7">
        <v>38392</v>
      </c>
      <c r="J832" s="1">
        <v>64462</v>
      </c>
      <c r="K832" s="2">
        <v>0</v>
      </c>
      <c r="L832" t="s">
        <v>19</v>
      </c>
      <c r="M832" t="s">
        <v>20</v>
      </c>
      <c r="N832" s="7" t="s">
        <v>21</v>
      </c>
      <c r="O832" s="1">
        <f>TBL_Employees3[[#This Row],[Annual Salary]]+TBL_Employees3[[#This Row],[Bonus %]]*TBL_Employees3[[#This Row],[Annual Salary]]</f>
        <v>64462</v>
      </c>
      <c r="P832" t="str">
        <f>IF(AND(TBL_Employees3[[#This Row],[Department]]="IT",TBL_Employees3[[#This Row],[Gender]]="Female"),"Yes","No")</f>
        <v>Yes</v>
      </c>
      <c r="Q832" t="str">
        <f>IF(AND(TBL_Employees3[[#This Row],[Gender]]="Female",TBL_Employees3[[#This Row],[Ethnicity]]="Black"), "Female_Black", "Others")</f>
        <v>Others</v>
      </c>
      <c r="T832" t="str">
        <v>E00647</v>
      </c>
    </row>
    <row r="833" spans="1:20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7">
        <v>38632</v>
      </c>
      <c r="J833" s="1">
        <v>79352</v>
      </c>
      <c r="K833" s="2">
        <v>0</v>
      </c>
      <c r="L833" t="s">
        <v>19</v>
      </c>
      <c r="M833" t="s">
        <v>63</v>
      </c>
      <c r="N833" s="7" t="s">
        <v>21</v>
      </c>
      <c r="O833" s="1">
        <f>TBL_Employees3[[#This Row],[Annual Salary]]+TBL_Employees3[[#This Row],[Bonus %]]*TBL_Employees3[[#This Row],[Annual Salary]]</f>
        <v>79352</v>
      </c>
      <c r="P833" t="str">
        <f>IF(AND(TBL_Employees3[[#This Row],[Department]]="IT",TBL_Employees3[[#This Row],[Gender]]="Female"),"Yes","No")</f>
        <v>No</v>
      </c>
      <c r="Q833" t="str">
        <f>IF(AND(TBL_Employees3[[#This Row],[Gender]]="Female",TBL_Employees3[[#This Row],[Ethnicity]]="Black"), "Female_Black", "Others")</f>
        <v>Others</v>
      </c>
      <c r="T833" t="str">
        <v>E03296</v>
      </c>
    </row>
    <row r="834" spans="1:20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7">
        <v>36977</v>
      </c>
      <c r="J834" s="1">
        <v>157812</v>
      </c>
      <c r="K834" s="2">
        <v>0.11</v>
      </c>
      <c r="L834" t="s">
        <v>19</v>
      </c>
      <c r="M834" t="s">
        <v>45</v>
      </c>
      <c r="N834" s="7" t="s">
        <v>21</v>
      </c>
      <c r="O834" s="1">
        <f>TBL_Employees3[[#This Row],[Annual Salary]]+TBL_Employees3[[#This Row],[Bonus %]]*TBL_Employees3[[#This Row],[Annual Salary]]</f>
        <v>175171.32</v>
      </c>
      <c r="P834" t="str">
        <f>IF(AND(TBL_Employees3[[#This Row],[Department]]="IT",TBL_Employees3[[#This Row],[Gender]]="Female"),"Yes","No")</f>
        <v>No</v>
      </c>
      <c r="Q834" t="str">
        <f>IF(AND(TBL_Employees3[[#This Row],[Gender]]="Female",TBL_Employees3[[#This Row],[Ethnicity]]="Black"), "Female_Black", "Others")</f>
        <v>Others</v>
      </c>
      <c r="T834" t="str">
        <v>E02453</v>
      </c>
    </row>
    <row r="835" spans="1:20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7">
        <v>43354</v>
      </c>
      <c r="J835" s="1">
        <v>80745</v>
      </c>
      <c r="K835" s="2">
        <v>0</v>
      </c>
      <c r="L835" t="s">
        <v>19</v>
      </c>
      <c r="M835" t="s">
        <v>20</v>
      </c>
      <c r="N835" s="7" t="s">
        <v>21</v>
      </c>
      <c r="O835" s="1">
        <f>TBL_Employees3[[#This Row],[Annual Salary]]+TBL_Employees3[[#This Row],[Bonus %]]*TBL_Employees3[[#This Row],[Annual Salary]]</f>
        <v>80745</v>
      </c>
      <c r="P835" t="str">
        <f>IF(AND(TBL_Employees3[[#This Row],[Department]]="IT",TBL_Employees3[[#This Row],[Gender]]="Female"),"Yes","No")</f>
        <v>No</v>
      </c>
      <c r="Q835" t="str">
        <f>IF(AND(TBL_Employees3[[#This Row],[Gender]]="Female",TBL_Employees3[[#This Row],[Ethnicity]]="Black"), "Female_Black", "Others")</f>
        <v>Others</v>
      </c>
      <c r="T835" t="str">
        <v>E02522</v>
      </c>
    </row>
    <row r="836" spans="1:20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7">
        <v>35113</v>
      </c>
      <c r="J836" s="1">
        <v>75354</v>
      </c>
      <c r="K836" s="2">
        <v>0</v>
      </c>
      <c r="L836" t="s">
        <v>19</v>
      </c>
      <c r="M836" t="s">
        <v>25</v>
      </c>
      <c r="N836" s="7">
        <v>35413</v>
      </c>
      <c r="O836" s="1">
        <f>TBL_Employees3[[#This Row],[Annual Salary]]+TBL_Employees3[[#This Row],[Bonus %]]*TBL_Employees3[[#This Row],[Annual Salary]]</f>
        <v>75354</v>
      </c>
      <c r="P836" t="str">
        <f>IF(AND(TBL_Employees3[[#This Row],[Department]]="IT",TBL_Employees3[[#This Row],[Gender]]="Female"),"Yes","No")</f>
        <v>Yes</v>
      </c>
      <c r="Q836" t="str">
        <f>IF(AND(TBL_Employees3[[#This Row],[Gender]]="Female",TBL_Employees3[[#This Row],[Ethnicity]]="Black"), "Female_Black", "Others")</f>
        <v>Others</v>
      </c>
      <c r="T836" t="str">
        <v>E00459</v>
      </c>
    </row>
    <row r="837" spans="1:20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7">
        <v>43363</v>
      </c>
      <c r="J837" s="1">
        <v>78938</v>
      </c>
      <c r="K837" s="2">
        <v>0.14000000000000001</v>
      </c>
      <c r="L837" t="s">
        <v>19</v>
      </c>
      <c r="M837" t="s">
        <v>39</v>
      </c>
      <c r="N837" s="7" t="s">
        <v>21</v>
      </c>
      <c r="O837" s="1">
        <f>TBL_Employees3[[#This Row],[Annual Salary]]+TBL_Employees3[[#This Row],[Bonus %]]*TBL_Employees3[[#This Row],[Annual Salary]]</f>
        <v>89989.32</v>
      </c>
      <c r="P837" t="str">
        <f>IF(AND(TBL_Employees3[[#This Row],[Department]]="IT",TBL_Employees3[[#This Row],[Gender]]="Female"),"Yes","No")</f>
        <v>No</v>
      </c>
      <c r="Q837" t="str">
        <f>IF(AND(TBL_Employees3[[#This Row],[Gender]]="Female",TBL_Employees3[[#This Row],[Ethnicity]]="Black"), "Female_Black", "Others")</f>
        <v>Others</v>
      </c>
      <c r="T837" t="str">
        <v>E03007</v>
      </c>
    </row>
    <row r="838" spans="1:20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7">
        <v>39701</v>
      </c>
      <c r="J838" s="1">
        <v>96313</v>
      </c>
      <c r="K838" s="2">
        <v>0</v>
      </c>
      <c r="L838" t="s">
        <v>19</v>
      </c>
      <c r="M838" t="s">
        <v>25</v>
      </c>
      <c r="N838" s="7" t="s">
        <v>21</v>
      </c>
      <c r="O838" s="1">
        <f>TBL_Employees3[[#This Row],[Annual Salary]]+TBL_Employees3[[#This Row],[Bonus %]]*TBL_Employees3[[#This Row],[Annual Salary]]</f>
        <v>96313</v>
      </c>
      <c r="P838" t="str">
        <f>IF(AND(TBL_Employees3[[#This Row],[Department]]="IT",TBL_Employees3[[#This Row],[Gender]]="Female"),"Yes","No")</f>
        <v>No</v>
      </c>
      <c r="Q838" t="str">
        <f>IF(AND(TBL_Employees3[[#This Row],[Gender]]="Female",TBL_Employees3[[#This Row],[Ethnicity]]="Black"), "Female_Black", "Others")</f>
        <v>Others</v>
      </c>
      <c r="T838" t="str">
        <v>E03863</v>
      </c>
    </row>
    <row r="839" spans="1:20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7">
        <v>40511</v>
      </c>
      <c r="J839" s="1">
        <v>153767</v>
      </c>
      <c r="K839" s="2">
        <v>0.27</v>
      </c>
      <c r="L839" t="s">
        <v>19</v>
      </c>
      <c r="M839" t="s">
        <v>39</v>
      </c>
      <c r="N839" s="7" t="s">
        <v>21</v>
      </c>
      <c r="O839" s="1">
        <f>TBL_Employees3[[#This Row],[Annual Salary]]+TBL_Employees3[[#This Row],[Bonus %]]*TBL_Employees3[[#This Row],[Annual Salary]]</f>
        <v>195284.09</v>
      </c>
      <c r="P839" t="str">
        <f>IF(AND(TBL_Employees3[[#This Row],[Department]]="IT",TBL_Employees3[[#This Row],[Gender]]="Female"),"Yes","No")</f>
        <v>No</v>
      </c>
      <c r="Q839" t="str">
        <f>IF(AND(TBL_Employees3[[#This Row],[Gender]]="Female",TBL_Employees3[[#This Row],[Ethnicity]]="Black"), "Female_Black", "Others")</f>
        <v>Others</v>
      </c>
      <c r="T839" t="str">
        <v>E02710</v>
      </c>
    </row>
    <row r="840" spans="1:20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7">
        <v>42266</v>
      </c>
      <c r="J840" s="1">
        <v>103423</v>
      </c>
      <c r="K840" s="2">
        <v>0.06</v>
      </c>
      <c r="L840" t="s">
        <v>19</v>
      </c>
      <c r="M840" t="s">
        <v>29</v>
      </c>
      <c r="N840" s="7" t="s">
        <v>21</v>
      </c>
      <c r="O840" s="1">
        <f>TBL_Employees3[[#This Row],[Annual Salary]]+TBL_Employees3[[#This Row],[Bonus %]]*TBL_Employees3[[#This Row],[Annual Salary]]</f>
        <v>109628.38</v>
      </c>
      <c r="P840" t="str">
        <f>IF(AND(TBL_Employees3[[#This Row],[Department]]="IT",TBL_Employees3[[#This Row],[Gender]]="Female"),"Yes","No")</f>
        <v>No</v>
      </c>
      <c r="Q840" t="str">
        <f>IF(AND(TBL_Employees3[[#This Row],[Gender]]="Female",TBL_Employees3[[#This Row],[Ethnicity]]="Black"), "Female_Black", "Others")</f>
        <v>Female_Black</v>
      </c>
      <c r="T840" t="str">
        <v>E01339</v>
      </c>
    </row>
    <row r="841" spans="1:20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7">
        <v>44370</v>
      </c>
      <c r="J841" s="1">
        <v>86464</v>
      </c>
      <c r="K841" s="2">
        <v>0</v>
      </c>
      <c r="L841" t="s">
        <v>33</v>
      </c>
      <c r="M841" t="s">
        <v>74</v>
      </c>
      <c r="N841" s="7" t="s">
        <v>21</v>
      </c>
      <c r="O841" s="1">
        <f>TBL_Employees3[[#This Row],[Annual Salary]]+TBL_Employees3[[#This Row],[Bonus %]]*TBL_Employees3[[#This Row],[Annual Salary]]</f>
        <v>86464</v>
      </c>
      <c r="P841" t="str">
        <f>IF(AND(TBL_Employees3[[#This Row],[Department]]="IT",TBL_Employees3[[#This Row],[Gender]]="Female"),"Yes","No")</f>
        <v>No</v>
      </c>
      <c r="Q841" t="str">
        <f>IF(AND(TBL_Employees3[[#This Row],[Gender]]="Female",TBL_Employees3[[#This Row],[Ethnicity]]="Black"), "Female_Black", "Others")</f>
        <v>Others</v>
      </c>
      <c r="T841" t="str">
        <v>E03379</v>
      </c>
    </row>
    <row r="842" spans="1:20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7">
        <v>43114</v>
      </c>
      <c r="J842" s="1">
        <v>80516</v>
      </c>
      <c r="K842" s="2">
        <v>0</v>
      </c>
      <c r="L842" t="s">
        <v>52</v>
      </c>
      <c r="M842" t="s">
        <v>53</v>
      </c>
      <c r="N842" s="7" t="s">
        <v>21</v>
      </c>
      <c r="O842" s="1">
        <f>TBL_Employees3[[#This Row],[Annual Salary]]+TBL_Employees3[[#This Row],[Bonus %]]*TBL_Employees3[[#This Row],[Annual Salary]]</f>
        <v>80516</v>
      </c>
      <c r="P842" t="str">
        <f>IF(AND(TBL_Employees3[[#This Row],[Department]]="IT",TBL_Employees3[[#This Row],[Gender]]="Female"),"Yes","No")</f>
        <v>No</v>
      </c>
      <c r="Q842" t="str">
        <f>IF(AND(TBL_Employees3[[#This Row],[Gender]]="Female",TBL_Employees3[[#This Row],[Ethnicity]]="Black"), "Female_Black", "Others")</f>
        <v>Others</v>
      </c>
      <c r="T842" t="str">
        <v>E02153</v>
      </c>
    </row>
    <row r="843" spans="1:20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7">
        <v>41507</v>
      </c>
      <c r="J843" s="1">
        <v>105390</v>
      </c>
      <c r="K843" s="2">
        <v>0.06</v>
      </c>
      <c r="L843" t="s">
        <v>19</v>
      </c>
      <c r="M843" t="s">
        <v>29</v>
      </c>
      <c r="N843" s="7" t="s">
        <v>21</v>
      </c>
      <c r="O843" s="1">
        <f>TBL_Employees3[[#This Row],[Annual Salary]]+TBL_Employees3[[#This Row],[Bonus %]]*TBL_Employees3[[#This Row],[Annual Salary]]</f>
        <v>111713.4</v>
      </c>
      <c r="P843" t="str">
        <f>IF(AND(TBL_Employees3[[#This Row],[Department]]="IT",TBL_Employees3[[#This Row],[Gender]]="Female"),"Yes","No")</f>
        <v>No</v>
      </c>
      <c r="Q843" t="str">
        <f>IF(AND(TBL_Employees3[[#This Row],[Gender]]="Female",TBL_Employees3[[#This Row],[Ethnicity]]="Black"), "Female_Black", "Others")</f>
        <v>Female_Black</v>
      </c>
      <c r="T843" t="str">
        <v>E00994</v>
      </c>
    </row>
    <row r="844" spans="1:20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7">
        <v>44445</v>
      </c>
      <c r="J844" s="1">
        <v>83418</v>
      </c>
      <c r="K844" s="2">
        <v>0</v>
      </c>
      <c r="L844" t="s">
        <v>33</v>
      </c>
      <c r="M844" t="s">
        <v>74</v>
      </c>
      <c r="N844" s="7" t="s">
        <v>21</v>
      </c>
      <c r="O844" s="1">
        <f>TBL_Employees3[[#This Row],[Annual Salary]]+TBL_Employees3[[#This Row],[Bonus %]]*TBL_Employees3[[#This Row],[Annual Salary]]</f>
        <v>83418</v>
      </c>
      <c r="P844" t="str">
        <f>IF(AND(TBL_Employees3[[#This Row],[Department]]="IT",TBL_Employees3[[#This Row],[Gender]]="Female"),"Yes","No")</f>
        <v>Yes</v>
      </c>
      <c r="Q844" t="str">
        <f>IF(AND(TBL_Employees3[[#This Row],[Gender]]="Female",TBL_Employees3[[#This Row],[Ethnicity]]="Black"), "Female_Black", "Others")</f>
        <v>Others</v>
      </c>
      <c r="T844" t="str">
        <v>E00943</v>
      </c>
    </row>
    <row r="845" spans="1:20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7">
        <v>43042</v>
      </c>
      <c r="J845" s="1">
        <v>66660</v>
      </c>
      <c r="K845" s="2">
        <v>0</v>
      </c>
      <c r="L845" t="s">
        <v>19</v>
      </c>
      <c r="M845" t="s">
        <v>25</v>
      </c>
      <c r="N845" s="7" t="s">
        <v>21</v>
      </c>
      <c r="O845" s="1">
        <f>TBL_Employees3[[#This Row],[Annual Salary]]+TBL_Employees3[[#This Row],[Bonus %]]*TBL_Employees3[[#This Row],[Annual Salary]]</f>
        <v>66660</v>
      </c>
      <c r="P845" t="str">
        <f>IF(AND(TBL_Employees3[[#This Row],[Department]]="IT",TBL_Employees3[[#This Row],[Gender]]="Female"),"Yes","No")</f>
        <v>Yes</v>
      </c>
      <c r="Q845" t="str">
        <f>IF(AND(TBL_Employees3[[#This Row],[Gender]]="Female",TBL_Employees3[[#This Row],[Ethnicity]]="Black"), "Female_Black", "Others")</f>
        <v>Others</v>
      </c>
      <c r="T845" t="str">
        <v>E00869</v>
      </c>
    </row>
    <row r="846" spans="1:20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7">
        <v>42165</v>
      </c>
      <c r="J846" s="1">
        <v>101985</v>
      </c>
      <c r="K846" s="2">
        <v>7.0000000000000007E-2</v>
      </c>
      <c r="L846" t="s">
        <v>19</v>
      </c>
      <c r="M846" t="s">
        <v>45</v>
      </c>
      <c r="N846" s="7" t="s">
        <v>21</v>
      </c>
      <c r="O846" s="1">
        <f>TBL_Employees3[[#This Row],[Annual Salary]]+TBL_Employees3[[#This Row],[Bonus %]]*TBL_Employees3[[#This Row],[Annual Salary]]</f>
        <v>109123.95</v>
      </c>
      <c r="P846" t="str">
        <f>IF(AND(TBL_Employees3[[#This Row],[Department]]="IT",TBL_Employees3[[#This Row],[Gender]]="Female"),"Yes","No")</f>
        <v>No</v>
      </c>
      <c r="Q846" t="str">
        <f>IF(AND(TBL_Employees3[[#This Row],[Gender]]="Female",TBL_Employees3[[#This Row],[Ethnicity]]="Black"), "Female_Black", "Others")</f>
        <v>Others</v>
      </c>
      <c r="T846" t="str">
        <v>E03457</v>
      </c>
    </row>
    <row r="847" spans="1:20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7">
        <v>43439</v>
      </c>
      <c r="J847" s="1">
        <v>199504</v>
      </c>
      <c r="K847" s="2">
        <v>0.3</v>
      </c>
      <c r="L847" t="s">
        <v>19</v>
      </c>
      <c r="M847" t="s">
        <v>25</v>
      </c>
      <c r="N847" s="7" t="s">
        <v>21</v>
      </c>
      <c r="O847" s="1">
        <f>TBL_Employees3[[#This Row],[Annual Salary]]+TBL_Employees3[[#This Row],[Bonus %]]*TBL_Employees3[[#This Row],[Annual Salary]]</f>
        <v>259355.2</v>
      </c>
      <c r="P847" t="str">
        <f>IF(AND(TBL_Employees3[[#This Row],[Department]]="IT",TBL_Employees3[[#This Row],[Gender]]="Female"),"Yes","No")</f>
        <v>No</v>
      </c>
      <c r="Q847" t="str">
        <f>IF(AND(TBL_Employees3[[#This Row],[Gender]]="Female",TBL_Employees3[[#This Row],[Ethnicity]]="Black"), "Female_Black", "Others")</f>
        <v>Others</v>
      </c>
      <c r="T847" t="str">
        <v>E02193</v>
      </c>
    </row>
    <row r="848" spans="1:20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7">
        <v>38995</v>
      </c>
      <c r="J848" s="1">
        <v>147966</v>
      </c>
      <c r="K848" s="2">
        <v>0.11</v>
      </c>
      <c r="L848" t="s">
        <v>52</v>
      </c>
      <c r="M848" t="s">
        <v>66</v>
      </c>
      <c r="N848" s="7">
        <v>43608</v>
      </c>
      <c r="O848" s="1">
        <f>TBL_Employees3[[#This Row],[Annual Salary]]+TBL_Employees3[[#This Row],[Bonus %]]*TBL_Employees3[[#This Row],[Annual Salary]]</f>
        <v>164242.26</v>
      </c>
      <c r="P848" t="str">
        <f>IF(AND(TBL_Employees3[[#This Row],[Department]]="IT",TBL_Employees3[[#This Row],[Gender]]="Female"),"Yes","No")</f>
        <v>No</v>
      </c>
      <c r="Q848" t="str">
        <f>IF(AND(TBL_Employees3[[#This Row],[Gender]]="Female",TBL_Employees3[[#This Row],[Ethnicity]]="Black"), "Female_Black", "Others")</f>
        <v>Others</v>
      </c>
      <c r="T848" t="str">
        <v>E00577</v>
      </c>
    </row>
    <row r="849" spans="1:20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7">
        <v>41810</v>
      </c>
      <c r="J849" s="1">
        <v>41728</v>
      </c>
      <c r="K849" s="2">
        <v>0</v>
      </c>
      <c r="L849" t="s">
        <v>33</v>
      </c>
      <c r="M849" t="s">
        <v>80</v>
      </c>
      <c r="N849" s="7" t="s">
        <v>21</v>
      </c>
      <c r="O849" s="1">
        <f>TBL_Employees3[[#This Row],[Annual Salary]]+TBL_Employees3[[#This Row],[Bonus %]]*TBL_Employees3[[#This Row],[Annual Salary]]</f>
        <v>41728</v>
      </c>
      <c r="P849" t="str">
        <f>IF(AND(TBL_Employees3[[#This Row],[Department]]="IT",TBL_Employees3[[#This Row],[Gender]]="Female"),"Yes","No")</f>
        <v>No</v>
      </c>
      <c r="Q849" t="str">
        <f>IF(AND(TBL_Employees3[[#This Row],[Gender]]="Female",TBL_Employees3[[#This Row],[Ethnicity]]="Black"), "Female_Black", "Others")</f>
        <v>Others</v>
      </c>
      <c r="T849" t="str">
        <v>E00538</v>
      </c>
    </row>
    <row r="850" spans="1:20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7">
        <v>40591</v>
      </c>
      <c r="J850" s="1">
        <v>94422</v>
      </c>
      <c r="K850" s="2">
        <v>0</v>
      </c>
      <c r="L850" t="s">
        <v>19</v>
      </c>
      <c r="M850" t="s">
        <v>39</v>
      </c>
      <c r="N850" s="7" t="s">
        <v>21</v>
      </c>
      <c r="O850" s="1">
        <f>TBL_Employees3[[#This Row],[Annual Salary]]+TBL_Employees3[[#This Row],[Bonus %]]*TBL_Employees3[[#This Row],[Annual Salary]]</f>
        <v>94422</v>
      </c>
      <c r="P850" t="str">
        <f>IF(AND(TBL_Employees3[[#This Row],[Department]]="IT",TBL_Employees3[[#This Row],[Gender]]="Female"),"Yes","No")</f>
        <v>No</v>
      </c>
      <c r="Q850" t="str">
        <f>IF(AND(TBL_Employees3[[#This Row],[Gender]]="Female",TBL_Employees3[[#This Row],[Ethnicity]]="Black"), "Female_Black", "Others")</f>
        <v>Others</v>
      </c>
      <c r="T850" t="str">
        <v>E01415</v>
      </c>
    </row>
    <row r="851" spans="1:20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7">
        <v>42184</v>
      </c>
      <c r="J851" s="1">
        <v>191026</v>
      </c>
      <c r="K851" s="2">
        <v>0.16</v>
      </c>
      <c r="L851" t="s">
        <v>19</v>
      </c>
      <c r="M851" t="s">
        <v>29</v>
      </c>
      <c r="N851" s="7" t="s">
        <v>21</v>
      </c>
      <c r="O851" s="1">
        <f>TBL_Employees3[[#This Row],[Annual Salary]]+TBL_Employees3[[#This Row],[Bonus %]]*TBL_Employees3[[#This Row],[Annual Salary]]</f>
        <v>221590.16</v>
      </c>
      <c r="P851" t="str">
        <f>IF(AND(TBL_Employees3[[#This Row],[Department]]="IT",TBL_Employees3[[#This Row],[Gender]]="Female"),"Yes","No")</f>
        <v>No</v>
      </c>
      <c r="Q851" t="str">
        <f>IF(AND(TBL_Employees3[[#This Row],[Gender]]="Female",TBL_Employees3[[#This Row],[Ethnicity]]="Black"), "Female_Black", "Others")</f>
        <v>Others</v>
      </c>
      <c r="T851" t="str">
        <v>E00225</v>
      </c>
    </row>
    <row r="852" spans="1:20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7">
        <v>40511</v>
      </c>
      <c r="J852" s="1">
        <v>186725</v>
      </c>
      <c r="K852" s="2">
        <v>0.32</v>
      </c>
      <c r="L852" t="s">
        <v>52</v>
      </c>
      <c r="M852" t="s">
        <v>81</v>
      </c>
      <c r="N852" s="7" t="s">
        <v>21</v>
      </c>
      <c r="O852" s="1">
        <f>TBL_Employees3[[#This Row],[Annual Salary]]+TBL_Employees3[[#This Row],[Bonus %]]*TBL_Employees3[[#This Row],[Annual Salary]]</f>
        <v>246477</v>
      </c>
      <c r="P852" t="str">
        <f>IF(AND(TBL_Employees3[[#This Row],[Department]]="IT",TBL_Employees3[[#This Row],[Gender]]="Female"),"Yes","No")</f>
        <v>No</v>
      </c>
      <c r="Q852" t="str">
        <f>IF(AND(TBL_Employees3[[#This Row],[Gender]]="Female",TBL_Employees3[[#This Row],[Ethnicity]]="Black"), "Female_Black", "Others")</f>
        <v>Others</v>
      </c>
      <c r="T852" t="str">
        <v>E02889</v>
      </c>
    </row>
    <row r="853" spans="1:20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7">
        <v>40045</v>
      </c>
      <c r="J853" s="1">
        <v>52800</v>
      </c>
      <c r="K853" s="2">
        <v>0</v>
      </c>
      <c r="L853" t="s">
        <v>19</v>
      </c>
      <c r="M853" t="s">
        <v>39</v>
      </c>
      <c r="N853" s="7" t="s">
        <v>21</v>
      </c>
      <c r="O853" s="1">
        <f>TBL_Employees3[[#This Row],[Annual Salary]]+TBL_Employees3[[#This Row],[Bonus %]]*TBL_Employees3[[#This Row],[Annual Salary]]</f>
        <v>52800</v>
      </c>
      <c r="P853" t="str">
        <f>IF(AND(TBL_Employees3[[#This Row],[Department]]="IT",TBL_Employees3[[#This Row],[Gender]]="Female"),"Yes","No")</f>
        <v>No</v>
      </c>
      <c r="Q853" t="str">
        <f>IF(AND(TBL_Employees3[[#This Row],[Gender]]="Female",TBL_Employees3[[#This Row],[Ethnicity]]="Black"), "Female_Black", "Others")</f>
        <v>Others</v>
      </c>
      <c r="T853" t="str">
        <v>E04978</v>
      </c>
    </row>
    <row r="854" spans="1:20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7">
        <v>40517</v>
      </c>
      <c r="J854" s="1">
        <v>113982</v>
      </c>
      <c r="K854" s="2">
        <v>0</v>
      </c>
      <c r="L854" t="s">
        <v>19</v>
      </c>
      <c r="M854" t="s">
        <v>63</v>
      </c>
      <c r="N854" s="7" t="s">
        <v>21</v>
      </c>
      <c r="O854" s="1">
        <f>TBL_Employees3[[#This Row],[Annual Salary]]+TBL_Employees3[[#This Row],[Bonus %]]*TBL_Employees3[[#This Row],[Annual Salary]]</f>
        <v>113982</v>
      </c>
      <c r="P854" t="str">
        <f>IF(AND(TBL_Employees3[[#This Row],[Department]]="IT",TBL_Employees3[[#This Row],[Gender]]="Female"),"Yes","No")</f>
        <v>No</v>
      </c>
      <c r="Q854" t="str">
        <f>IF(AND(TBL_Employees3[[#This Row],[Gender]]="Female",TBL_Employees3[[#This Row],[Ethnicity]]="Black"), "Female_Black", "Others")</f>
        <v>Others</v>
      </c>
      <c r="T854" t="str">
        <v>E04163</v>
      </c>
    </row>
    <row r="855" spans="1:20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7">
        <v>44271</v>
      </c>
      <c r="J855" s="1">
        <v>56239</v>
      </c>
      <c r="K855" s="2">
        <v>0</v>
      </c>
      <c r="L855" t="s">
        <v>33</v>
      </c>
      <c r="M855" t="s">
        <v>80</v>
      </c>
      <c r="N855" s="7" t="s">
        <v>21</v>
      </c>
      <c r="O855" s="1">
        <f>TBL_Employees3[[#This Row],[Annual Salary]]+TBL_Employees3[[#This Row],[Bonus %]]*TBL_Employees3[[#This Row],[Annual Salary]]</f>
        <v>56239</v>
      </c>
      <c r="P855" t="str">
        <f>IF(AND(TBL_Employees3[[#This Row],[Department]]="IT",TBL_Employees3[[#This Row],[Gender]]="Female"),"Yes","No")</f>
        <v>No</v>
      </c>
      <c r="Q855" t="str">
        <f>IF(AND(TBL_Employees3[[#This Row],[Gender]]="Female",TBL_Employees3[[#This Row],[Ethnicity]]="Black"), "Female_Black", "Others")</f>
        <v>Others</v>
      </c>
      <c r="T855" t="str">
        <v>E01652</v>
      </c>
    </row>
    <row r="856" spans="1:20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7">
        <v>44257</v>
      </c>
      <c r="J856" s="1">
        <v>44732</v>
      </c>
      <c r="K856" s="2">
        <v>0</v>
      </c>
      <c r="L856" t="s">
        <v>52</v>
      </c>
      <c r="M856" t="s">
        <v>66</v>
      </c>
      <c r="N856" s="7" t="s">
        <v>21</v>
      </c>
      <c r="O856" s="1">
        <f>TBL_Employees3[[#This Row],[Annual Salary]]+TBL_Employees3[[#This Row],[Bonus %]]*TBL_Employees3[[#This Row],[Annual Salary]]</f>
        <v>44732</v>
      </c>
      <c r="P856" t="str">
        <f>IF(AND(TBL_Employees3[[#This Row],[Department]]="IT",TBL_Employees3[[#This Row],[Gender]]="Female"),"Yes","No")</f>
        <v>No</v>
      </c>
      <c r="Q856" t="str">
        <f>IF(AND(TBL_Employees3[[#This Row],[Gender]]="Female",TBL_Employees3[[#This Row],[Ethnicity]]="Black"), "Female_Black", "Others")</f>
        <v>Others</v>
      </c>
      <c r="T856" t="str">
        <v>E00880</v>
      </c>
    </row>
    <row r="857" spans="1:20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7">
        <v>41816</v>
      </c>
      <c r="J857" s="1">
        <v>153961</v>
      </c>
      <c r="K857" s="2">
        <v>0.25</v>
      </c>
      <c r="L857" t="s">
        <v>33</v>
      </c>
      <c r="M857" t="s">
        <v>74</v>
      </c>
      <c r="N857" s="7" t="s">
        <v>21</v>
      </c>
      <c r="O857" s="1">
        <f>TBL_Employees3[[#This Row],[Annual Salary]]+TBL_Employees3[[#This Row],[Bonus %]]*TBL_Employees3[[#This Row],[Annual Salary]]</f>
        <v>192451.25</v>
      </c>
      <c r="P857" t="str">
        <f>IF(AND(TBL_Employees3[[#This Row],[Department]]="IT",TBL_Employees3[[#This Row],[Gender]]="Female"),"Yes","No")</f>
        <v>No</v>
      </c>
      <c r="Q857" t="str">
        <f>IF(AND(TBL_Employees3[[#This Row],[Gender]]="Female",TBL_Employees3[[#This Row],[Ethnicity]]="Black"), "Female_Black", "Others")</f>
        <v>Others</v>
      </c>
      <c r="T857" t="str">
        <v>E04335</v>
      </c>
    </row>
    <row r="858" spans="1:20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7">
        <v>39069</v>
      </c>
      <c r="J858" s="1">
        <v>68337</v>
      </c>
      <c r="K858" s="2">
        <v>0</v>
      </c>
      <c r="L858" t="s">
        <v>33</v>
      </c>
      <c r="M858" t="s">
        <v>80</v>
      </c>
      <c r="N858" s="7" t="s">
        <v>21</v>
      </c>
      <c r="O858" s="1">
        <f>TBL_Employees3[[#This Row],[Annual Salary]]+TBL_Employees3[[#This Row],[Bonus %]]*TBL_Employees3[[#This Row],[Annual Salary]]</f>
        <v>68337</v>
      </c>
      <c r="P858" t="str">
        <f>IF(AND(TBL_Employees3[[#This Row],[Department]]="IT",TBL_Employees3[[#This Row],[Gender]]="Female"),"Yes","No")</f>
        <v>Yes</v>
      </c>
      <c r="Q858" t="str">
        <f>IF(AND(TBL_Employees3[[#This Row],[Gender]]="Female",TBL_Employees3[[#This Row],[Ethnicity]]="Black"), "Female_Black", "Others")</f>
        <v>Others</v>
      </c>
      <c r="T858" t="str">
        <v>E01300</v>
      </c>
    </row>
    <row r="859" spans="1:20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7">
        <v>40305</v>
      </c>
      <c r="J859" s="1">
        <v>145093</v>
      </c>
      <c r="K859" s="2">
        <v>0.12</v>
      </c>
      <c r="L859" t="s">
        <v>19</v>
      </c>
      <c r="M859" t="s">
        <v>20</v>
      </c>
      <c r="N859" s="7" t="s">
        <v>21</v>
      </c>
      <c r="O859" s="1">
        <f>TBL_Employees3[[#This Row],[Annual Salary]]+TBL_Employees3[[#This Row],[Bonus %]]*TBL_Employees3[[#This Row],[Annual Salary]]</f>
        <v>162504.16</v>
      </c>
      <c r="P859" t="str">
        <f>IF(AND(TBL_Employees3[[#This Row],[Department]]="IT",TBL_Employees3[[#This Row],[Gender]]="Female"),"Yes","No")</f>
        <v>No</v>
      </c>
      <c r="Q859" t="str">
        <f>IF(AND(TBL_Employees3[[#This Row],[Gender]]="Female",TBL_Employees3[[#This Row],[Ethnicity]]="Black"), "Female_Black", "Others")</f>
        <v>Others</v>
      </c>
      <c r="T859" t="str">
        <v>E03102</v>
      </c>
    </row>
    <row r="860" spans="1:20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7">
        <v>44266</v>
      </c>
      <c r="J860" s="1">
        <v>74170</v>
      </c>
      <c r="K860" s="2">
        <v>0</v>
      </c>
      <c r="L860" t="s">
        <v>19</v>
      </c>
      <c r="M860" t="s">
        <v>25</v>
      </c>
      <c r="N860" s="7" t="s">
        <v>21</v>
      </c>
      <c r="O860" s="1">
        <f>TBL_Employees3[[#This Row],[Annual Salary]]+TBL_Employees3[[#This Row],[Bonus %]]*TBL_Employees3[[#This Row],[Annual Salary]]</f>
        <v>74170</v>
      </c>
      <c r="P860" t="str">
        <f>IF(AND(TBL_Employees3[[#This Row],[Department]]="IT",TBL_Employees3[[#This Row],[Gender]]="Female"),"Yes","No")</f>
        <v>Yes</v>
      </c>
      <c r="Q860" t="str">
        <f>IF(AND(TBL_Employees3[[#This Row],[Gender]]="Female",TBL_Employees3[[#This Row],[Ethnicity]]="Black"), "Female_Black", "Others")</f>
        <v>Others</v>
      </c>
      <c r="T860" t="str">
        <v>E04089</v>
      </c>
    </row>
    <row r="861" spans="1:20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7">
        <v>35153</v>
      </c>
      <c r="J861" s="1">
        <v>62605</v>
      </c>
      <c r="K861" s="2">
        <v>0</v>
      </c>
      <c r="L861" t="s">
        <v>19</v>
      </c>
      <c r="M861" t="s">
        <v>25</v>
      </c>
      <c r="N861" s="7" t="s">
        <v>21</v>
      </c>
      <c r="O861" s="1">
        <f>TBL_Employees3[[#This Row],[Annual Salary]]+TBL_Employees3[[#This Row],[Bonus %]]*TBL_Employees3[[#This Row],[Annual Salary]]</f>
        <v>62605</v>
      </c>
      <c r="P861" t="str">
        <f>IF(AND(TBL_Employees3[[#This Row],[Department]]="IT",TBL_Employees3[[#This Row],[Gender]]="Female"),"Yes","No")</f>
        <v>No</v>
      </c>
      <c r="Q861" t="str">
        <f>IF(AND(TBL_Employees3[[#This Row],[Gender]]="Female",TBL_Employees3[[#This Row],[Ethnicity]]="Black"), "Female_Black", "Others")</f>
        <v>Others</v>
      </c>
      <c r="T861" t="str">
        <v>E02059</v>
      </c>
    </row>
    <row r="862" spans="1:20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7">
        <v>43903</v>
      </c>
      <c r="J862" s="1">
        <v>107195</v>
      </c>
      <c r="K862" s="2">
        <v>0.09</v>
      </c>
      <c r="L862" t="s">
        <v>19</v>
      </c>
      <c r="M862" t="s">
        <v>25</v>
      </c>
      <c r="N862" s="7" t="s">
        <v>21</v>
      </c>
      <c r="O862" s="1">
        <f>TBL_Employees3[[#This Row],[Annual Salary]]+TBL_Employees3[[#This Row],[Bonus %]]*TBL_Employees3[[#This Row],[Annual Salary]]</f>
        <v>116842.55</v>
      </c>
      <c r="P862" t="str">
        <f>IF(AND(TBL_Employees3[[#This Row],[Department]]="IT",TBL_Employees3[[#This Row],[Gender]]="Female"),"Yes","No")</f>
        <v>Yes</v>
      </c>
      <c r="Q862" t="str">
        <f>IF(AND(TBL_Employees3[[#This Row],[Gender]]="Female",TBL_Employees3[[#This Row],[Ethnicity]]="Black"), "Female_Black", "Others")</f>
        <v>Others</v>
      </c>
      <c r="T862" t="str">
        <v>E03894</v>
      </c>
    </row>
    <row r="863" spans="1:20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7">
        <v>43111</v>
      </c>
      <c r="J863" s="1">
        <v>127422</v>
      </c>
      <c r="K863" s="2">
        <v>0.15</v>
      </c>
      <c r="L863" t="s">
        <v>19</v>
      </c>
      <c r="M863" t="s">
        <v>29</v>
      </c>
      <c r="N863" s="7" t="s">
        <v>21</v>
      </c>
      <c r="O863" s="1">
        <f>TBL_Employees3[[#This Row],[Annual Salary]]+TBL_Employees3[[#This Row],[Bonus %]]*TBL_Employees3[[#This Row],[Annual Salary]]</f>
        <v>146535.29999999999</v>
      </c>
      <c r="P863" t="str">
        <f>IF(AND(TBL_Employees3[[#This Row],[Department]]="IT",TBL_Employees3[[#This Row],[Gender]]="Female"),"Yes","No")</f>
        <v>No</v>
      </c>
      <c r="Q863" t="str">
        <f>IF(AND(TBL_Employees3[[#This Row],[Gender]]="Female",TBL_Employees3[[#This Row],[Ethnicity]]="Black"), "Female_Black", "Others")</f>
        <v>Others</v>
      </c>
      <c r="T863" t="str">
        <v>E03106</v>
      </c>
    </row>
    <row r="864" spans="1:20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7">
        <v>42912</v>
      </c>
      <c r="J864" s="1">
        <v>161269</v>
      </c>
      <c r="K864" s="2">
        <v>0.27</v>
      </c>
      <c r="L864" t="s">
        <v>19</v>
      </c>
      <c r="M864" t="s">
        <v>45</v>
      </c>
      <c r="N864" s="7" t="s">
        <v>21</v>
      </c>
      <c r="O864" s="1">
        <f>TBL_Employees3[[#This Row],[Annual Salary]]+TBL_Employees3[[#This Row],[Bonus %]]*TBL_Employees3[[#This Row],[Annual Salary]]</f>
        <v>204811.63</v>
      </c>
      <c r="P864" t="str">
        <f>IF(AND(TBL_Employees3[[#This Row],[Department]]="IT",TBL_Employees3[[#This Row],[Gender]]="Female"),"Yes","No")</f>
        <v>No</v>
      </c>
      <c r="Q864" t="str">
        <f>IF(AND(TBL_Employees3[[#This Row],[Gender]]="Female",TBL_Employees3[[#This Row],[Ethnicity]]="Black"), "Female_Black", "Others")</f>
        <v>Others</v>
      </c>
      <c r="T864" t="str">
        <v>E01350</v>
      </c>
    </row>
    <row r="865" spans="1:20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7">
        <v>41675</v>
      </c>
      <c r="J865" s="1">
        <v>203445</v>
      </c>
      <c r="K865" s="2">
        <v>0.34</v>
      </c>
      <c r="L865" t="s">
        <v>52</v>
      </c>
      <c r="M865" t="s">
        <v>81</v>
      </c>
      <c r="N865" s="7" t="s">
        <v>21</v>
      </c>
      <c r="O865" s="1">
        <f>TBL_Employees3[[#This Row],[Annual Salary]]+TBL_Employees3[[#This Row],[Bonus %]]*TBL_Employees3[[#This Row],[Annual Salary]]</f>
        <v>272616.3</v>
      </c>
      <c r="P865" t="str">
        <f>IF(AND(TBL_Employees3[[#This Row],[Department]]="IT",TBL_Employees3[[#This Row],[Gender]]="Female"),"Yes","No")</f>
        <v>No</v>
      </c>
      <c r="Q865" t="str">
        <f>IF(AND(TBL_Employees3[[#This Row],[Gender]]="Female",TBL_Employees3[[#This Row],[Ethnicity]]="Black"), "Female_Black", "Others")</f>
        <v>Others</v>
      </c>
      <c r="T865" t="str">
        <v>E02900</v>
      </c>
    </row>
    <row r="866" spans="1:20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7">
        <v>40560</v>
      </c>
      <c r="J866" s="1">
        <v>131353</v>
      </c>
      <c r="K866" s="2">
        <v>0.11</v>
      </c>
      <c r="L866" t="s">
        <v>33</v>
      </c>
      <c r="M866" t="s">
        <v>74</v>
      </c>
      <c r="N866" s="7" t="s">
        <v>21</v>
      </c>
      <c r="O866" s="1">
        <f>TBL_Employees3[[#This Row],[Annual Salary]]+TBL_Employees3[[#This Row],[Bonus %]]*TBL_Employees3[[#This Row],[Annual Salary]]</f>
        <v>145801.82999999999</v>
      </c>
      <c r="P866" t="str">
        <f>IF(AND(TBL_Employees3[[#This Row],[Department]]="IT",TBL_Employees3[[#This Row],[Gender]]="Female"),"Yes","No")</f>
        <v>No</v>
      </c>
      <c r="Q866" t="str">
        <f>IF(AND(TBL_Employees3[[#This Row],[Gender]]="Female",TBL_Employees3[[#This Row],[Ethnicity]]="Black"), "Female_Black", "Others")</f>
        <v>Others</v>
      </c>
      <c r="T866" t="str">
        <v>E02202</v>
      </c>
    </row>
    <row r="867" spans="1:20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7">
        <v>40253</v>
      </c>
      <c r="J867" s="1">
        <v>88182</v>
      </c>
      <c r="K867" s="2">
        <v>0</v>
      </c>
      <c r="L867" t="s">
        <v>33</v>
      </c>
      <c r="M867" t="s">
        <v>34</v>
      </c>
      <c r="N867" s="7" t="s">
        <v>21</v>
      </c>
      <c r="O867" s="1">
        <f>TBL_Employees3[[#This Row],[Annual Salary]]+TBL_Employees3[[#This Row],[Bonus %]]*TBL_Employees3[[#This Row],[Annual Salary]]</f>
        <v>88182</v>
      </c>
      <c r="P867" t="str">
        <f>IF(AND(TBL_Employees3[[#This Row],[Department]]="IT",TBL_Employees3[[#This Row],[Gender]]="Female"),"Yes","No")</f>
        <v>No</v>
      </c>
      <c r="Q867" t="str">
        <f>IF(AND(TBL_Employees3[[#This Row],[Gender]]="Female",TBL_Employees3[[#This Row],[Ethnicity]]="Black"), "Female_Black", "Others")</f>
        <v>Others</v>
      </c>
      <c r="T867" t="str">
        <v>E02696</v>
      </c>
    </row>
    <row r="868" spans="1:20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7">
        <v>43703</v>
      </c>
      <c r="J868" s="1">
        <v>75780</v>
      </c>
      <c r="K868" s="2">
        <v>0</v>
      </c>
      <c r="L868" t="s">
        <v>19</v>
      </c>
      <c r="M868" t="s">
        <v>63</v>
      </c>
      <c r="N868" s="7" t="s">
        <v>21</v>
      </c>
      <c r="O868" s="1">
        <f>TBL_Employees3[[#This Row],[Annual Salary]]+TBL_Employees3[[#This Row],[Bonus %]]*TBL_Employees3[[#This Row],[Annual Salary]]</f>
        <v>75780</v>
      </c>
      <c r="P868" t="str">
        <f>IF(AND(TBL_Employees3[[#This Row],[Department]]="IT",TBL_Employees3[[#This Row],[Gender]]="Female"),"Yes","No")</f>
        <v>No</v>
      </c>
      <c r="Q868" t="str">
        <f>IF(AND(TBL_Employees3[[#This Row],[Gender]]="Female",TBL_Employees3[[#This Row],[Ethnicity]]="Black"), "Female_Black", "Others")</f>
        <v>Others</v>
      </c>
      <c r="T868" t="str">
        <v>E01722</v>
      </c>
    </row>
    <row r="869" spans="1:20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7">
        <v>43557</v>
      </c>
      <c r="J869" s="1">
        <v>52621</v>
      </c>
      <c r="K869" s="2">
        <v>0</v>
      </c>
      <c r="L869" t="s">
        <v>33</v>
      </c>
      <c r="M869" t="s">
        <v>60</v>
      </c>
      <c r="N869" s="7" t="s">
        <v>21</v>
      </c>
      <c r="O869" s="1">
        <f>TBL_Employees3[[#This Row],[Annual Salary]]+TBL_Employees3[[#This Row],[Bonus %]]*TBL_Employees3[[#This Row],[Annual Salary]]</f>
        <v>52621</v>
      </c>
      <c r="P869" t="str">
        <f>IF(AND(TBL_Employees3[[#This Row],[Department]]="IT",TBL_Employees3[[#This Row],[Gender]]="Female"),"Yes","No")</f>
        <v>No</v>
      </c>
      <c r="Q869" t="str">
        <f>IF(AND(TBL_Employees3[[#This Row],[Gender]]="Female",TBL_Employees3[[#This Row],[Ethnicity]]="Black"), "Female_Black", "Others")</f>
        <v>Others</v>
      </c>
      <c r="T869" t="str">
        <v>E00640</v>
      </c>
    </row>
    <row r="870" spans="1:20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7">
        <v>43146</v>
      </c>
      <c r="J870" s="1">
        <v>106079</v>
      </c>
      <c r="K870" s="2">
        <v>0.14000000000000001</v>
      </c>
      <c r="L870" t="s">
        <v>19</v>
      </c>
      <c r="M870" t="s">
        <v>25</v>
      </c>
      <c r="N870" s="7">
        <v>44295</v>
      </c>
      <c r="O870" s="1">
        <f>TBL_Employees3[[#This Row],[Annual Salary]]+TBL_Employees3[[#This Row],[Bonus %]]*TBL_Employees3[[#This Row],[Annual Salary]]</f>
        <v>120930.06</v>
      </c>
      <c r="P870" t="str">
        <f>IF(AND(TBL_Employees3[[#This Row],[Department]]="IT",TBL_Employees3[[#This Row],[Gender]]="Female"),"Yes","No")</f>
        <v>No</v>
      </c>
      <c r="Q870" t="str">
        <f>IF(AND(TBL_Employees3[[#This Row],[Gender]]="Female",TBL_Employees3[[#This Row],[Ethnicity]]="Black"), "Female_Black", "Others")</f>
        <v>Others</v>
      </c>
      <c r="T870" t="str">
        <v>E02554</v>
      </c>
    </row>
    <row r="871" spans="1:20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7">
        <v>42777</v>
      </c>
      <c r="J871" s="1">
        <v>92058</v>
      </c>
      <c r="K871" s="2">
        <v>0</v>
      </c>
      <c r="L871" t="s">
        <v>19</v>
      </c>
      <c r="M871" t="s">
        <v>25</v>
      </c>
      <c r="N871" s="7" t="s">
        <v>21</v>
      </c>
      <c r="O871" s="1">
        <f>TBL_Employees3[[#This Row],[Annual Salary]]+TBL_Employees3[[#This Row],[Bonus %]]*TBL_Employees3[[#This Row],[Annual Salary]]</f>
        <v>92058</v>
      </c>
      <c r="P871" t="str">
        <f>IF(AND(TBL_Employees3[[#This Row],[Department]]="IT",TBL_Employees3[[#This Row],[Gender]]="Female"),"Yes","No")</f>
        <v>No</v>
      </c>
      <c r="Q871" t="str">
        <f>IF(AND(TBL_Employees3[[#This Row],[Gender]]="Female",TBL_Employees3[[#This Row],[Ethnicity]]="Black"), "Female_Black", "Others")</f>
        <v>Others</v>
      </c>
      <c r="T871" t="str">
        <v>E03412</v>
      </c>
    </row>
    <row r="872" spans="1:20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7">
        <v>43527</v>
      </c>
      <c r="J872" s="1">
        <v>67114</v>
      </c>
      <c r="K872" s="2">
        <v>0</v>
      </c>
      <c r="L872" t="s">
        <v>19</v>
      </c>
      <c r="M872" t="s">
        <v>39</v>
      </c>
      <c r="N872" s="7" t="s">
        <v>21</v>
      </c>
      <c r="O872" s="1">
        <f>TBL_Employees3[[#This Row],[Annual Salary]]+TBL_Employees3[[#This Row],[Bonus %]]*TBL_Employees3[[#This Row],[Annual Salary]]</f>
        <v>67114</v>
      </c>
      <c r="P872" t="str">
        <f>IF(AND(TBL_Employees3[[#This Row],[Department]]="IT",TBL_Employees3[[#This Row],[Gender]]="Female"),"Yes","No")</f>
        <v>No</v>
      </c>
      <c r="Q872" t="str">
        <f>IF(AND(TBL_Employees3[[#This Row],[Gender]]="Female",TBL_Employees3[[#This Row],[Ethnicity]]="Black"), "Female_Black", "Others")</f>
        <v>Others</v>
      </c>
      <c r="T872" t="str">
        <v>E00646</v>
      </c>
    </row>
    <row r="873" spans="1:20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7">
        <v>44024</v>
      </c>
      <c r="J873" s="1">
        <v>56565</v>
      </c>
      <c r="K873" s="2">
        <v>0</v>
      </c>
      <c r="L873" t="s">
        <v>52</v>
      </c>
      <c r="M873" t="s">
        <v>53</v>
      </c>
      <c r="N873" s="7" t="s">
        <v>21</v>
      </c>
      <c r="O873" s="1">
        <f>TBL_Employees3[[#This Row],[Annual Salary]]+TBL_Employees3[[#This Row],[Bonus %]]*TBL_Employees3[[#This Row],[Annual Salary]]</f>
        <v>56565</v>
      </c>
      <c r="P873" t="str">
        <f>IF(AND(TBL_Employees3[[#This Row],[Department]]="IT",TBL_Employees3[[#This Row],[Gender]]="Female"),"Yes","No")</f>
        <v>No</v>
      </c>
      <c r="Q873" t="str">
        <f>IF(AND(TBL_Employees3[[#This Row],[Gender]]="Female",TBL_Employees3[[#This Row],[Ethnicity]]="Black"), "Female_Black", "Others")</f>
        <v>Others</v>
      </c>
      <c r="T873" t="str">
        <v>E04670</v>
      </c>
    </row>
    <row r="874" spans="1:20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7">
        <v>40683</v>
      </c>
      <c r="J874" s="1">
        <v>64937</v>
      </c>
      <c r="K874" s="2">
        <v>0</v>
      </c>
      <c r="L874" t="s">
        <v>19</v>
      </c>
      <c r="M874" t="s">
        <v>39</v>
      </c>
      <c r="N874" s="7" t="s">
        <v>21</v>
      </c>
      <c r="O874" s="1">
        <f>TBL_Employees3[[#This Row],[Annual Salary]]+TBL_Employees3[[#This Row],[Bonus %]]*TBL_Employees3[[#This Row],[Annual Salary]]</f>
        <v>64937</v>
      </c>
      <c r="P874" t="str">
        <f>IF(AND(TBL_Employees3[[#This Row],[Department]]="IT",TBL_Employees3[[#This Row],[Gender]]="Female"),"Yes","No")</f>
        <v>No</v>
      </c>
      <c r="Q874" t="str">
        <f>IF(AND(TBL_Employees3[[#This Row],[Gender]]="Female",TBL_Employees3[[#This Row],[Ethnicity]]="Black"), "Female_Black", "Others")</f>
        <v>Others</v>
      </c>
      <c r="T874" t="str">
        <v>E03580</v>
      </c>
    </row>
    <row r="875" spans="1:20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7">
        <v>38967</v>
      </c>
      <c r="J875" s="1">
        <v>127626</v>
      </c>
      <c r="K875" s="2">
        <v>0.1</v>
      </c>
      <c r="L875" t="s">
        <v>19</v>
      </c>
      <c r="M875" t="s">
        <v>45</v>
      </c>
      <c r="N875" s="7" t="s">
        <v>21</v>
      </c>
      <c r="O875" s="1">
        <f>TBL_Employees3[[#This Row],[Annual Salary]]+TBL_Employees3[[#This Row],[Bonus %]]*TBL_Employees3[[#This Row],[Annual Salary]]</f>
        <v>140388.6</v>
      </c>
      <c r="P875" t="str">
        <f>IF(AND(TBL_Employees3[[#This Row],[Department]]="IT",TBL_Employees3[[#This Row],[Gender]]="Female"),"Yes","No")</f>
        <v>No</v>
      </c>
      <c r="Q875" t="str">
        <f>IF(AND(TBL_Employees3[[#This Row],[Gender]]="Female",TBL_Employees3[[#This Row],[Ethnicity]]="Black"), "Female_Black", "Others")</f>
        <v>Others</v>
      </c>
      <c r="T875" t="str">
        <v>E02363</v>
      </c>
    </row>
    <row r="876" spans="1:20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7">
        <v>38013</v>
      </c>
      <c r="J876" s="1">
        <v>88478</v>
      </c>
      <c r="K876" s="2">
        <v>0</v>
      </c>
      <c r="L876" t="s">
        <v>19</v>
      </c>
      <c r="M876" t="s">
        <v>25</v>
      </c>
      <c r="N876" s="7" t="s">
        <v>21</v>
      </c>
      <c r="O876" s="1">
        <f>TBL_Employees3[[#This Row],[Annual Salary]]+TBL_Employees3[[#This Row],[Bonus %]]*TBL_Employees3[[#This Row],[Annual Salary]]</f>
        <v>88478</v>
      </c>
      <c r="P876" t="str">
        <f>IF(AND(TBL_Employees3[[#This Row],[Department]]="IT",TBL_Employees3[[#This Row],[Gender]]="Female"),"Yes","No")</f>
        <v>No</v>
      </c>
      <c r="Q876" t="str">
        <f>IF(AND(TBL_Employees3[[#This Row],[Gender]]="Female",TBL_Employees3[[#This Row],[Ethnicity]]="Black"), "Female_Black", "Others")</f>
        <v>Others</v>
      </c>
      <c r="T876" t="str">
        <v>E03718</v>
      </c>
    </row>
    <row r="877" spans="1:20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7">
        <v>41749</v>
      </c>
      <c r="J877" s="1">
        <v>91679</v>
      </c>
      <c r="K877" s="2">
        <v>7.0000000000000007E-2</v>
      </c>
      <c r="L877" t="s">
        <v>33</v>
      </c>
      <c r="M877" t="s">
        <v>80</v>
      </c>
      <c r="N877" s="7" t="s">
        <v>21</v>
      </c>
      <c r="O877" s="1">
        <f>TBL_Employees3[[#This Row],[Annual Salary]]+TBL_Employees3[[#This Row],[Bonus %]]*TBL_Employees3[[#This Row],[Annual Salary]]</f>
        <v>98096.53</v>
      </c>
      <c r="P877" t="str">
        <f>IF(AND(TBL_Employees3[[#This Row],[Department]]="IT",TBL_Employees3[[#This Row],[Gender]]="Female"),"Yes","No")</f>
        <v>Yes</v>
      </c>
      <c r="Q877" t="str">
        <f>IF(AND(TBL_Employees3[[#This Row],[Gender]]="Female",TBL_Employees3[[#This Row],[Ethnicity]]="Black"), "Female_Black", "Others")</f>
        <v>Others</v>
      </c>
      <c r="T877" t="str">
        <v>E01749</v>
      </c>
    </row>
    <row r="878" spans="1:20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7">
        <v>33682</v>
      </c>
      <c r="J878" s="1">
        <v>199848</v>
      </c>
      <c r="K878" s="2">
        <v>0.16</v>
      </c>
      <c r="L878" t="s">
        <v>33</v>
      </c>
      <c r="M878" t="s">
        <v>80</v>
      </c>
      <c r="N878" s="7" t="s">
        <v>21</v>
      </c>
      <c r="O878" s="1">
        <f>TBL_Employees3[[#This Row],[Annual Salary]]+TBL_Employees3[[#This Row],[Bonus %]]*TBL_Employees3[[#This Row],[Annual Salary]]</f>
        <v>231823.68</v>
      </c>
      <c r="P878" t="str">
        <f>IF(AND(TBL_Employees3[[#This Row],[Department]]="IT",TBL_Employees3[[#This Row],[Gender]]="Female"),"Yes","No")</f>
        <v>No</v>
      </c>
      <c r="Q878" t="str">
        <f>IF(AND(TBL_Employees3[[#This Row],[Gender]]="Female",TBL_Employees3[[#This Row],[Ethnicity]]="Black"), "Female_Black", "Others")</f>
        <v>Others</v>
      </c>
      <c r="T878" t="str">
        <v>E02888</v>
      </c>
    </row>
    <row r="879" spans="1:20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7">
        <v>43414</v>
      </c>
      <c r="J879" s="1">
        <v>61944</v>
      </c>
      <c r="K879" s="2">
        <v>0</v>
      </c>
      <c r="L879" t="s">
        <v>33</v>
      </c>
      <c r="M879" t="s">
        <v>74</v>
      </c>
      <c r="N879" s="7" t="s">
        <v>21</v>
      </c>
      <c r="O879" s="1">
        <f>TBL_Employees3[[#This Row],[Annual Salary]]+TBL_Employees3[[#This Row],[Bonus %]]*TBL_Employees3[[#This Row],[Annual Salary]]</f>
        <v>61944</v>
      </c>
      <c r="P879" t="str">
        <f>IF(AND(TBL_Employees3[[#This Row],[Department]]="IT",TBL_Employees3[[#This Row],[Gender]]="Female"),"Yes","No")</f>
        <v>No</v>
      </c>
      <c r="Q879" t="str">
        <f>IF(AND(TBL_Employees3[[#This Row],[Gender]]="Female",TBL_Employees3[[#This Row],[Ethnicity]]="Black"), "Female_Black", "Others")</f>
        <v>Others</v>
      </c>
      <c r="T879" t="str">
        <v>E01338</v>
      </c>
    </row>
    <row r="880" spans="1:20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7">
        <v>42960</v>
      </c>
      <c r="J880" s="1">
        <v>154624</v>
      </c>
      <c r="K880" s="2">
        <v>0.15</v>
      </c>
      <c r="L880" t="s">
        <v>19</v>
      </c>
      <c r="M880" t="s">
        <v>25</v>
      </c>
      <c r="N880" s="7" t="s">
        <v>21</v>
      </c>
      <c r="O880" s="1">
        <f>TBL_Employees3[[#This Row],[Annual Salary]]+TBL_Employees3[[#This Row],[Bonus %]]*TBL_Employees3[[#This Row],[Annual Salary]]</f>
        <v>177817.60000000001</v>
      </c>
      <c r="P880" t="str">
        <f>IF(AND(TBL_Employees3[[#This Row],[Department]]="IT",TBL_Employees3[[#This Row],[Gender]]="Female"),"Yes","No")</f>
        <v>No</v>
      </c>
      <c r="Q880" t="str">
        <f>IF(AND(TBL_Employees3[[#This Row],[Gender]]="Female",TBL_Employees3[[#This Row],[Ethnicity]]="Black"), "Female_Black", "Others")</f>
        <v>Female_Black</v>
      </c>
      <c r="T880" t="str">
        <v>E03000</v>
      </c>
    </row>
    <row r="881" spans="1:20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7">
        <v>40109</v>
      </c>
      <c r="J881" s="1">
        <v>79447</v>
      </c>
      <c r="K881" s="2">
        <v>0</v>
      </c>
      <c r="L881" t="s">
        <v>33</v>
      </c>
      <c r="M881" t="s">
        <v>74</v>
      </c>
      <c r="N881" s="7" t="s">
        <v>21</v>
      </c>
      <c r="O881" s="1">
        <f>TBL_Employees3[[#This Row],[Annual Salary]]+TBL_Employees3[[#This Row],[Bonus %]]*TBL_Employees3[[#This Row],[Annual Salary]]</f>
        <v>79447</v>
      </c>
      <c r="P881" t="str">
        <f>IF(AND(TBL_Employees3[[#This Row],[Department]]="IT",TBL_Employees3[[#This Row],[Gender]]="Female"),"Yes","No")</f>
        <v>No</v>
      </c>
      <c r="Q881" t="str">
        <f>IF(AND(TBL_Employees3[[#This Row],[Gender]]="Female",TBL_Employees3[[#This Row],[Ethnicity]]="Black"), "Female_Black", "Others")</f>
        <v>Others</v>
      </c>
      <c r="T881" t="str">
        <v>E01611</v>
      </c>
    </row>
    <row r="882" spans="1:20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7">
        <v>35852</v>
      </c>
      <c r="J882" s="1">
        <v>71111</v>
      </c>
      <c r="K882" s="2">
        <v>0</v>
      </c>
      <c r="L882" t="s">
        <v>52</v>
      </c>
      <c r="M882" t="s">
        <v>66</v>
      </c>
      <c r="N882" s="7" t="s">
        <v>21</v>
      </c>
      <c r="O882" s="1">
        <f>TBL_Employees3[[#This Row],[Annual Salary]]+TBL_Employees3[[#This Row],[Bonus %]]*TBL_Employees3[[#This Row],[Annual Salary]]</f>
        <v>71111</v>
      </c>
      <c r="P882" t="str">
        <f>IF(AND(TBL_Employees3[[#This Row],[Department]]="IT",TBL_Employees3[[#This Row],[Gender]]="Female"),"Yes","No")</f>
        <v>No</v>
      </c>
      <c r="Q882" t="str">
        <f>IF(AND(TBL_Employees3[[#This Row],[Gender]]="Female",TBL_Employees3[[#This Row],[Ethnicity]]="Black"), "Female_Black", "Others")</f>
        <v>Others</v>
      </c>
      <c r="T882" t="str">
        <v>E02684</v>
      </c>
    </row>
    <row r="883" spans="1:20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7">
        <v>41931</v>
      </c>
      <c r="J883" s="1">
        <v>159538</v>
      </c>
      <c r="K883" s="2">
        <v>0.11</v>
      </c>
      <c r="L883" t="s">
        <v>19</v>
      </c>
      <c r="M883" t="s">
        <v>45</v>
      </c>
      <c r="N883" s="7" t="s">
        <v>21</v>
      </c>
      <c r="O883" s="1">
        <f>TBL_Employees3[[#This Row],[Annual Salary]]+TBL_Employees3[[#This Row],[Bonus %]]*TBL_Employees3[[#This Row],[Annual Salary]]</f>
        <v>177087.18</v>
      </c>
      <c r="P883" t="str">
        <f>IF(AND(TBL_Employees3[[#This Row],[Department]]="IT",TBL_Employees3[[#This Row],[Gender]]="Female"),"Yes","No")</f>
        <v>No</v>
      </c>
      <c r="Q883" t="str">
        <f>IF(AND(TBL_Employees3[[#This Row],[Gender]]="Female",TBL_Employees3[[#This Row],[Ethnicity]]="Black"), "Female_Black", "Others")</f>
        <v>Others</v>
      </c>
      <c r="T883" t="str">
        <v>E02561</v>
      </c>
    </row>
    <row r="884" spans="1:20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7">
        <v>43375</v>
      </c>
      <c r="J884" s="1">
        <v>111404</v>
      </c>
      <c r="K884" s="2">
        <v>0</v>
      </c>
      <c r="L884" t="s">
        <v>52</v>
      </c>
      <c r="M884" t="s">
        <v>66</v>
      </c>
      <c r="N884" s="7" t="s">
        <v>21</v>
      </c>
      <c r="O884" s="1">
        <f>TBL_Employees3[[#This Row],[Annual Salary]]+TBL_Employees3[[#This Row],[Bonus %]]*TBL_Employees3[[#This Row],[Annual Salary]]</f>
        <v>111404</v>
      </c>
      <c r="P884" t="str">
        <f>IF(AND(TBL_Employees3[[#This Row],[Department]]="IT",TBL_Employees3[[#This Row],[Gender]]="Female"),"Yes","No")</f>
        <v>No</v>
      </c>
      <c r="Q884" t="str">
        <f>IF(AND(TBL_Employees3[[#This Row],[Gender]]="Female",TBL_Employees3[[#This Row],[Ethnicity]]="Black"), "Female_Black", "Others")</f>
        <v>Others</v>
      </c>
      <c r="T884" t="str">
        <v>E03168</v>
      </c>
    </row>
    <row r="885" spans="1:20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7">
        <v>44058</v>
      </c>
      <c r="J885" s="1">
        <v>172007</v>
      </c>
      <c r="K885" s="2">
        <v>0.26</v>
      </c>
      <c r="L885" t="s">
        <v>19</v>
      </c>
      <c r="M885" t="s">
        <v>45</v>
      </c>
      <c r="N885" s="7" t="s">
        <v>21</v>
      </c>
      <c r="O885" s="1">
        <f>TBL_Employees3[[#This Row],[Annual Salary]]+TBL_Employees3[[#This Row],[Bonus %]]*TBL_Employees3[[#This Row],[Annual Salary]]</f>
        <v>216728.82</v>
      </c>
      <c r="P885" t="str">
        <f>IF(AND(TBL_Employees3[[#This Row],[Department]]="IT",TBL_Employees3[[#This Row],[Gender]]="Female"),"Yes","No")</f>
        <v>No</v>
      </c>
      <c r="Q885" t="str">
        <f>IF(AND(TBL_Employees3[[#This Row],[Gender]]="Female",TBL_Employees3[[#This Row],[Ethnicity]]="Black"), "Female_Black", "Others")</f>
        <v>Others</v>
      </c>
      <c r="T885" t="str">
        <v>E03691</v>
      </c>
    </row>
    <row r="886" spans="1:20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7">
        <v>40745</v>
      </c>
      <c r="J886" s="1">
        <v>219474</v>
      </c>
      <c r="K886" s="2">
        <v>0.36</v>
      </c>
      <c r="L886" t="s">
        <v>52</v>
      </c>
      <c r="M886" t="s">
        <v>81</v>
      </c>
      <c r="N886" s="7" t="s">
        <v>21</v>
      </c>
      <c r="O886" s="1">
        <f>TBL_Employees3[[#This Row],[Annual Salary]]+TBL_Employees3[[#This Row],[Bonus %]]*TBL_Employees3[[#This Row],[Annual Salary]]</f>
        <v>298484.64</v>
      </c>
      <c r="P886" t="str">
        <f>IF(AND(TBL_Employees3[[#This Row],[Department]]="IT",TBL_Employees3[[#This Row],[Gender]]="Female"),"Yes","No")</f>
        <v>No</v>
      </c>
      <c r="Q886" t="str">
        <f>IF(AND(TBL_Employees3[[#This Row],[Gender]]="Female",TBL_Employees3[[#This Row],[Ethnicity]]="Black"), "Female_Black", "Others")</f>
        <v>Others</v>
      </c>
      <c r="T886" t="str">
        <v>E00282</v>
      </c>
    </row>
    <row r="887" spans="1:20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7">
        <v>43600</v>
      </c>
      <c r="J887" s="1">
        <v>174415</v>
      </c>
      <c r="K887" s="2">
        <v>0.23</v>
      </c>
      <c r="L887" t="s">
        <v>19</v>
      </c>
      <c r="M887" t="s">
        <v>45</v>
      </c>
      <c r="N887" s="7" t="s">
        <v>21</v>
      </c>
      <c r="O887" s="1">
        <f>TBL_Employees3[[#This Row],[Annual Salary]]+TBL_Employees3[[#This Row],[Bonus %]]*TBL_Employees3[[#This Row],[Annual Salary]]</f>
        <v>214530.45</v>
      </c>
      <c r="P887" t="str">
        <f>IF(AND(TBL_Employees3[[#This Row],[Department]]="IT",TBL_Employees3[[#This Row],[Gender]]="Female"),"Yes","No")</f>
        <v>No</v>
      </c>
      <c r="Q887" t="str">
        <f>IF(AND(TBL_Employees3[[#This Row],[Gender]]="Female",TBL_Employees3[[#This Row],[Ethnicity]]="Black"), "Female_Black", "Others")</f>
        <v>Others</v>
      </c>
      <c r="T887" t="str">
        <v>E00559</v>
      </c>
    </row>
    <row r="888" spans="1:20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7">
        <v>44217</v>
      </c>
      <c r="J888" s="1">
        <v>90333</v>
      </c>
      <c r="K888" s="2">
        <v>0</v>
      </c>
      <c r="L888" t="s">
        <v>52</v>
      </c>
      <c r="M888" t="s">
        <v>66</v>
      </c>
      <c r="N888" s="7" t="s">
        <v>21</v>
      </c>
      <c r="O888" s="1">
        <f>TBL_Employees3[[#This Row],[Annual Salary]]+TBL_Employees3[[#This Row],[Bonus %]]*TBL_Employees3[[#This Row],[Annual Salary]]</f>
        <v>90333</v>
      </c>
      <c r="P888" t="str">
        <f>IF(AND(TBL_Employees3[[#This Row],[Department]]="IT",TBL_Employees3[[#This Row],[Gender]]="Female"),"Yes","No")</f>
        <v>Yes</v>
      </c>
      <c r="Q888" t="str">
        <f>IF(AND(TBL_Employees3[[#This Row],[Gender]]="Female",TBL_Employees3[[#This Row],[Ethnicity]]="Black"), "Female_Black", "Others")</f>
        <v>Others</v>
      </c>
      <c r="T888" t="str">
        <v>E02558</v>
      </c>
    </row>
    <row r="889" spans="1:20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7">
        <v>44217</v>
      </c>
      <c r="J889" s="1">
        <v>67299</v>
      </c>
      <c r="K889" s="2">
        <v>0</v>
      </c>
      <c r="L889" t="s">
        <v>19</v>
      </c>
      <c r="M889" t="s">
        <v>39</v>
      </c>
      <c r="N889" s="7" t="s">
        <v>21</v>
      </c>
      <c r="O889" s="1">
        <f>TBL_Employees3[[#This Row],[Annual Salary]]+TBL_Employees3[[#This Row],[Bonus %]]*TBL_Employees3[[#This Row],[Annual Salary]]</f>
        <v>67299</v>
      </c>
      <c r="P889" t="str">
        <f>IF(AND(TBL_Employees3[[#This Row],[Department]]="IT",TBL_Employees3[[#This Row],[Gender]]="Female"),"Yes","No")</f>
        <v>No</v>
      </c>
      <c r="Q889" t="str">
        <f>IF(AND(TBL_Employees3[[#This Row],[Gender]]="Female",TBL_Employees3[[#This Row],[Ethnicity]]="Black"), "Female_Black", "Others")</f>
        <v>Others</v>
      </c>
      <c r="T889" t="str">
        <v>E00956</v>
      </c>
    </row>
    <row r="890" spans="1:20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7">
        <v>38406</v>
      </c>
      <c r="J890" s="1">
        <v>45286</v>
      </c>
      <c r="K890" s="2">
        <v>0</v>
      </c>
      <c r="L890" t="s">
        <v>19</v>
      </c>
      <c r="M890" t="s">
        <v>20</v>
      </c>
      <c r="N890" s="7" t="s">
        <v>21</v>
      </c>
      <c r="O890" s="1">
        <f>TBL_Employees3[[#This Row],[Annual Salary]]+TBL_Employees3[[#This Row],[Bonus %]]*TBL_Employees3[[#This Row],[Annual Salary]]</f>
        <v>45286</v>
      </c>
      <c r="P890" t="str">
        <f>IF(AND(TBL_Employees3[[#This Row],[Department]]="IT",TBL_Employees3[[#This Row],[Gender]]="Female"),"Yes","No")</f>
        <v>Yes</v>
      </c>
      <c r="Q890" t="str">
        <f>IF(AND(TBL_Employees3[[#This Row],[Gender]]="Female",TBL_Employees3[[#This Row],[Ethnicity]]="Black"), "Female_Black", "Others")</f>
        <v>Others</v>
      </c>
      <c r="T890" t="str">
        <v>E03858</v>
      </c>
    </row>
    <row r="891" spans="1:20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7">
        <v>39302</v>
      </c>
      <c r="J891" s="1">
        <v>194723</v>
      </c>
      <c r="K891" s="2">
        <v>0.25</v>
      </c>
      <c r="L891" t="s">
        <v>19</v>
      </c>
      <c r="M891" t="s">
        <v>39</v>
      </c>
      <c r="N891" s="7" t="s">
        <v>21</v>
      </c>
      <c r="O891" s="1">
        <f>TBL_Employees3[[#This Row],[Annual Salary]]+TBL_Employees3[[#This Row],[Bonus %]]*TBL_Employees3[[#This Row],[Annual Salary]]</f>
        <v>243403.75</v>
      </c>
      <c r="P891" t="str">
        <f>IF(AND(TBL_Employees3[[#This Row],[Department]]="IT",TBL_Employees3[[#This Row],[Gender]]="Female"),"Yes","No")</f>
        <v>No</v>
      </c>
      <c r="Q891" t="str">
        <f>IF(AND(TBL_Employees3[[#This Row],[Gender]]="Female",TBL_Employees3[[#This Row],[Ethnicity]]="Black"), "Female_Black", "Others")</f>
        <v>Others</v>
      </c>
      <c r="T891" t="str">
        <v>E02221</v>
      </c>
    </row>
    <row r="892" spans="1:20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7">
        <v>41131</v>
      </c>
      <c r="J892" s="1">
        <v>109850</v>
      </c>
      <c r="K892" s="2">
        <v>7.0000000000000007E-2</v>
      </c>
      <c r="L892" t="s">
        <v>33</v>
      </c>
      <c r="M892" t="s">
        <v>60</v>
      </c>
      <c r="N892" s="7">
        <v>43865</v>
      </c>
      <c r="O892" s="1">
        <f>TBL_Employees3[[#This Row],[Annual Salary]]+TBL_Employees3[[#This Row],[Bonus %]]*TBL_Employees3[[#This Row],[Annual Salary]]</f>
        <v>117539.5</v>
      </c>
      <c r="P892" t="str">
        <f>IF(AND(TBL_Employees3[[#This Row],[Department]]="IT",TBL_Employees3[[#This Row],[Gender]]="Female"),"Yes","No")</f>
        <v>No</v>
      </c>
      <c r="Q892" t="str">
        <f>IF(AND(TBL_Employees3[[#This Row],[Gender]]="Female",TBL_Employees3[[#This Row],[Ethnicity]]="Black"), "Female_Black", "Others")</f>
        <v>Others</v>
      </c>
      <c r="T892" t="str">
        <v>E00126</v>
      </c>
    </row>
    <row r="893" spans="1:20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7">
        <v>41748</v>
      </c>
      <c r="J893" s="1">
        <v>45295</v>
      </c>
      <c r="K893" s="2">
        <v>0</v>
      </c>
      <c r="L893" t="s">
        <v>52</v>
      </c>
      <c r="M893" t="s">
        <v>53</v>
      </c>
      <c r="N893" s="7" t="s">
        <v>21</v>
      </c>
      <c r="O893" s="1">
        <f>TBL_Employees3[[#This Row],[Annual Salary]]+TBL_Employees3[[#This Row],[Bonus %]]*TBL_Employees3[[#This Row],[Annual Salary]]</f>
        <v>45295</v>
      </c>
      <c r="P893" t="str">
        <f>IF(AND(TBL_Employees3[[#This Row],[Department]]="IT",TBL_Employees3[[#This Row],[Gender]]="Female"),"Yes","No")</f>
        <v>No</v>
      </c>
      <c r="Q893" t="str">
        <f>IF(AND(TBL_Employees3[[#This Row],[Gender]]="Female",TBL_Employees3[[#This Row],[Ethnicity]]="Black"), "Female_Black", "Others")</f>
        <v>Others</v>
      </c>
      <c r="T893" t="str">
        <v>E02627</v>
      </c>
    </row>
    <row r="894" spans="1:20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7">
        <v>40413</v>
      </c>
      <c r="J894" s="1">
        <v>61310</v>
      </c>
      <c r="K894" s="2">
        <v>0</v>
      </c>
      <c r="L894" t="s">
        <v>19</v>
      </c>
      <c r="M894" t="s">
        <v>39</v>
      </c>
      <c r="N894" s="7" t="s">
        <v>21</v>
      </c>
      <c r="O894" s="1">
        <f>TBL_Employees3[[#This Row],[Annual Salary]]+TBL_Employees3[[#This Row],[Bonus %]]*TBL_Employees3[[#This Row],[Annual Salary]]</f>
        <v>61310</v>
      </c>
      <c r="P894" t="str">
        <f>IF(AND(TBL_Employees3[[#This Row],[Department]]="IT",TBL_Employees3[[#This Row],[Gender]]="Female"),"Yes","No")</f>
        <v>Yes</v>
      </c>
      <c r="Q894" t="str">
        <f>IF(AND(TBL_Employees3[[#This Row],[Gender]]="Female",TBL_Employees3[[#This Row],[Ethnicity]]="Black"), "Female_Black", "Others")</f>
        <v>Others</v>
      </c>
      <c r="T894" t="str">
        <v>E03778</v>
      </c>
    </row>
    <row r="895" spans="1:20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7">
        <v>42683</v>
      </c>
      <c r="J895" s="1">
        <v>87851</v>
      </c>
      <c r="K895" s="2">
        <v>0</v>
      </c>
      <c r="L895" t="s">
        <v>33</v>
      </c>
      <c r="M895" t="s">
        <v>80</v>
      </c>
      <c r="N895" s="7" t="s">
        <v>21</v>
      </c>
      <c r="O895" s="1">
        <f>TBL_Employees3[[#This Row],[Annual Salary]]+TBL_Employees3[[#This Row],[Bonus %]]*TBL_Employees3[[#This Row],[Annual Salary]]</f>
        <v>87851</v>
      </c>
      <c r="P895" t="str">
        <f>IF(AND(TBL_Employees3[[#This Row],[Department]]="IT",TBL_Employees3[[#This Row],[Gender]]="Female"),"Yes","No")</f>
        <v>No</v>
      </c>
      <c r="Q895" t="str">
        <f>IF(AND(TBL_Employees3[[#This Row],[Gender]]="Female",TBL_Employees3[[#This Row],[Ethnicity]]="Black"), "Female_Black", "Others")</f>
        <v>Others</v>
      </c>
      <c r="T895" t="str">
        <v>E00481</v>
      </c>
    </row>
    <row r="896" spans="1:20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7">
        <v>43171</v>
      </c>
      <c r="J896" s="1">
        <v>47913</v>
      </c>
      <c r="K896" s="2">
        <v>0</v>
      </c>
      <c r="L896" t="s">
        <v>19</v>
      </c>
      <c r="M896" t="s">
        <v>63</v>
      </c>
      <c r="N896" s="7" t="s">
        <v>21</v>
      </c>
      <c r="O896" s="1">
        <f>TBL_Employees3[[#This Row],[Annual Salary]]+TBL_Employees3[[#This Row],[Bonus %]]*TBL_Employees3[[#This Row],[Annual Salary]]</f>
        <v>47913</v>
      </c>
      <c r="P896" t="str">
        <f>IF(AND(TBL_Employees3[[#This Row],[Department]]="IT",TBL_Employees3[[#This Row],[Gender]]="Female"),"Yes","No")</f>
        <v>No</v>
      </c>
      <c r="Q896" t="str">
        <f>IF(AND(TBL_Employees3[[#This Row],[Gender]]="Female",TBL_Employees3[[#This Row],[Ethnicity]]="Black"), "Female_Black", "Others")</f>
        <v>Others</v>
      </c>
      <c r="T896" t="str">
        <v>E02833</v>
      </c>
    </row>
    <row r="897" spans="1:20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7">
        <v>42985</v>
      </c>
      <c r="J897" s="1">
        <v>46727</v>
      </c>
      <c r="K897" s="2">
        <v>0</v>
      </c>
      <c r="L897" t="s">
        <v>19</v>
      </c>
      <c r="M897" t="s">
        <v>29</v>
      </c>
      <c r="N897" s="7">
        <v>43251</v>
      </c>
      <c r="O897" s="1">
        <f>TBL_Employees3[[#This Row],[Annual Salary]]+TBL_Employees3[[#This Row],[Bonus %]]*TBL_Employees3[[#This Row],[Annual Salary]]</f>
        <v>46727</v>
      </c>
      <c r="P897" t="str">
        <f>IF(AND(TBL_Employees3[[#This Row],[Department]]="IT",TBL_Employees3[[#This Row],[Gender]]="Female"),"Yes","No")</f>
        <v>No</v>
      </c>
      <c r="Q897" t="str">
        <f>IF(AND(TBL_Employees3[[#This Row],[Gender]]="Female",TBL_Employees3[[#This Row],[Ethnicity]]="Black"), "Female_Black", "Others")</f>
        <v>Others</v>
      </c>
      <c r="T897" t="str">
        <v>E03902</v>
      </c>
    </row>
    <row r="898" spans="1:20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7">
        <v>44302</v>
      </c>
      <c r="J898" s="1">
        <v>133400</v>
      </c>
      <c r="K898" s="2">
        <v>0.11</v>
      </c>
      <c r="L898" t="s">
        <v>19</v>
      </c>
      <c r="M898" t="s">
        <v>39</v>
      </c>
      <c r="N898" s="7" t="s">
        <v>21</v>
      </c>
      <c r="O898" s="1">
        <f>TBL_Employees3[[#This Row],[Annual Salary]]+TBL_Employees3[[#This Row],[Bonus %]]*TBL_Employees3[[#This Row],[Annual Salary]]</f>
        <v>148074</v>
      </c>
      <c r="P898" t="str">
        <f>IF(AND(TBL_Employees3[[#This Row],[Department]]="IT",TBL_Employees3[[#This Row],[Gender]]="Female"),"Yes","No")</f>
        <v>No</v>
      </c>
      <c r="Q898" t="str">
        <f>IF(AND(TBL_Employees3[[#This Row],[Gender]]="Female",TBL_Employees3[[#This Row],[Ethnicity]]="Black"), "Female_Black", "Others")</f>
        <v>Others</v>
      </c>
      <c r="T898" t="str">
        <v>E02310</v>
      </c>
    </row>
    <row r="899" spans="1:20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7">
        <v>43943</v>
      </c>
      <c r="J899" s="1">
        <v>90535</v>
      </c>
      <c r="K899" s="2">
        <v>0</v>
      </c>
      <c r="L899" t="s">
        <v>19</v>
      </c>
      <c r="M899" t="s">
        <v>45</v>
      </c>
      <c r="N899" s="7" t="s">
        <v>21</v>
      </c>
      <c r="O899" s="1">
        <f>TBL_Employees3[[#This Row],[Annual Salary]]+TBL_Employees3[[#This Row],[Bonus %]]*TBL_Employees3[[#This Row],[Annual Salary]]</f>
        <v>90535</v>
      </c>
      <c r="P899" t="str">
        <f>IF(AND(TBL_Employees3[[#This Row],[Department]]="IT",TBL_Employees3[[#This Row],[Gender]]="Female"),"Yes","No")</f>
        <v>Yes</v>
      </c>
      <c r="Q899" t="str">
        <f>IF(AND(TBL_Employees3[[#This Row],[Gender]]="Female",TBL_Employees3[[#This Row],[Ethnicity]]="Black"), "Female_Black", "Others")</f>
        <v>Others</v>
      </c>
      <c r="T899" t="str">
        <v>E02661</v>
      </c>
    </row>
    <row r="900" spans="1:20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7">
        <v>38909</v>
      </c>
      <c r="J900" s="1">
        <v>93343</v>
      </c>
      <c r="K900" s="2">
        <v>0</v>
      </c>
      <c r="L900" t="s">
        <v>33</v>
      </c>
      <c r="M900" t="s">
        <v>80</v>
      </c>
      <c r="N900" s="7" t="s">
        <v>21</v>
      </c>
      <c r="O900" s="1">
        <f>TBL_Employees3[[#This Row],[Annual Salary]]+TBL_Employees3[[#This Row],[Bonus %]]*TBL_Employees3[[#This Row],[Annual Salary]]</f>
        <v>93343</v>
      </c>
      <c r="P900" t="str">
        <f>IF(AND(TBL_Employees3[[#This Row],[Department]]="IT",TBL_Employees3[[#This Row],[Gender]]="Female"),"Yes","No")</f>
        <v>No</v>
      </c>
      <c r="Q900" t="str">
        <f>IF(AND(TBL_Employees3[[#This Row],[Gender]]="Female",TBL_Employees3[[#This Row],[Ethnicity]]="Black"), "Female_Black", "Others")</f>
        <v>Others</v>
      </c>
      <c r="T900" t="str">
        <v>E00682</v>
      </c>
    </row>
    <row r="901" spans="1:20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7">
        <v>38771</v>
      </c>
      <c r="J901" s="1">
        <v>63705</v>
      </c>
      <c r="K901" s="2">
        <v>0</v>
      </c>
      <c r="L901" t="s">
        <v>19</v>
      </c>
      <c r="M901" t="s">
        <v>45</v>
      </c>
      <c r="N901" s="7" t="s">
        <v>21</v>
      </c>
      <c r="O901" s="1">
        <f>TBL_Employees3[[#This Row],[Annual Salary]]+TBL_Employees3[[#This Row],[Bonus %]]*TBL_Employees3[[#This Row],[Annual Salary]]</f>
        <v>63705</v>
      </c>
      <c r="P901" t="str">
        <f>IF(AND(TBL_Employees3[[#This Row],[Department]]="IT",TBL_Employees3[[#This Row],[Gender]]="Female"),"Yes","No")</f>
        <v>No</v>
      </c>
      <c r="Q901" t="str">
        <f>IF(AND(TBL_Employees3[[#This Row],[Gender]]="Female",TBL_Employees3[[#This Row],[Ethnicity]]="Black"), "Female_Black", "Others")</f>
        <v>Others</v>
      </c>
      <c r="T901" t="str">
        <v>E00785</v>
      </c>
    </row>
    <row r="902" spans="1:20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7">
        <v>36584</v>
      </c>
      <c r="J902" s="1">
        <v>258081</v>
      </c>
      <c r="K902" s="2">
        <v>0.3</v>
      </c>
      <c r="L902" t="s">
        <v>19</v>
      </c>
      <c r="M902" t="s">
        <v>20</v>
      </c>
      <c r="N902" s="7" t="s">
        <v>21</v>
      </c>
      <c r="O902" s="1">
        <f>TBL_Employees3[[#This Row],[Annual Salary]]+TBL_Employees3[[#This Row],[Bonus %]]*TBL_Employees3[[#This Row],[Annual Salary]]</f>
        <v>335505.3</v>
      </c>
      <c r="P902" t="str">
        <f>IF(AND(TBL_Employees3[[#This Row],[Department]]="IT",TBL_Employees3[[#This Row],[Gender]]="Female"),"Yes","No")</f>
        <v>No</v>
      </c>
      <c r="Q902" t="str">
        <f>IF(AND(TBL_Employees3[[#This Row],[Gender]]="Female",TBL_Employees3[[#This Row],[Ethnicity]]="Black"), "Female_Black", "Others")</f>
        <v>Others</v>
      </c>
      <c r="T902" t="str">
        <v>E04598</v>
      </c>
    </row>
    <row r="903" spans="1:20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7">
        <v>44095</v>
      </c>
      <c r="J903" s="1">
        <v>54654</v>
      </c>
      <c r="K903" s="2">
        <v>0</v>
      </c>
      <c r="L903" t="s">
        <v>19</v>
      </c>
      <c r="M903" t="s">
        <v>39</v>
      </c>
      <c r="N903" s="7" t="s">
        <v>21</v>
      </c>
      <c r="O903" s="1">
        <f>TBL_Employees3[[#This Row],[Annual Salary]]+TBL_Employees3[[#This Row],[Bonus %]]*TBL_Employees3[[#This Row],[Annual Salary]]</f>
        <v>54654</v>
      </c>
      <c r="P903" t="str">
        <f>IF(AND(TBL_Employees3[[#This Row],[Department]]="IT",TBL_Employees3[[#This Row],[Gender]]="Female"),"Yes","No")</f>
        <v>No</v>
      </c>
      <c r="Q903" t="str">
        <f>IF(AND(TBL_Employees3[[#This Row],[Gender]]="Female",TBL_Employees3[[#This Row],[Ethnicity]]="Black"), "Female_Black", "Others")</f>
        <v>Others</v>
      </c>
      <c r="T903" t="str">
        <v>E02703</v>
      </c>
    </row>
    <row r="904" spans="1:20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7">
        <v>36062</v>
      </c>
      <c r="J904" s="1">
        <v>58006</v>
      </c>
      <c r="K904" s="2">
        <v>0</v>
      </c>
      <c r="L904" t="s">
        <v>19</v>
      </c>
      <c r="M904" t="s">
        <v>63</v>
      </c>
      <c r="N904" s="7" t="s">
        <v>21</v>
      </c>
      <c r="O904" s="1">
        <f>TBL_Employees3[[#This Row],[Annual Salary]]+TBL_Employees3[[#This Row],[Bonus %]]*TBL_Employees3[[#This Row],[Annual Salary]]</f>
        <v>58006</v>
      </c>
      <c r="P904" t="str">
        <f>IF(AND(TBL_Employees3[[#This Row],[Department]]="IT",TBL_Employees3[[#This Row],[Gender]]="Female"),"Yes","No")</f>
        <v>No</v>
      </c>
      <c r="Q904" t="str">
        <f>IF(AND(TBL_Employees3[[#This Row],[Gender]]="Female",TBL_Employees3[[#This Row],[Ethnicity]]="Black"), "Female_Black", "Others")</f>
        <v>Others</v>
      </c>
      <c r="T904" t="str">
        <v>E02191</v>
      </c>
    </row>
    <row r="905" spans="1:20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7">
        <v>40620</v>
      </c>
      <c r="J905" s="1">
        <v>150034</v>
      </c>
      <c r="K905" s="2">
        <v>0.12</v>
      </c>
      <c r="L905" t="s">
        <v>33</v>
      </c>
      <c r="M905" t="s">
        <v>60</v>
      </c>
      <c r="N905" s="7" t="s">
        <v>21</v>
      </c>
      <c r="O905" s="1">
        <f>TBL_Employees3[[#This Row],[Annual Salary]]+TBL_Employees3[[#This Row],[Bonus %]]*TBL_Employees3[[#This Row],[Annual Salary]]</f>
        <v>168038.08</v>
      </c>
      <c r="P905" t="str">
        <f>IF(AND(TBL_Employees3[[#This Row],[Department]]="IT",TBL_Employees3[[#This Row],[Gender]]="Female"),"Yes","No")</f>
        <v>No</v>
      </c>
      <c r="Q905" t="str">
        <f>IF(AND(TBL_Employees3[[#This Row],[Gender]]="Female",TBL_Employees3[[#This Row],[Ethnicity]]="Black"), "Female_Black", "Others")</f>
        <v>Others</v>
      </c>
      <c r="T905" t="str">
        <v>E00156</v>
      </c>
    </row>
    <row r="906" spans="1:20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7">
        <v>39232</v>
      </c>
      <c r="J906" s="1">
        <v>198562</v>
      </c>
      <c r="K906" s="2">
        <v>0.22</v>
      </c>
      <c r="L906" t="s">
        <v>19</v>
      </c>
      <c r="M906" t="s">
        <v>63</v>
      </c>
      <c r="N906" s="7" t="s">
        <v>21</v>
      </c>
      <c r="O906" s="1">
        <f>TBL_Employees3[[#This Row],[Annual Salary]]+TBL_Employees3[[#This Row],[Bonus %]]*TBL_Employees3[[#This Row],[Annual Salary]]</f>
        <v>242245.64</v>
      </c>
      <c r="P906" t="str">
        <f>IF(AND(TBL_Employees3[[#This Row],[Department]]="IT",TBL_Employees3[[#This Row],[Gender]]="Female"),"Yes","No")</f>
        <v>No</v>
      </c>
      <c r="Q906" t="str">
        <f>IF(AND(TBL_Employees3[[#This Row],[Gender]]="Female",TBL_Employees3[[#This Row],[Ethnicity]]="Black"), "Female_Black", "Others")</f>
        <v>Others</v>
      </c>
      <c r="T906" t="str">
        <v>E04032</v>
      </c>
    </row>
    <row r="907" spans="1:20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7">
        <v>39960</v>
      </c>
      <c r="J907" s="1">
        <v>62411</v>
      </c>
      <c r="K907" s="2">
        <v>0</v>
      </c>
      <c r="L907" t="s">
        <v>19</v>
      </c>
      <c r="M907" t="s">
        <v>45</v>
      </c>
      <c r="N907" s="7">
        <v>44422</v>
      </c>
      <c r="O907" s="1">
        <f>TBL_Employees3[[#This Row],[Annual Salary]]+TBL_Employees3[[#This Row],[Bonus %]]*TBL_Employees3[[#This Row],[Annual Salary]]</f>
        <v>62411</v>
      </c>
      <c r="P907" t="str">
        <f>IF(AND(TBL_Employees3[[#This Row],[Department]]="IT",TBL_Employees3[[#This Row],[Gender]]="Female"),"Yes","No")</f>
        <v>No</v>
      </c>
      <c r="Q907" t="str">
        <f>IF(AND(TBL_Employees3[[#This Row],[Gender]]="Female",TBL_Employees3[[#This Row],[Ethnicity]]="Black"), "Female_Black", "Others")</f>
        <v>Female_Black</v>
      </c>
      <c r="T907" t="str">
        <v>E00005</v>
      </c>
    </row>
    <row r="908" spans="1:20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7">
        <v>33612</v>
      </c>
      <c r="J908" s="1">
        <v>111299</v>
      </c>
      <c r="K908" s="2">
        <v>0.12</v>
      </c>
      <c r="L908" t="s">
        <v>19</v>
      </c>
      <c r="M908" t="s">
        <v>45</v>
      </c>
      <c r="N908" s="7" t="s">
        <v>21</v>
      </c>
      <c r="O908" s="1">
        <f>TBL_Employees3[[#This Row],[Annual Salary]]+TBL_Employees3[[#This Row],[Bonus %]]*TBL_Employees3[[#This Row],[Annual Salary]]</f>
        <v>124654.88</v>
      </c>
      <c r="P908" t="str">
        <f>IF(AND(TBL_Employees3[[#This Row],[Department]]="IT",TBL_Employees3[[#This Row],[Gender]]="Female"),"Yes","No")</f>
        <v>No</v>
      </c>
      <c r="Q908" t="str">
        <f>IF(AND(TBL_Employees3[[#This Row],[Gender]]="Female",TBL_Employees3[[#This Row],[Ethnicity]]="Black"), "Female_Black", "Others")</f>
        <v>Others</v>
      </c>
      <c r="T908" t="str">
        <v>E04354</v>
      </c>
    </row>
    <row r="909" spans="1:20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7">
        <v>43659</v>
      </c>
      <c r="J909" s="1">
        <v>41545</v>
      </c>
      <c r="K909" s="2">
        <v>0</v>
      </c>
      <c r="L909" t="s">
        <v>19</v>
      </c>
      <c r="M909" t="s">
        <v>45</v>
      </c>
      <c r="N909" s="7" t="s">
        <v>21</v>
      </c>
      <c r="O909" s="1">
        <f>TBL_Employees3[[#This Row],[Annual Salary]]+TBL_Employees3[[#This Row],[Bonus %]]*TBL_Employees3[[#This Row],[Annual Salary]]</f>
        <v>41545</v>
      </c>
      <c r="P909" t="str">
        <f>IF(AND(TBL_Employees3[[#This Row],[Department]]="IT",TBL_Employees3[[#This Row],[Gender]]="Female"),"Yes","No")</f>
        <v>No</v>
      </c>
      <c r="Q909" t="str">
        <f>IF(AND(TBL_Employees3[[#This Row],[Gender]]="Female",TBL_Employees3[[#This Row],[Ethnicity]]="Black"), "Female_Black", "Others")</f>
        <v>Others</v>
      </c>
      <c r="T909" t="str">
        <v>E01578</v>
      </c>
    </row>
    <row r="910" spans="1:20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7">
        <v>43569</v>
      </c>
      <c r="J910" s="1">
        <v>74467</v>
      </c>
      <c r="K910" s="2">
        <v>0</v>
      </c>
      <c r="L910" t="s">
        <v>19</v>
      </c>
      <c r="M910" t="s">
        <v>29</v>
      </c>
      <c r="N910" s="7">
        <v>44211</v>
      </c>
      <c r="O910" s="1">
        <f>TBL_Employees3[[#This Row],[Annual Salary]]+TBL_Employees3[[#This Row],[Bonus %]]*TBL_Employees3[[#This Row],[Annual Salary]]</f>
        <v>74467</v>
      </c>
      <c r="P910" t="str">
        <f>IF(AND(TBL_Employees3[[#This Row],[Department]]="IT",TBL_Employees3[[#This Row],[Gender]]="Female"),"Yes","No")</f>
        <v>No</v>
      </c>
      <c r="Q910" t="str">
        <f>IF(AND(TBL_Employees3[[#This Row],[Gender]]="Female",TBL_Employees3[[#This Row],[Ethnicity]]="Black"), "Female_Black", "Others")</f>
        <v>Others</v>
      </c>
      <c r="T910" t="str">
        <v>E03430</v>
      </c>
    </row>
    <row r="911" spans="1:20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7">
        <v>37296</v>
      </c>
      <c r="J911" s="1">
        <v>117545</v>
      </c>
      <c r="K911" s="2">
        <v>0.06</v>
      </c>
      <c r="L911" t="s">
        <v>19</v>
      </c>
      <c r="M911" t="s">
        <v>39</v>
      </c>
      <c r="N911" s="7" t="s">
        <v>21</v>
      </c>
      <c r="O911" s="1">
        <f>TBL_Employees3[[#This Row],[Annual Salary]]+TBL_Employees3[[#This Row],[Bonus %]]*TBL_Employees3[[#This Row],[Annual Salary]]</f>
        <v>124597.7</v>
      </c>
      <c r="P911" t="str">
        <f>IF(AND(TBL_Employees3[[#This Row],[Department]]="IT",TBL_Employees3[[#This Row],[Gender]]="Female"),"Yes","No")</f>
        <v>No</v>
      </c>
      <c r="Q911" t="str">
        <f>IF(AND(TBL_Employees3[[#This Row],[Gender]]="Female",TBL_Employees3[[#This Row],[Ethnicity]]="Black"), "Female_Black", "Others")</f>
        <v>Others</v>
      </c>
      <c r="T911" t="str">
        <v>E04762</v>
      </c>
    </row>
    <row r="912" spans="1:20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7">
        <v>40983</v>
      </c>
      <c r="J912" s="1">
        <v>117226</v>
      </c>
      <c r="K912" s="2">
        <v>0.08</v>
      </c>
      <c r="L912" t="s">
        <v>19</v>
      </c>
      <c r="M912" t="s">
        <v>39</v>
      </c>
      <c r="N912" s="7" t="s">
        <v>21</v>
      </c>
      <c r="O912" s="1">
        <f>TBL_Employees3[[#This Row],[Annual Salary]]+TBL_Employees3[[#This Row],[Bonus %]]*TBL_Employees3[[#This Row],[Annual Salary]]</f>
        <v>126604.08</v>
      </c>
      <c r="P912" t="str">
        <f>IF(AND(TBL_Employees3[[#This Row],[Department]]="IT",TBL_Employees3[[#This Row],[Gender]]="Female"),"Yes","No")</f>
        <v>No</v>
      </c>
      <c r="Q912" t="str">
        <f>IF(AND(TBL_Employees3[[#This Row],[Gender]]="Female",TBL_Employees3[[#This Row],[Ethnicity]]="Black"), "Female_Black", "Others")</f>
        <v>Others</v>
      </c>
      <c r="T912" t="str">
        <v>E01148</v>
      </c>
    </row>
    <row r="913" spans="1:20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7">
        <v>43489</v>
      </c>
      <c r="J913" s="1">
        <v>55767</v>
      </c>
      <c r="K913" s="2">
        <v>0</v>
      </c>
      <c r="L913" t="s">
        <v>19</v>
      </c>
      <c r="M913" t="s">
        <v>39</v>
      </c>
      <c r="N913" s="7" t="s">
        <v>21</v>
      </c>
      <c r="O913" s="1">
        <f>TBL_Employees3[[#This Row],[Annual Salary]]+TBL_Employees3[[#This Row],[Bonus %]]*TBL_Employees3[[#This Row],[Annual Salary]]</f>
        <v>55767</v>
      </c>
      <c r="P913" t="str">
        <f>IF(AND(TBL_Employees3[[#This Row],[Department]]="IT",TBL_Employees3[[#This Row],[Gender]]="Female"),"Yes","No")</f>
        <v>No</v>
      </c>
      <c r="Q913" t="str">
        <f>IF(AND(TBL_Employees3[[#This Row],[Gender]]="Female",TBL_Employees3[[#This Row],[Ethnicity]]="Black"), "Female_Black", "Others")</f>
        <v>Others</v>
      </c>
      <c r="T913" t="str">
        <v>E03094</v>
      </c>
    </row>
    <row r="914" spans="1:20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7">
        <v>42691</v>
      </c>
      <c r="J914" s="1">
        <v>60930</v>
      </c>
      <c r="K914" s="2">
        <v>0</v>
      </c>
      <c r="L914" t="s">
        <v>19</v>
      </c>
      <c r="M914" t="s">
        <v>25</v>
      </c>
      <c r="N914" s="7" t="s">
        <v>21</v>
      </c>
      <c r="O914" s="1">
        <f>TBL_Employees3[[#This Row],[Annual Salary]]+TBL_Employees3[[#This Row],[Bonus %]]*TBL_Employees3[[#This Row],[Annual Salary]]</f>
        <v>60930</v>
      </c>
      <c r="P914" t="str">
        <f>IF(AND(TBL_Employees3[[#This Row],[Department]]="IT",TBL_Employees3[[#This Row],[Gender]]="Female"),"Yes","No")</f>
        <v>No</v>
      </c>
      <c r="Q914" t="str">
        <f>IF(AND(TBL_Employees3[[#This Row],[Gender]]="Female",TBL_Employees3[[#This Row],[Ethnicity]]="Black"), "Female_Black", "Others")</f>
        <v>Others</v>
      </c>
      <c r="T914" t="str">
        <v>E01909</v>
      </c>
    </row>
    <row r="915" spans="1:20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7">
        <v>43397</v>
      </c>
      <c r="J915" s="1">
        <v>154973</v>
      </c>
      <c r="K915" s="2">
        <v>0.28999999999999998</v>
      </c>
      <c r="L915" t="s">
        <v>52</v>
      </c>
      <c r="M915" t="s">
        <v>53</v>
      </c>
      <c r="N915" s="7" t="s">
        <v>21</v>
      </c>
      <c r="O915" s="1">
        <f>TBL_Employees3[[#This Row],[Annual Salary]]+TBL_Employees3[[#This Row],[Bonus %]]*TBL_Employees3[[#This Row],[Annual Salary]]</f>
        <v>199915.16999999998</v>
      </c>
      <c r="P915" t="str">
        <f>IF(AND(TBL_Employees3[[#This Row],[Department]]="IT",TBL_Employees3[[#This Row],[Gender]]="Female"),"Yes","No")</f>
        <v>No</v>
      </c>
      <c r="Q915" t="str">
        <f>IF(AND(TBL_Employees3[[#This Row],[Gender]]="Female",TBL_Employees3[[#This Row],[Ethnicity]]="Black"), "Female_Black", "Others")</f>
        <v>Others</v>
      </c>
      <c r="T915" t="str">
        <v>E04398</v>
      </c>
    </row>
    <row r="916" spans="1:20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7">
        <v>43029</v>
      </c>
      <c r="J916" s="1">
        <v>69332</v>
      </c>
      <c r="K916" s="2">
        <v>0</v>
      </c>
      <c r="L916" t="s">
        <v>19</v>
      </c>
      <c r="M916" t="s">
        <v>29</v>
      </c>
      <c r="N916" s="7" t="s">
        <v>21</v>
      </c>
      <c r="O916" s="1">
        <f>TBL_Employees3[[#This Row],[Annual Salary]]+TBL_Employees3[[#This Row],[Bonus %]]*TBL_Employees3[[#This Row],[Annual Salary]]</f>
        <v>69332</v>
      </c>
      <c r="P916" t="str">
        <f>IF(AND(TBL_Employees3[[#This Row],[Department]]="IT",TBL_Employees3[[#This Row],[Gender]]="Female"),"Yes","No")</f>
        <v>Yes</v>
      </c>
      <c r="Q916" t="str">
        <f>IF(AND(TBL_Employees3[[#This Row],[Gender]]="Female",TBL_Employees3[[#This Row],[Ethnicity]]="Black"), "Female_Black", "Others")</f>
        <v>Others</v>
      </c>
      <c r="T916" t="str">
        <v>E02521</v>
      </c>
    </row>
    <row r="917" spans="1:20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7">
        <v>36990</v>
      </c>
      <c r="J917" s="1">
        <v>119699</v>
      </c>
      <c r="K917" s="2">
        <v>0</v>
      </c>
      <c r="L917" t="s">
        <v>33</v>
      </c>
      <c r="M917" t="s">
        <v>74</v>
      </c>
      <c r="N917" s="7" t="s">
        <v>21</v>
      </c>
      <c r="O917" s="1">
        <f>TBL_Employees3[[#This Row],[Annual Salary]]+TBL_Employees3[[#This Row],[Bonus %]]*TBL_Employees3[[#This Row],[Annual Salary]]</f>
        <v>119699</v>
      </c>
      <c r="P917" t="str">
        <f>IF(AND(TBL_Employees3[[#This Row],[Department]]="IT",TBL_Employees3[[#This Row],[Gender]]="Female"),"Yes","No")</f>
        <v>No</v>
      </c>
      <c r="Q917" t="str">
        <f>IF(AND(TBL_Employees3[[#This Row],[Gender]]="Female",TBL_Employees3[[#This Row],[Ethnicity]]="Black"), "Female_Black", "Others")</f>
        <v>Others</v>
      </c>
      <c r="T917" t="str">
        <v>E03545</v>
      </c>
    </row>
    <row r="918" spans="1:20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7">
        <v>44094</v>
      </c>
      <c r="J918" s="1">
        <v>198176</v>
      </c>
      <c r="K918" s="2">
        <v>0.17</v>
      </c>
      <c r="L918" t="s">
        <v>52</v>
      </c>
      <c r="M918" t="s">
        <v>81</v>
      </c>
      <c r="N918" s="7" t="s">
        <v>21</v>
      </c>
      <c r="O918" s="1">
        <f>TBL_Employees3[[#This Row],[Annual Salary]]+TBL_Employees3[[#This Row],[Bonus %]]*TBL_Employees3[[#This Row],[Annual Salary]]</f>
        <v>231865.92</v>
      </c>
      <c r="P918" t="str">
        <f>IF(AND(TBL_Employees3[[#This Row],[Department]]="IT",TBL_Employees3[[#This Row],[Gender]]="Female"),"Yes","No")</f>
        <v>No</v>
      </c>
      <c r="Q918" t="str">
        <f>IF(AND(TBL_Employees3[[#This Row],[Gender]]="Female",TBL_Employees3[[#This Row],[Ethnicity]]="Black"), "Female_Black", "Others")</f>
        <v>Others</v>
      </c>
      <c r="T918">
        <v>0</v>
      </c>
    </row>
    <row r="919" spans="1:20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7">
        <v>41127</v>
      </c>
      <c r="J919" s="1">
        <v>58586</v>
      </c>
      <c r="K919" s="2">
        <v>0</v>
      </c>
      <c r="L919" t="s">
        <v>52</v>
      </c>
      <c r="M919" t="s">
        <v>53</v>
      </c>
      <c r="N919" s="7" t="s">
        <v>21</v>
      </c>
      <c r="O919" s="1">
        <f>TBL_Employees3[[#This Row],[Annual Salary]]+TBL_Employees3[[#This Row],[Bonus %]]*TBL_Employees3[[#This Row],[Annual Salary]]</f>
        <v>58586</v>
      </c>
      <c r="P919" t="str">
        <f>IF(AND(TBL_Employees3[[#This Row],[Department]]="IT",TBL_Employees3[[#This Row],[Gender]]="Female"),"Yes","No")</f>
        <v>No</v>
      </c>
      <c r="Q919" t="str">
        <f>IF(AND(TBL_Employees3[[#This Row],[Gender]]="Female",TBL_Employees3[[#This Row],[Ethnicity]]="Black"), "Female_Black", "Others")</f>
        <v>Others</v>
      </c>
    </row>
    <row r="920" spans="1:20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7">
        <v>40875</v>
      </c>
      <c r="J920" s="1">
        <v>74010</v>
      </c>
      <c r="K920" s="2">
        <v>0</v>
      </c>
      <c r="L920" t="s">
        <v>19</v>
      </c>
      <c r="M920" t="s">
        <v>20</v>
      </c>
      <c r="N920" s="7" t="s">
        <v>21</v>
      </c>
      <c r="O920" s="1">
        <f>TBL_Employees3[[#This Row],[Annual Salary]]+TBL_Employees3[[#This Row],[Bonus %]]*TBL_Employees3[[#This Row],[Annual Salary]]</f>
        <v>74010</v>
      </c>
      <c r="P920" t="str">
        <f>IF(AND(TBL_Employees3[[#This Row],[Department]]="IT",TBL_Employees3[[#This Row],[Gender]]="Female"),"Yes","No")</f>
        <v>No</v>
      </c>
      <c r="Q920" t="str">
        <f>IF(AND(TBL_Employees3[[#This Row],[Gender]]="Female",TBL_Employees3[[#This Row],[Ethnicity]]="Black"), "Female_Black", "Others")</f>
        <v>Others</v>
      </c>
    </row>
    <row r="921" spans="1:20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7">
        <v>43864</v>
      </c>
      <c r="J921" s="1">
        <v>96598</v>
      </c>
      <c r="K921" s="2">
        <v>0</v>
      </c>
      <c r="L921" t="s">
        <v>19</v>
      </c>
      <c r="M921" t="s">
        <v>39</v>
      </c>
      <c r="N921" s="7" t="s">
        <v>21</v>
      </c>
      <c r="O921" s="1">
        <f>TBL_Employees3[[#This Row],[Annual Salary]]+TBL_Employees3[[#This Row],[Bonus %]]*TBL_Employees3[[#This Row],[Annual Salary]]</f>
        <v>96598</v>
      </c>
      <c r="P921" t="str">
        <f>IF(AND(TBL_Employees3[[#This Row],[Department]]="IT",TBL_Employees3[[#This Row],[Gender]]="Female"),"Yes","No")</f>
        <v>No</v>
      </c>
      <c r="Q921" t="str">
        <f>IF(AND(TBL_Employees3[[#This Row],[Gender]]="Female",TBL_Employees3[[#This Row],[Ethnicity]]="Black"), "Female_Black", "Others")</f>
        <v>Others</v>
      </c>
    </row>
    <row r="922" spans="1:20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7">
        <v>37762</v>
      </c>
      <c r="J922" s="1">
        <v>106444</v>
      </c>
      <c r="K922" s="2">
        <v>0.05</v>
      </c>
      <c r="L922" t="s">
        <v>19</v>
      </c>
      <c r="M922" t="s">
        <v>39</v>
      </c>
      <c r="N922" s="7" t="s">
        <v>21</v>
      </c>
      <c r="O922" s="1">
        <f>TBL_Employees3[[#This Row],[Annual Salary]]+TBL_Employees3[[#This Row],[Bonus %]]*TBL_Employees3[[#This Row],[Annual Salary]]</f>
        <v>111766.2</v>
      </c>
      <c r="P922" t="str">
        <f>IF(AND(TBL_Employees3[[#This Row],[Department]]="IT",TBL_Employees3[[#This Row],[Gender]]="Female"),"Yes","No")</f>
        <v>No</v>
      </c>
      <c r="Q922" t="str">
        <f>IF(AND(TBL_Employees3[[#This Row],[Gender]]="Female",TBL_Employees3[[#This Row],[Ethnicity]]="Black"), "Female_Black", "Others")</f>
        <v>Others</v>
      </c>
    </row>
    <row r="923" spans="1:20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7">
        <v>42957</v>
      </c>
      <c r="J923" s="1">
        <v>156931</v>
      </c>
      <c r="K923" s="2">
        <v>0.28000000000000003</v>
      </c>
      <c r="L923" t="s">
        <v>19</v>
      </c>
      <c r="M923" t="s">
        <v>63</v>
      </c>
      <c r="N923" s="7" t="s">
        <v>21</v>
      </c>
      <c r="O923" s="1">
        <f>TBL_Employees3[[#This Row],[Annual Salary]]+TBL_Employees3[[#This Row],[Bonus %]]*TBL_Employees3[[#This Row],[Annual Salary]]</f>
        <v>200871.67999999999</v>
      </c>
      <c r="P923" t="str">
        <f>IF(AND(TBL_Employees3[[#This Row],[Department]]="IT",TBL_Employees3[[#This Row],[Gender]]="Female"),"Yes","No")</f>
        <v>No</v>
      </c>
      <c r="Q923" t="str">
        <f>IF(AND(TBL_Employees3[[#This Row],[Gender]]="Female",TBL_Employees3[[#This Row],[Ethnicity]]="Black"), "Female_Black", "Others")</f>
        <v>Others</v>
      </c>
    </row>
    <row r="924" spans="1:20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7">
        <v>41928</v>
      </c>
      <c r="J924" s="1">
        <v>171360</v>
      </c>
      <c r="K924" s="2">
        <v>0.23</v>
      </c>
      <c r="L924" t="s">
        <v>52</v>
      </c>
      <c r="M924" t="s">
        <v>81</v>
      </c>
      <c r="N924" s="7" t="s">
        <v>21</v>
      </c>
      <c r="O924" s="1">
        <f>TBL_Employees3[[#This Row],[Annual Salary]]+TBL_Employees3[[#This Row],[Bonus %]]*TBL_Employees3[[#This Row],[Annual Salary]]</f>
        <v>210772.8</v>
      </c>
      <c r="P924" t="str">
        <f>IF(AND(TBL_Employees3[[#This Row],[Department]]="IT",TBL_Employees3[[#This Row],[Gender]]="Female"),"Yes","No")</f>
        <v>No</v>
      </c>
      <c r="Q924" t="str">
        <f>IF(AND(TBL_Employees3[[#This Row],[Gender]]="Female",TBL_Employees3[[#This Row],[Ethnicity]]="Black"), "Female_Black", "Others")</f>
        <v>Others</v>
      </c>
    </row>
    <row r="925" spans="1:20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7">
        <v>39908</v>
      </c>
      <c r="J925" s="1">
        <v>64505</v>
      </c>
      <c r="K925" s="2">
        <v>0</v>
      </c>
      <c r="L925" t="s">
        <v>19</v>
      </c>
      <c r="M925" t="s">
        <v>45</v>
      </c>
      <c r="N925" s="7" t="s">
        <v>21</v>
      </c>
      <c r="O925" s="1">
        <f>TBL_Employees3[[#This Row],[Annual Salary]]+TBL_Employees3[[#This Row],[Bonus %]]*TBL_Employees3[[#This Row],[Annual Salary]]</f>
        <v>64505</v>
      </c>
      <c r="P925" t="str">
        <f>IF(AND(TBL_Employees3[[#This Row],[Department]]="IT",TBL_Employees3[[#This Row],[Gender]]="Female"),"Yes","No")</f>
        <v>Yes</v>
      </c>
      <c r="Q925" t="str">
        <f>IF(AND(TBL_Employees3[[#This Row],[Gender]]="Female",TBL_Employees3[[#This Row],[Ethnicity]]="Black"), "Female_Black", "Others")</f>
        <v>Others</v>
      </c>
    </row>
    <row r="926" spans="1:20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7">
        <v>44478</v>
      </c>
      <c r="J926" s="1">
        <v>102298</v>
      </c>
      <c r="K926" s="2">
        <v>0.13</v>
      </c>
      <c r="L926" t="s">
        <v>52</v>
      </c>
      <c r="M926" t="s">
        <v>66</v>
      </c>
      <c r="N926" s="7" t="s">
        <v>21</v>
      </c>
      <c r="O926" s="1">
        <f>TBL_Employees3[[#This Row],[Annual Salary]]+TBL_Employees3[[#This Row],[Bonus %]]*TBL_Employees3[[#This Row],[Annual Salary]]</f>
        <v>115596.74</v>
      </c>
      <c r="P926" t="str">
        <f>IF(AND(TBL_Employees3[[#This Row],[Department]]="IT",TBL_Employees3[[#This Row],[Gender]]="Female"),"Yes","No")</f>
        <v>No</v>
      </c>
      <c r="Q926" t="str">
        <f>IF(AND(TBL_Employees3[[#This Row],[Gender]]="Female",TBL_Employees3[[#This Row],[Ethnicity]]="Black"), "Female_Black", "Others")</f>
        <v>Others</v>
      </c>
    </row>
    <row r="927" spans="1:20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7">
        <v>43721</v>
      </c>
      <c r="J927" s="1">
        <v>133297</v>
      </c>
      <c r="K927" s="2">
        <v>0.13</v>
      </c>
      <c r="L927" t="s">
        <v>52</v>
      </c>
      <c r="M927" t="s">
        <v>66</v>
      </c>
      <c r="N927" s="7" t="s">
        <v>21</v>
      </c>
      <c r="O927" s="1">
        <f>TBL_Employees3[[#This Row],[Annual Salary]]+TBL_Employees3[[#This Row],[Bonus %]]*TBL_Employees3[[#This Row],[Annual Salary]]</f>
        <v>150625.60999999999</v>
      </c>
      <c r="P927" t="str">
        <f>IF(AND(TBL_Employees3[[#This Row],[Department]]="IT",TBL_Employees3[[#This Row],[Gender]]="Female"),"Yes","No")</f>
        <v>No</v>
      </c>
      <c r="Q927" t="str">
        <f>IF(AND(TBL_Employees3[[#This Row],[Gender]]="Female",TBL_Employees3[[#This Row],[Ethnicity]]="Black"), "Female_Black", "Others")</f>
        <v>Others</v>
      </c>
    </row>
    <row r="928" spans="1:20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7">
        <v>44272</v>
      </c>
      <c r="J928" s="1">
        <v>155080</v>
      </c>
      <c r="K928" s="2">
        <v>0.1</v>
      </c>
      <c r="L928" t="s">
        <v>19</v>
      </c>
      <c r="M928" t="s">
        <v>25</v>
      </c>
      <c r="N928" s="7" t="s">
        <v>21</v>
      </c>
      <c r="O928" s="1">
        <f>TBL_Employees3[[#This Row],[Annual Salary]]+TBL_Employees3[[#This Row],[Bonus %]]*TBL_Employees3[[#This Row],[Annual Salary]]</f>
        <v>170588</v>
      </c>
      <c r="P928" t="str">
        <f>IF(AND(TBL_Employees3[[#This Row],[Department]]="IT",TBL_Employees3[[#This Row],[Gender]]="Female"),"Yes","No")</f>
        <v>No</v>
      </c>
      <c r="Q928" t="str">
        <f>IF(AND(TBL_Employees3[[#This Row],[Gender]]="Female",TBL_Employees3[[#This Row],[Ethnicity]]="Black"), "Female_Black", "Others")</f>
        <v>Female_Black</v>
      </c>
    </row>
    <row r="929" spans="1:17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7">
        <v>43325</v>
      </c>
      <c r="J929" s="1">
        <v>81828</v>
      </c>
      <c r="K929" s="2">
        <v>0</v>
      </c>
      <c r="L929" t="s">
        <v>19</v>
      </c>
      <c r="M929" t="s">
        <v>45</v>
      </c>
      <c r="N929" s="7" t="s">
        <v>21</v>
      </c>
      <c r="O929" s="1">
        <f>TBL_Employees3[[#This Row],[Annual Salary]]+TBL_Employees3[[#This Row],[Bonus %]]*TBL_Employees3[[#This Row],[Annual Salary]]</f>
        <v>81828</v>
      </c>
      <c r="P929" t="str">
        <f>IF(AND(TBL_Employees3[[#This Row],[Department]]="IT",TBL_Employees3[[#This Row],[Gender]]="Female"),"Yes","No")</f>
        <v>No</v>
      </c>
      <c r="Q929" t="str">
        <f>IF(AND(TBL_Employees3[[#This Row],[Gender]]="Female",TBL_Employees3[[#This Row],[Ethnicity]]="Black"), "Female_Black", "Others")</f>
        <v>Others</v>
      </c>
    </row>
    <row r="930" spans="1:17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7">
        <v>36823</v>
      </c>
      <c r="J930" s="1">
        <v>149417</v>
      </c>
      <c r="K930" s="2">
        <v>0.13</v>
      </c>
      <c r="L930" t="s">
        <v>33</v>
      </c>
      <c r="M930" t="s">
        <v>34</v>
      </c>
      <c r="N930" s="7" t="s">
        <v>21</v>
      </c>
      <c r="O930" s="1">
        <f>TBL_Employees3[[#This Row],[Annual Salary]]+TBL_Employees3[[#This Row],[Bonus %]]*TBL_Employees3[[#This Row],[Annual Salary]]</f>
        <v>168841.21</v>
      </c>
      <c r="P930" t="str">
        <f>IF(AND(TBL_Employees3[[#This Row],[Department]]="IT",TBL_Employees3[[#This Row],[Gender]]="Female"),"Yes","No")</f>
        <v>No</v>
      </c>
      <c r="Q930" t="str">
        <f>IF(AND(TBL_Employees3[[#This Row],[Gender]]="Female",TBL_Employees3[[#This Row],[Ethnicity]]="Black"), "Female_Black", "Others")</f>
        <v>Others</v>
      </c>
    </row>
    <row r="931" spans="1:17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7">
        <v>41024</v>
      </c>
      <c r="J931" s="1">
        <v>113269</v>
      </c>
      <c r="K931" s="2">
        <v>0.09</v>
      </c>
      <c r="L931" t="s">
        <v>52</v>
      </c>
      <c r="M931" t="s">
        <v>53</v>
      </c>
      <c r="N931" s="7" t="s">
        <v>21</v>
      </c>
      <c r="O931" s="1">
        <f>TBL_Employees3[[#This Row],[Annual Salary]]+TBL_Employees3[[#This Row],[Bonus %]]*TBL_Employees3[[#This Row],[Annual Salary]]</f>
        <v>123463.20999999999</v>
      </c>
      <c r="P931" t="str">
        <f>IF(AND(TBL_Employees3[[#This Row],[Department]]="IT",TBL_Employees3[[#This Row],[Gender]]="Female"),"Yes","No")</f>
        <v>No</v>
      </c>
      <c r="Q931" t="str">
        <f>IF(AND(TBL_Employees3[[#This Row],[Gender]]="Female",TBL_Employees3[[#This Row],[Ethnicity]]="Black"), "Female_Black", "Others")</f>
        <v>Others</v>
      </c>
    </row>
    <row r="932" spans="1:17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7">
        <v>43085</v>
      </c>
      <c r="J932" s="1">
        <v>136716</v>
      </c>
      <c r="K932" s="2">
        <v>0.12</v>
      </c>
      <c r="L932" t="s">
        <v>19</v>
      </c>
      <c r="M932" t="s">
        <v>25</v>
      </c>
      <c r="N932" s="7" t="s">
        <v>21</v>
      </c>
      <c r="O932" s="1">
        <f>TBL_Employees3[[#This Row],[Annual Salary]]+TBL_Employees3[[#This Row],[Bonus %]]*TBL_Employees3[[#This Row],[Annual Salary]]</f>
        <v>153121.91999999998</v>
      </c>
      <c r="P932" t="str">
        <f>IF(AND(TBL_Employees3[[#This Row],[Department]]="IT",TBL_Employees3[[#This Row],[Gender]]="Female"),"Yes","No")</f>
        <v>No</v>
      </c>
      <c r="Q932" t="str">
        <f>IF(AND(TBL_Employees3[[#This Row],[Gender]]="Female",TBL_Employees3[[#This Row],[Ethnicity]]="Black"), "Female_Black", "Others")</f>
        <v>Others</v>
      </c>
    </row>
    <row r="933" spans="1:17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7">
        <v>40836</v>
      </c>
      <c r="J933" s="1">
        <v>122644</v>
      </c>
      <c r="K933" s="2">
        <v>0.12</v>
      </c>
      <c r="L933" t="s">
        <v>19</v>
      </c>
      <c r="M933" t="s">
        <v>25</v>
      </c>
      <c r="N933" s="7" t="s">
        <v>21</v>
      </c>
      <c r="O933" s="1">
        <f>TBL_Employees3[[#This Row],[Annual Salary]]+TBL_Employees3[[#This Row],[Bonus %]]*TBL_Employees3[[#This Row],[Annual Salary]]</f>
        <v>137361.28</v>
      </c>
      <c r="P933" t="str">
        <f>IF(AND(TBL_Employees3[[#This Row],[Department]]="IT",TBL_Employees3[[#This Row],[Gender]]="Female"),"Yes","No")</f>
        <v>No</v>
      </c>
      <c r="Q933" t="str">
        <f>IF(AND(TBL_Employees3[[#This Row],[Gender]]="Female",TBL_Employees3[[#This Row],[Ethnicity]]="Black"), "Female_Black", "Others")</f>
        <v>Others</v>
      </c>
    </row>
    <row r="934" spans="1:17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7">
        <v>36653</v>
      </c>
      <c r="J934" s="1">
        <v>106428</v>
      </c>
      <c r="K934" s="2">
        <v>7.0000000000000007E-2</v>
      </c>
      <c r="L934" t="s">
        <v>19</v>
      </c>
      <c r="M934" t="s">
        <v>20</v>
      </c>
      <c r="N934" s="7" t="s">
        <v>21</v>
      </c>
      <c r="O934" s="1">
        <f>TBL_Employees3[[#This Row],[Annual Salary]]+TBL_Employees3[[#This Row],[Bonus %]]*TBL_Employees3[[#This Row],[Annual Salary]]</f>
        <v>113877.96</v>
      </c>
      <c r="P934" t="str">
        <f>IF(AND(TBL_Employees3[[#This Row],[Department]]="IT",TBL_Employees3[[#This Row],[Gender]]="Female"),"Yes","No")</f>
        <v>No</v>
      </c>
      <c r="Q934" t="str">
        <f>IF(AND(TBL_Employees3[[#This Row],[Gender]]="Female",TBL_Employees3[[#This Row],[Ethnicity]]="Black"), "Female_Black", "Others")</f>
        <v>Others</v>
      </c>
    </row>
    <row r="935" spans="1:17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7">
        <v>39830</v>
      </c>
      <c r="J935" s="1">
        <v>238236</v>
      </c>
      <c r="K935" s="2">
        <v>0.31</v>
      </c>
      <c r="L935" t="s">
        <v>19</v>
      </c>
      <c r="M935" t="s">
        <v>63</v>
      </c>
      <c r="N935" s="7" t="s">
        <v>21</v>
      </c>
      <c r="O935" s="1">
        <f>TBL_Employees3[[#This Row],[Annual Salary]]+TBL_Employees3[[#This Row],[Bonus %]]*TBL_Employees3[[#This Row],[Annual Salary]]</f>
        <v>312089.16000000003</v>
      </c>
      <c r="P935" t="str">
        <f>IF(AND(TBL_Employees3[[#This Row],[Department]]="IT",TBL_Employees3[[#This Row],[Gender]]="Female"),"Yes","No")</f>
        <v>No</v>
      </c>
      <c r="Q935" t="str">
        <f>IF(AND(TBL_Employees3[[#This Row],[Gender]]="Female",TBL_Employees3[[#This Row],[Ethnicity]]="Black"), "Female_Black", "Others")</f>
        <v>Others</v>
      </c>
    </row>
    <row r="936" spans="1:17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7">
        <v>41264</v>
      </c>
      <c r="J936" s="1">
        <v>153253</v>
      </c>
      <c r="K936" s="2">
        <v>0.24</v>
      </c>
      <c r="L936" t="s">
        <v>19</v>
      </c>
      <c r="M936" t="s">
        <v>25</v>
      </c>
      <c r="N936" s="7" t="s">
        <v>21</v>
      </c>
      <c r="O936" s="1">
        <f>TBL_Employees3[[#This Row],[Annual Salary]]+TBL_Employees3[[#This Row],[Bonus %]]*TBL_Employees3[[#This Row],[Annual Salary]]</f>
        <v>190033.72</v>
      </c>
      <c r="P936" t="str">
        <f>IF(AND(TBL_Employees3[[#This Row],[Department]]="IT",TBL_Employees3[[#This Row],[Gender]]="Female"),"Yes","No")</f>
        <v>No</v>
      </c>
      <c r="Q936" t="str">
        <f>IF(AND(TBL_Employees3[[#This Row],[Gender]]="Female",TBL_Employees3[[#This Row],[Ethnicity]]="Black"), "Female_Black", "Others")</f>
        <v>Others</v>
      </c>
    </row>
    <row r="937" spans="1:17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7">
        <v>41915</v>
      </c>
      <c r="J937" s="1">
        <v>103707</v>
      </c>
      <c r="K937" s="2">
        <v>0.09</v>
      </c>
      <c r="L937" t="s">
        <v>19</v>
      </c>
      <c r="M937" t="s">
        <v>29</v>
      </c>
      <c r="N937" s="7" t="s">
        <v>21</v>
      </c>
      <c r="O937" s="1">
        <f>TBL_Employees3[[#This Row],[Annual Salary]]+TBL_Employees3[[#This Row],[Bonus %]]*TBL_Employees3[[#This Row],[Annual Salary]]</f>
        <v>113040.63</v>
      </c>
      <c r="P937" t="str">
        <f>IF(AND(TBL_Employees3[[#This Row],[Department]]="IT",TBL_Employees3[[#This Row],[Gender]]="Female"),"Yes","No")</f>
        <v>No</v>
      </c>
      <c r="Q937" t="str">
        <f>IF(AND(TBL_Employees3[[#This Row],[Gender]]="Female",TBL_Employees3[[#This Row],[Ethnicity]]="Black"), "Female_Black", "Others")</f>
        <v>Others</v>
      </c>
    </row>
    <row r="938" spans="1:17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7">
        <v>41130</v>
      </c>
      <c r="J938" s="1">
        <v>245360</v>
      </c>
      <c r="K938" s="2">
        <v>0.37</v>
      </c>
      <c r="L938" t="s">
        <v>19</v>
      </c>
      <c r="M938" t="s">
        <v>25</v>
      </c>
      <c r="N938" s="7" t="s">
        <v>21</v>
      </c>
      <c r="O938" s="1">
        <f>TBL_Employees3[[#This Row],[Annual Salary]]+TBL_Employees3[[#This Row],[Bonus %]]*TBL_Employees3[[#This Row],[Annual Salary]]</f>
        <v>336143.2</v>
      </c>
      <c r="P938" t="str">
        <f>IF(AND(TBL_Employees3[[#This Row],[Department]]="IT",TBL_Employees3[[#This Row],[Gender]]="Female"),"Yes","No")</f>
        <v>No</v>
      </c>
      <c r="Q938" t="str">
        <f>IF(AND(TBL_Employees3[[#This Row],[Gender]]="Female",TBL_Employees3[[#This Row],[Ethnicity]]="Black"), "Female_Black", "Others")</f>
        <v>Others</v>
      </c>
    </row>
    <row r="939" spans="1:17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7">
        <v>44385</v>
      </c>
      <c r="J939" s="1">
        <v>67275</v>
      </c>
      <c r="K939" s="2">
        <v>0</v>
      </c>
      <c r="L939" t="s">
        <v>19</v>
      </c>
      <c r="M939" t="s">
        <v>29</v>
      </c>
      <c r="N939" s="7" t="s">
        <v>21</v>
      </c>
      <c r="O939" s="1">
        <f>TBL_Employees3[[#This Row],[Annual Salary]]+TBL_Employees3[[#This Row],[Bonus %]]*TBL_Employees3[[#This Row],[Annual Salary]]</f>
        <v>67275</v>
      </c>
      <c r="P939" t="str">
        <f>IF(AND(TBL_Employees3[[#This Row],[Department]]="IT",TBL_Employees3[[#This Row],[Gender]]="Female"),"Yes","No")</f>
        <v>No</v>
      </c>
      <c r="Q939" t="str">
        <f>IF(AND(TBL_Employees3[[#This Row],[Gender]]="Female",TBL_Employees3[[#This Row],[Ethnicity]]="Black"), "Female_Black", "Others")</f>
        <v>Others</v>
      </c>
    </row>
    <row r="940" spans="1:17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7">
        <v>42026</v>
      </c>
      <c r="J940" s="1">
        <v>101288</v>
      </c>
      <c r="K940" s="2">
        <v>0.1</v>
      </c>
      <c r="L940" t="s">
        <v>19</v>
      </c>
      <c r="M940" t="s">
        <v>39</v>
      </c>
      <c r="N940" s="7" t="s">
        <v>21</v>
      </c>
      <c r="O940" s="1">
        <f>TBL_Employees3[[#This Row],[Annual Salary]]+TBL_Employees3[[#This Row],[Bonus %]]*TBL_Employees3[[#This Row],[Annual Salary]]</f>
        <v>111416.8</v>
      </c>
      <c r="P940" t="str">
        <f>IF(AND(TBL_Employees3[[#This Row],[Department]]="IT",TBL_Employees3[[#This Row],[Gender]]="Female"),"Yes","No")</f>
        <v>No</v>
      </c>
      <c r="Q940" t="str">
        <f>IF(AND(TBL_Employees3[[#This Row],[Gender]]="Female",TBL_Employees3[[#This Row],[Ethnicity]]="Black"), "Female_Black", "Others")</f>
        <v>Others</v>
      </c>
    </row>
    <row r="941" spans="1:17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7">
        <v>34209</v>
      </c>
      <c r="J941" s="1">
        <v>177443</v>
      </c>
      <c r="K941" s="2">
        <v>0.25</v>
      </c>
      <c r="L941" t="s">
        <v>52</v>
      </c>
      <c r="M941" t="s">
        <v>53</v>
      </c>
      <c r="N941" s="7" t="s">
        <v>21</v>
      </c>
      <c r="O941" s="1">
        <f>TBL_Employees3[[#This Row],[Annual Salary]]+TBL_Employees3[[#This Row],[Bonus %]]*TBL_Employees3[[#This Row],[Annual Salary]]</f>
        <v>221803.75</v>
      </c>
      <c r="P941" t="str">
        <f>IF(AND(TBL_Employees3[[#This Row],[Department]]="IT",TBL_Employees3[[#This Row],[Gender]]="Female"),"Yes","No")</f>
        <v>No</v>
      </c>
      <c r="Q941" t="str">
        <f>IF(AND(TBL_Employees3[[#This Row],[Gender]]="Female",TBL_Employees3[[#This Row],[Ethnicity]]="Black"), "Female_Black", "Others")</f>
        <v>Others</v>
      </c>
    </row>
    <row r="942" spans="1:17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7">
        <v>42487</v>
      </c>
      <c r="J942" s="1">
        <v>91400</v>
      </c>
      <c r="K942" s="2">
        <v>0</v>
      </c>
      <c r="L942" t="s">
        <v>19</v>
      </c>
      <c r="M942" t="s">
        <v>20</v>
      </c>
      <c r="N942" s="7" t="s">
        <v>21</v>
      </c>
      <c r="O942" s="1">
        <f>TBL_Employees3[[#This Row],[Annual Salary]]+TBL_Employees3[[#This Row],[Bonus %]]*TBL_Employees3[[#This Row],[Annual Salary]]</f>
        <v>91400</v>
      </c>
      <c r="P942" t="str">
        <f>IF(AND(TBL_Employees3[[#This Row],[Department]]="IT",TBL_Employees3[[#This Row],[Gender]]="Female"),"Yes","No")</f>
        <v>Yes</v>
      </c>
      <c r="Q942" t="str">
        <f>IF(AND(TBL_Employees3[[#This Row],[Gender]]="Female",TBL_Employees3[[#This Row],[Ethnicity]]="Black"), "Female_Black", "Others")</f>
        <v>Female_Black</v>
      </c>
    </row>
    <row r="943" spans="1:17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7">
        <v>39335</v>
      </c>
      <c r="J943" s="1">
        <v>181247</v>
      </c>
      <c r="K943" s="2">
        <v>0.33</v>
      </c>
      <c r="L943" t="s">
        <v>52</v>
      </c>
      <c r="M943" t="s">
        <v>53</v>
      </c>
      <c r="N943" s="7" t="s">
        <v>21</v>
      </c>
      <c r="O943" s="1">
        <f>TBL_Employees3[[#This Row],[Annual Salary]]+TBL_Employees3[[#This Row],[Bonus %]]*TBL_Employees3[[#This Row],[Annual Salary]]</f>
        <v>241058.51</v>
      </c>
      <c r="P943" t="str">
        <f>IF(AND(TBL_Employees3[[#This Row],[Department]]="IT",TBL_Employees3[[#This Row],[Gender]]="Female"),"Yes","No")</f>
        <v>No</v>
      </c>
      <c r="Q943" t="str">
        <f>IF(AND(TBL_Employees3[[#This Row],[Gender]]="Female",TBL_Employees3[[#This Row],[Ethnicity]]="Black"), "Female_Black", "Others")</f>
        <v>Others</v>
      </c>
    </row>
    <row r="944" spans="1:17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7">
        <v>37914</v>
      </c>
      <c r="J944" s="1">
        <v>135558</v>
      </c>
      <c r="K944" s="2">
        <v>0.14000000000000001</v>
      </c>
      <c r="L944" t="s">
        <v>19</v>
      </c>
      <c r="M944" t="s">
        <v>39</v>
      </c>
      <c r="N944" s="7" t="s">
        <v>21</v>
      </c>
      <c r="O944" s="1">
        <f>TBL_Employees3[[#This Row],[Annual Salary]]+TBL_Employees3[[#This Row],[Bonus %]]*TBL_Employees3[[#This Row],[Annual Salary]]</f>
        <v>154536.12</v>
      </c>
      <c r="P944" t="str">
        <f>IF(AND(TBL_Employees3[[#This Row],[Department]]="IT",TBL_Employees3[[#This Row],[Gender]]="Female"),"Yes","No")</f>
        <v>No</v>
      </c>
      <c r="Q944" t="str">
        <f>IF(AND(TBL_Employees3[[#This Row],[Gender]]="Female",TBL_Employees3[[#This Row],[Ethnicity]]="Black"), "Female_Black", "Others")</f>
        <v>Others</v>
      </c>
    </row>
    <row r="945" spans="1:17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7">
        <v>40894</v>
      </c>
      <c r="J945" s="1">
        <v>56878</v>
      </c>
      <c r="K945" s="2">
        <v>0</v>
      </c>
      <c r="L945" t="s">
        <v>19</v>
      </c>
      <c r="M945" t="s">
        <v>63</v>
      </c>
      <c r="N945" s="7" t="s">
        <v>21</v>
      </c>
      <c r="O945" s="1">
        <f>TBL_Employees3[[#This Row],[Annual Salary]]+TBL_Employees3[[#This Row],[Bonus %]]*TBL_Employees3[[#This Row],[Annual Salary]]</f>
        <v>56878</v>
      </c>
      <c r="P945" t="str">
        <f>IF(AND(TBL_Employees3[[#This Row],[Department]]="IT",TBL_Employees3[[#This Row],[Gender]]="Female"),"Yes","No")</f>
        <v>No</v>
      </c>
      <c r="Q945" t="str">
        <f>IF(AND(TBL_Employees3[[#This Row],[Gender]]="Female",TBL_Employees3[[#This Row],[Ethnicity]]="Black"), "Female_Black", "Others")</f>
        <v>Others</v>
      </c>
    </row>
    <row r="946" spans="1:17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7">
        <v>43728</v>
      </c>
      <c r="J946" s="1">
        <v>94735</v>
      </c>
      <c r="K946" s="2">
        <v>0</v>
      </c>
      <c r="L946" t="s">
        <v>33</v>
      </c>
      <c r="M946" t="s">
        <v>60</v>
      </c>
      <c r="N946" s="7" t="s">
        <v>21</v>
      </c>
      <c r="O946" s="1">
        <f>TBL_Employees3[[#This Row],[Annual Salary]]+TBL_Employees3[[#This Row],[Bonus %]]*TBL_Employees3[[#This Row],[Annual Salary]]</f>
        <v>94735</v>
      </c>
      <c r="P946" t="str">
        <f>IF(AND(TBL_Employees3[[#This Row],[Department]]="IT",TBL_Employees3[[#This Row],[Gender]]="Female"),"Yes","No")</f>
        <v>No</v>
      </c>
      <c r="Q946" t="str">
        <f>IF(AND(TBL_Employees3[[#This Row],[Gender]]="Female",TBL_Employees3[[#This Row],[Ethnicity]]="Black"), "Female_Black", "Others")</f>
        <v>Others</v>
      </c>
    </row>
    <row r="947" spans="1:17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7">
        <v>39229</v>
      </c>
      <c r="J947" s="1">
        <v>51234</v>
      </c>
      <c r="K947" s="2">
        <v>0</v>
      </c>
      <c r="L947" t="s">
        <v>19</v>
      </c>
      <c r="M947" t="s">
        <v>63</v>
      </c>
      <c r="N947" s="7" t="s">
        <v>21</v>
      </c>
      <c r="O947" s="1">
        <f>TBL_Employees3[[#This Row],[Annual Salary]]+TBL_Employees3[[#This Row],[Bonus %]]*TBL_Employees3[[#This Row],[Annual Salary]]</f>
        <v>51234</v>
      </c>
      <c r="P947" t="str">
        <f>IF(AND(TBL_Employees3[[#This Row],[Department]]="IT",TBL_Employees3[[#This Row],[Gender]]="Female"),"Yes","No")</f>
        <v>No</v>
      </c>
      <c r="Q947" t="str">
        <f>IF(AND(TBL_Employees3[[#This Row],[Gender]]="Female",TBL_Employees3[[#This Row],[Ethnicity]]="Black"), "Female_Black", "Others")</f>
        <v>Others</v>
      </c>
    </row>
    <row r="948" spans="1:17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7">
        <v>42018</v>
      </c>
      <c r="J948" s="1">
        <v>230025</v>
      </c>
      <c r="K948" s="2">
        <v>0.34</v>
      </c>
      <c r="L948" t="s">
        <v>19</v>
      </c>
      <c r="M948" t="s">
        <v>39</v>
      </c>
      <c r="N948" s="7" t="s">
        <v>21</v>
      </c>
      <c r="O948" s="1">
        <f>TBL_Employees3[[#This Row],[Annual Salary]]+TBL_Employees3[[#This Row],[Bonus %]]*TBL_Employees3[[#This Row],[Annual Salary]]</f>
        <v>308233.5</v>
      </c>
      <c r="P948" t="str">
        <f>IF(AND(TBL_Employees3[[#This Row],[Department]]="IT",TBL_Employees3[[#This Row],[Gender]]="Female"),"Yes","No")</f>
        <v>No</v>
      </c>
      <c r="Q948" t="str">
        <f>IF(AND(TBL_Employees3[[#This Row],[Gender]]="Female",TBL_Employees3[[#This Row],[Ethnicity]]="Black"), "Female_Black", "Others")</f>
        <v>Others</v>
      </c>
    </row>
    <row r="949" spans="1:17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7">
        <v>40248</v>
      </c>
      <c r="J949" s="1">
        <v>134006</v>
      </c>
      <c r="K949" s="2">
        <v>0.13</v>
      </c>
      <c r="L949" t="s">
        <v>33</v>
      </c>
      <c r="M949" t="s">
        <v>60</v>
      </c>
      <c r="N949" s="7" t="s">
        <v>21</v>
      </c>
      <c r="O949" s="1">
        <f>TBL_Employees3[[#This Row],[Annual Salary]]+TBL_Employees3[[#This Row],[Bonus %]]*TBL_Employees3[[#This Row],[Annual Salary]]</f>
        <v>151426.78</v>
      </c>
      <c r="P949" t="str">
        <f>IF(AND(TBL_Employees3[[#This Row],[Department]]="IT",TBL_Employees3[[#This Row],[Gender]]="Female"),"Yes","No")</f>
        <v>No</v>
      </c>
      <c r="Q949" t="str">
        <f>IF(AND(TBL_Employees3[[#This Row],[Gender]]="Female",TBL_Employees3[[#This Row],[Ethnicity]]="Black"), "Female_Black", "Others")</f>
        <v>Others</v>
      </c>
    </row>
    <row r="950" spans="1:17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7">
        <v>40092</v>
      </c>
      <c r="J950" s="1">
        <v>103096</v>
      </c>
      <c r="K950" s="2">
        <v>7.0000000000000007E-2</v>
      </c>
      <c r="L950" t="s">
        <v>33</v>
      </c>
      <c r="M950" t="s">
        <v>60</v>
      </c>
      <c r="N950" s="7" t="s">
        <v>21</v>
      </c>
      <c r="O950" s="1">
        <f>TBL_Employees3[[#This Row],[Annual Salary]]+TBL_Employees3[[#This Row],[Bonus %]]*TBL_Employees3[[#This Row],[Annual Salary]]</f>
        <v>110312.72</v>
      </c>
      <c r="P950" t="str">
        <f>IF(AND(TBL_Employees3[[#This Row],[Department]]="IT",TBL_Employees3[[#This Row],[Gender]]="Female"),"Yes","No")</f>
        <v>No</v>
      </c>
      <c r="Q950" t="str">
        <f>IF(AND(TBL_Employees3[[#This Row],[Gender]]="Female",TBL_Employees3[[#This Row],[Ethnicity]]="Black"), "Female_Black", "Others")</f>
        <v>Others</v>
      </c>
    </row>
    <row r="951" spans="1:17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7">
        <v>42602</v>
      </c>
      <c r="J951" s="1">
        <v>58703</v>
      </c>
      <c r="K951" s="2">
        <v>0</v>
      </c>
      <c r="L951" t="s">
        <v>19</v>
      </c>
      <c r="M951" t="s">
        <v>29</v>
      </c>
      <c r="N951" s="7" t="s">
        <v>21</v>
      </c>
      <c r="O951" s="1">
        <f>TBL_Employees3[[#This Row],[Annual Salary]]+TBL_Employees3[[#This Row],[Bonus %]]*TBL_Employees3[[#This Row],[Annual Salary]]</f>
        <v>58703</v>
      </c>
      <c r="P951" t="str">
        <f>IF(AND(TBL_Employees3[[#This Row],[Department]]="IT",TBL_Employees3[[#This Row],[Gender]]="Female"),"Yes","No")</f>
        <v>No</v>
      </c>
      <c r="Q951" t="str">
        <f>IF(AND(TBL_Employees3[[#This Row],[Gender]]="Female",TBL_Employees3[[#This Row],[Ethnicity]]="Black"), "Female_Black", "Others")</f>
        <v>Others</v>
      </c>
    </row>
    <row r="952" spans="1:17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7">
        <v>41267</v>
      </c>
      <c r="J952" s="1">
        <v>132544</v>
      </c>
      <c r="K952" s="2">
        <v>0.1</v>
      </c>
      <c r="L952" t="s">
        <v>52</v>
      </c>
      <c r="M952" t="s">
        <v>66</v>
      </c>
      <c r="N952" s="7" t="s">
        <v>21</v>
      </c>
      <c r="O952" s="1">
        <f>TBL_Employees3[[#This Row],[Annual Salary]]+TBL_Employees3[[#This Row],[Bonus %]]*TBL_Employees3[[#This Row],[Annual Salary]]</f>
        <v>145798.39999999999</v>
      </c>
      <c r="P952" t="str">
        <f>IF(AND(TBL_Employees3[[#This Row],[Department]]="IT",TBL_Employees3[[#This Row],[Gender]]="Female"),"Yes","No")</f>
        <v>No</v>
      </c>
      <c r="Q952" t="str">
        <f>IF(AND(TBL_Employees3[[#This Row],[Gender]]="Female",TBL_Employees3[[#This Row],[Ethnicity]]="Black"), "Female_Black", "Others")</f>
        <v>Others</v>
      </c>
    </row>
    <row r="953" spans="1:17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7">
        <v>43936</v>
      </c>
      <c r="J953" s="1">
        <v>126671</v>
      </c>
      <c r="K953" s="2">
        <v>0.09</v>
      </c>
      <c r="L953" t="s">
        <v>19</v>
      </c>
      <c r="M953" t="s">
        <v>45</v>
      </c>
      <c r="N953" s="7" t="s">
        <v>21</v>
      </c>
      <c r="O953" s="1">
        <f>TBL_Employees3[[#This Row],[Annual Salary]]+TBL_Employees3[[#This Row],[Bonus %]]*TBL_Employees3[[#This Row],[Annual Salary]]</f>
        <v>138071.39000000001</v>
      </c>
      <c r="P953" t="str">
        <f>IF(AND(TBL_Employees3[[#This Row],[Department]]="IT",TBL_Employees3[[#This Row],[Gender]]="Female"),"Yes","No")</f>
        <v>No</v>
      </c>
      <c r="Q953" t="str">
        <f>IF(AND(TBL_Employees3[[#This Row],[Gender]]="Female",TBL_Employees3[[#This Row],[Ethnicity]]="Black"), "Female_Black", "Others")</f>
        <v>Others</v>
      </c>
    </row>
    <row r="954" spans="1:17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7">
        <v>44218</v>
      </c>
      <c r="J954" s="1">
        <v>56405</v>
      </c>
      <c r="K954" s="2">
        <v>0</v>
      </c>
      <c r="L954" t="s">
        <v>19</v>
      </c>
      <c r="M954" t="s">
        <v>20</v>
      </c>
      <c r="N954" s="7" t="s">
        <v>21</v>
      </c>
      <c r="O954" s="1">
        <f>TBL_Employees3[[#This Row],[Annual Salary]]+TBL_Employees3[[#This Row],[Bonus %]]*TBL_Employees3[[#This Row],[Annual Salary]]</f>
        <v>56405</v>
      </c>
      <c r="P954" t="str">
        <f>IF(AND(TBL_Employees3[[#This Row],[Department]]="IT",TBL_Employees3[[#This Row],[Gender]]="Female"),"Yes","No")</f>
        <v>No</v>
      </c>
      <c r="Q954" t="str">
        <f>IF(AND(TBL_Employees3[[#This Row],[Gender]]="Female",TBL_Employees3[[#This Row],[Ethnicity]]="Black"), "Female_Black", "Others")</f>
        <v>Others</v>
      </c>
    </row>
    <row r="955" spans="1:17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7">
        <v>41972</v>
      </c>
      <c r="J955" s="1">
        <v>88730</v>
      </c>
      <c r="K955" s="2">
        <v>0.08</v>
      </c>
      <c r="L955" t="s">
        <v>33</v>
      </c>
      <c r="M955" t="s">
        <v>80</v>
      </c>
      <c r="N955" s="7" t="s">
        <v>21</v>
      </c>
      <c r="O955" s="1">
        <f>TBL_Employees3[[#This Row],[Annual Salary]]+TBL_Employees3[[#This Row],[Bonus %]]*TBL_Employees3[[#This Row],[Annual Salary]]</f>
        <v>95828.4</v>
      </c>
      <c r="P955" t="str">
        <f>IF(AND(TBL_Employees3[[#This Row],[Department]]="IT",TBL_Employees3[[#This Row],[Gender]]="Female"),"Yes","No")</f>
        <v>Yes</v>
      </c>
      <c r="Q955" t="str">
        <f>IF(AND(TBL_Employees3[[#This Row],[Gender]]="Female",TBL_Employees3[[#This Row],[Ethnicity]]="Black"), "Female_Black", "Others")</f>
        <v>Others</v>
      </c>
    </row>
    <row r="956" spans="1:17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7">
        <v>39708</v>
      </c>
      <c r="J956" s="1">
        <v>62861</v>
      </c>
      <c r="K956" s="2">
        <v>0</v>
      </c>
      <c r="L956" t="s">
        <v>19</v>
      </c>
      <c r="M956" t="s">
        <v>63</v>
      </c>
      <c r="N956" s="7" t="s">
        <v>21</v>
      </c>
      <c r="O956" s="1">
        <f>TBL_Employees3[[#This Row],[Annual Salary]]+TBL_Employees3[[#This Row],[Bonus %]]*TBL_Employees3[[#This Row],[Annual Salary]]</f>
        <v>62861</v>
      </c>
      <c r="P956" t="str">
        <f>IF(AND(TBL_Employees3[[#This Row],[Department]]="IT",TBL_Employees3[[#This Row],[Gender]]="Female"),"Yes","No")</f>
        <v>No</v>
      </c>
      <c r="Q956" t="str">
        <f>IF(AND(TBL_Employees3[[#This Row],[Gender]]="Female",TBL_Employees3[[#This Row],[Ethnicity]]="Black"), "Female_Black", "Others")</f>
        <v>Others</v>
      </c>
    </row>
    <row r="957" spans="1:17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7">
        <v>38919</v>
      </c>
      <c r="J957" s="1">
        <v>151246</v>
      </c>
      <c r="K957" s="2">
        <v>0.21</v>
      </c>
      <c r="L957" t="s">
        <v>52</v>
      </c>
      <c r="M957" t="s">
        <v>53</v>
      </c>
      <c r="N957" s="7" t="s">
        <v>21</v>
      </c>
      <c r="O957" s="1">
        <f>TBL_Employees3[[#This Row],[Annual Salary]]+TBL_Employees3[[#This Row],[Bonus %]]*TBL_Employees3[[#This Row],[Annual Salary]]</f>
        <v>183007.66</v>
      </c>
      <c r="P957" t="str">
        <f>IF(AND(TBL_Employees3[[#This Row],[Department]]="IT",TBL_Employees3[[#This Row],[Gender]]="Female"),"Yes","No")</f>
        <v>No</v>
      </c>
      <c r="Q957" t="str">
        <f>IF(AND(TBL_Employees3[[#This Row],[Gender]]="Female",TBL_Employees3[[#This Row],[Ethnicity]]="Black"), "Female_Black", "Others")</f>
        <v>Others</v>
      </c>
    </row>
    <row r="958" spans="1:17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7">
        <v>35532</v>
      </c>
      <c r="J958" s="1">
        <v>154388</v>
      </c>
      <c r="K958" s="2">
        <v>0.1</v>
      </c>
      <c r="L958" t="s">
        <v>19</v>
      </c>
      <c r="M958" t="s">
        <v>63</v>
      </c>
      <c r="N958" s="7" t="s">
        <v>21</v>
      </c>
      <c r="O958" s="1">
        <f>TBL_Employees3[[#This Row],[Annual Salary]]+TBL_Employees3[[#This Row],[Bonus %]]*TBL_Employees3[[#This Row],[Annual Salary]]</f>
        <v>169826.8</v>
      </c>
      <c r="P958" t="str">
        <f>IF(AND(TBL_Employees3[[#This Row],[Department]]="IT",TBL_Employees3[[#This Row],[Gender]]="Female"),"Yes","No")</f>
        <v>Yes</v>
      </c>
      <c r="Q958" t="str">
        <f>IF(AND(TBL_Employees3[[#This Row],[Gender]]="Female",TBL_Employees3[[#This Row],[Ethnicity]]="Black"), "Female_Black", "Others")</f>
        <v>Others</v>
      </c>
    </row>
    <row r="959" spans="1:17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7">
        <v>34603</v>
      </c>
      <c r="J959" s="1">
        <v>162978</v>
      </c>
      <c r="K959" s="2">
        <v>0.17</v>
      </c>
      <c r="L959" t="s">
        <v>19</v>
      </c>
      <c r="M959" t="s">
        <v>45</v>
      </c>
      <c r="N959" s="7">
        <v>38131</v>
      </c>
      <c r="O959" s="1">
        <f>TBL_Employees3[[#This Row],[Annual Salary]]+TBL_Employees3[[#This Row],[Bonus %]]*TBL_Employees3[[#This Row],[Annual Salary]]</f>
        <v>190684.26</v>
      </c>
      <c r="P959" t="str">
        <f>IF(AND(TBL_Employees3[[#This Row],[Department]]="IT",TBL_Employees3[[#This Row],[Gender]]="Female"),"Yes","No")</f>
        <v>No</v>
      </c>
      <c r="Q959" t="str">
        <f>IF(AND(TBL_Employees3[[#This Row],[Gender]]="Female",TBL_Employees3[[#This Row],[Ethnicity]]="Black"), "Female_Black", "Others")</f>
        <v>Others</v>
      </c>
    </row>
    <row r="960" spans="1:17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7">
        <v>34290</v>
      </c>
      <c r="J960" s="1">
        <v>80170</v>
      </c>
      <c r="K960" s="2">
        <v>0</v>
      </c>
      <c r="L960" t="s">
        <v>19</v>
      </c>
      <c r="M960" t="s">
        <v>45</v>
      </c>
      <c r="N960" s="7" t="s">
        <v>21</v>
      </c>
      <c r="O960" s="1">
        <f>TBL_Employees3[[#This Row],[Annual Salary]]+TBL_Employees3[[#This Row],[Bonus %]]*TBL_Employees3[[#This Row],[Annual Salary]]</f>
        <v>80170</v>
      </c>
      <c r="P960" t="str">
        <f>IF(AND(TBL_Employees3[[#This Row],[Department]]="IT",TBL_Employees3[[#This Row],[Gender]]="Female"),"Yes","No")</f>
        <v>No</v>
      </c>
      <c r="Q960" t="str">
        <f>IF(AND(TBL_Employees3[[#This Row],[Gender]]="Female",TBL_Employees3[[#This Row],[Ethnicity]]="Black"), "Female_Black", "Others")</f>
        <v>Others</v>
      </c>
    </row>
    <row r="961" spans="1:17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7">
        <v>44314</v>
      </c>
      <c r="J961" s="1">
        <v>98520</v>
      </c>
      <c r="K961" s="2">
        <v>0</v>
      </c>
      <c r="L961" t="s">
        <v>19</v>
      </c>
      <c r="M961" t="s">
        <v>45</v>
      </c>
      <c r="N961" s="7" t="s">
        <v>21</v>
      </c>
      <c r="O961" s="1">
        <f>TBL_Employees3[[#This Row],[Annual Salary]]+TBL_Employees3[[#This Row],[Bonus %]]*TBL_Employees3[[#This Row],[Annual Salary]]</f>
        <v>98520</v>
      </c>
      <c r="P961" t="str">
        <f>IF(AND(TBL_Employees3[[#This Row],[Department]]="IT",TBL_Employees3[[#This Row],[Gender]]="Female"),"Yes","No")</f>
        <v>No</v>
      </c>
      <c r="Q961" t="str">
        <f>IF(AND(TBL_Employees3[[#This Row],[Gender]]="Female",TBL_Employees3[[#This Row],[Ethnicity]]="Black"), "Female_Black", "Others")</f>
        <v>Others</v>
      </c>
    </row>
    <row r="962" spans="1:17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7">
        <v>36523</v>
      </c>
      <c r="J962" s="1">
        <v>116527</v>
      </c>
      <c r="K962" s="2">
        <v>7.0000000000000007E-2</v>
      </c>
      <c r="L962" t="s">
        <v>19</v>
      </c>
      <c r="M962" t="s">
        <v>39</v>
      </c>
      <c r="N962" s="7" t="s">
        <v>21</v>
      </c>
      <c r="O962" s="1">
        <f>TBL_Employees3[[#This Row],[Annual Salary]]+TBL_Employees3[[#This Row],[Bonus %]]*TBL_Employees3[[#This Row],[Annual Salary]]</f>
        <v>124683.89</v>
      </c>
      <c r="P962" t="str">
        <f>IF(AND(TBL_Employees3[[#This Row],[Department]]="IT",TBL_Employees3[[#This Row],[Gender]]="Female"),"Yes","No")</f>
        <v>No</v>
      </c>
      <c r="Q962" t="str">
        <f>IF(AND(TBL_Employees3[[#This Row],[Gender]]="Female",TBL_Employees3[[#This Row],[Ethnicity]]="Black"), "Female_Black", "Others")</f>
        <v>Others</v>
      </c>
    </row>
    <row r="963" spans="1:17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7">
        <v>43776</v>
      </c>
      <c r="J963" s="1">
        <v>174607</v>
      </c>
      <c r="K963" s="2">
        <v>0.28999999999999998</v>
      </c>
      <c r="L963" t="s">
        <v>19</v>
      </c>
      <c r="M963" t="s">
        <v>29</v>
      </c>
      <c r="N963" s="7" t="s">
        <v>21</v>
      </c>
      <c r="O963" s="1">
        <f>TBL_Employees3[[#This Row],[Annual Salary]]+TBL_Employees3[[#This Row],[Bonus %]]*TBL_Employees3[[#This Row],[Annual Salary]]</f>
        <v>225243.03</v>
      </c>
      <c r="P963" t="str">
        <f>IF(AND(TBL_Employees3[[#This Row],[Department]]="IT",TBL_Employees3[[#This Row],[Gender]]="Female"),"Yes","No")</f>
        <v>No</v>
      </c>
      <c r="Q963" t="str">
        <f>IF(AND(TBL_Employees3[[#This Row],[Gender]]="Female",TBL_Employees3[[#This Row],[Ethnicity]]="Black"), "Female_Black", "Others")</f>
        <v>Others</v>
      </c>
    </row>
    <row r="964" spans="1:17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7">
        <v>38819</v>
      </c>
      <c r="J964" s="1">
        <v>64202</v>
      </c>
      <c r="K964" s="2">
        <v>0</v>
      </c>
      <c r="L964" t="s">
        <v>19</v>
      </c>
      <c r="M964" t="s">
        <v>29</v>
      </c>
      <c r="N964" s="7" t="s">
        <v>21</v>
      </c>
      <c r="O964" s="1">
        <f>TBL_Employees3[[#This Row],[Annual Salary]]+TBL_Employees3[[#This Row],[Bonus %]]*TBL_Employees3[[#This Row],[Annual Salary]]</f>
        <v>64202</v>
      </c>
      <c r="P964" t="str">
        <f>IF(AND(TBL_Employees3[[#This Row],[Department]]="IT",TBL_Employees3[[#This Row],[Gender]]="Female"),"Yes","No")</f>
        <v>No</v>
      </c>
      <c r="Q964" t="str">
        <f>IF(AND(TBL_Employees3[[#This Row],[Gender]]="Female",TBL_Employees3[[#This Row],[Ethnicity]]="Black"), "Female_Black", "Others")</f>
        <v>Others</v>
      </c>
    </row>
    <row r="965" spans="1:17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7">
        <v>43671</v>
      </c>
      <c r="J965" s="1">
        <v>50883</v>
      </c>
      <c r="K965" s="2">
        <v>0</v>
      </c>
      <c r="L965" t="s">
        <v>33</v>
      </c>
      <c r="M965" t="s">
        <v>80</v>
      </c>
      <c r="N965" s="7">
        <v>44257</v>
      </c>
      <c r="O965" s="1">
        <f>TBL_Employees3[[#This Row],[Annual Salary]]+TBL_Employees3[[#This Row],[Bonus %]]*TBL_Employees3[[#This Row],[Annual Salary]]</f>
        <v>50883</v>
      </c>
      <c r="P965" t="str">
        <f>IF(AND(TBL_Employees3[[#This Row],[Department]]="IT",TBL_Employees3[[#This Row],[Gender]]="Female"),"Yes","No")</f>
        <v>No</v>
      </c>
      <c r="Q965" t="str">
        <f>IF(AND(TBL_Employees3[[#This Row],[Gender]]="Female",TBL_Employees3[[#This Row],[Ethnicity]]="Black"), "Female_Black", "Others")</f>
        <v>Others</v>
      </c>
    </row>
    <row r="966" spans="1:17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7">
        <v>42677</v>
      </c>
      <c r="J966" s="1">
        <v>94618</v>
      </c>
      <c r="K966" s="2">
        <v>0</v>
      </c>
      <c r="L966" t="s">
        <v>19</v>
      </c>
      <c r="M966" t="s">
        <v>29</v>
      </c>
      <c r="N966" s="7" t="s">
        <v>21</v>
      </c>
      <c r="O966" s="1">
        <f>TBL_Employees3[[#This Row],[Annual Salary]]+TBL_Employees3[[#This Row],[Bonus %]]*TBL_Employees3[[#This Row],[Annual Salary]]</f>
        <v>94618</v>
      </c>
      <c r="P966" t="str">
        <f>IF(AND(TBL_Employees3[[#This Row],[Department]]="IT",TBL_Employees3[[#This Row],[Gender]]="Female"),"Yes","No")</f>
        <v>Yes</v>
      </c>
      <c r="Q966" t="str">
        <f>IF(AND(TBL_Employees3[[#This Row],[Gender]]="Female",TBL_Employees3[[#This Row],[Ethnicity]]="Black"), "Female_Black", "Others")</f>
        <v>Others</v>
      </c>
    </row>
    <row r="967" spans="1:17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7">
        <v>43753</v>
      </c>
      <c r="J967" s="1">
        <v>151556</v>
      </c>
      <c r="K967" s="2">
        <v>0.2</v>
      </c>
      <c r="L967" t="s">
        <v>19</v>
      </c>
      <c r="M967" t="s">
        <v>45</v>
      </c>
      <c r="N967" s="7" t="s">
        <v>21</v>
      </c>
      <c r="O967" s="1">
        <f>TBL_Employees3[[#This Row],[Annual Salary]]+TBL_Employees3[[#This Row],[Bonus %]]*TBL_Employees3[[#This Row],[Annual Salary]]</f>
        <v>181867.2</v>
      </c>
      <c r="P967" t="str">
        <f>IF(AND(TBL_Employees3[[#This Row],[Department]]="IT",TBL_Employees3[[#This Row],[Gender]]="Female"),"Yes","No")</f>
        <v>No</v>
      </c>
      <c r="Q967" t="str">
        <f>IF(AND(TBL_Employees3[[#This Row],[Gender]]="Female",TBL_Employees3[[#This Row],[Ethnicity]]="Black"), "Female_Black", "Others")</f>
        <v>Others</v>
      </c>
    </row>
    <row r="968" spans="1:17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7">
        <v>43898</v>
      </c>
      <c r="J968" s="1">
        <v>80659</v>
      </c>
      <c r="K968" s="2">
        <v>0</v>
      </c>
      <c r="L968" t="s">
        <v>19</v>
      </c>
      <c r="M968" t="s">
        <v>39</v>
      </c>
      <c r="N968" s="7" t="s">
        <v>21</v>
      </c>
      <c r="O968" s="1">
        <f>TBL_Employees3[[#This Row],[Annual Salary]]+TBL_Employees3[[#This Row],[Bonus %]]*TBL_Employees3[[#This Row],[Annual Salary]]</f>
        <v>80659</v>
      </c>
      <c r="P968" t="str">
        <f>IF(AND(TBL_Employees3[[#This Row],[Department]]="IT",TBL_Employees3[[#This Row],[Gender]]="Female"),"Yes","No")</f>
        <v>No</v>
      </c>
      <c r="Q968" t="str">
        <f>IF(AND(TBL_Employees3[[#This Row],[Gender]]="Female",TBL_Employees3[[#This Row],[Ethnicity]]="Black"), "Female_Black", "Others")</f>
        <v>Others</v>
      </c>
    </row>
    <row r="969" spans="1:17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7">
        <v>43772</v>
      </c>
      <c r="J969" s="1">
        <v>195385</v>
      </c>
      <c r="K969" s="2">
        <v>0.21</v>
      </c>
      <c r="L969" t="s">
        <v>33</v>
      </c>
      <c r="M969" t="s">
        <v>34</v>
      </c>
      <c r="N969" s="7" t="s">
        <v>21</v>
      </c>
      <c r="O969" s="1">
        <f>TBL_Employees3[[#This Row],[Annual Salary]]+TBL_Employees3[[#This Row],[Bonus %]]*TBL_Employees3[[#This Row],[Annual Salary]]</f>
        <v>236415.85</v>
      </c>
      <c r="P969" t="str">
        <f>IF(AND(TBL_Employees3[[#This Row],[Department]]="IT",TBL_Employees3[[#This Row],[Gender]]="Female"),"Yes","No")</f>
        <v>No</v>
      </c>
      <c r="Q969" t="str">
        <f>IF(AND(TBL_Employees3[[#This Row],[Gender]]="Female",TBL_Employees3[[#This Row],[Ethnicity]]="Black"), "Female_Black", "Others")</f>
        <v>Others</v>
      </c>
    </row>
    <row r="970" spans="1:17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7">
        <v>42509</v>
      </c>
      <c r="J970" s="1">
        <v>52693</v>
      </c>
      <c r="K970" s="2">
        <v>0</v>
      </c>
      <c r="L970" t="s">
        <v>52</v>
      </c>
      <c r="M970" t="s">
        <v>66</v>
      </c>
      <c r="N970" s="7" t="s">
        <v>21</v>
      </c>
      <c r="O970" s="1">
        <f>TBL_Employees3[[#This Row],[Annual Salary]]+TBL_Employees3[[#This Row],[Bonus %]]*TBL_Employees3[[#This Row],[Annual Salary]]</f>
        <v>52693</v>
      </c>
      <c r="P970" t="str">
        <f>IF(AND(TBL_Employees3[[#This Row],[Department]]="IT",TBL_Employees3[[#This Row],[Gender]]="Female"),"Yes","No")</f>
        <v>No</v>
      </c>
      <c r="Q970" t="str">
        <f>IF(AND(TBL_Employees3[[#This Row],[Gender]]="Female",TBL_Employees3[[#This Row],[Ethnicity]]="Black"), "Female_Black", "Others")</f>
        <v>Others</v>
      </c>
    </row>
    <row r="971" spans="1:17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7">
        <v>42486</v>
      </c>
      <c r="J971" s="1">
        <v>72045</v>
      </c>
      <c r="K971" s="2">
        <v>0</v>
      </c>
      <c r="L971" t="s">
        <v>19</v>
      </c>
      <c r="M971" t="s">
        <v>39</v>
      </c>
      <c r="N971" s="7" t="s">
        <v>21</v>
      </c>
      <c r="O971" s="1">
        <f>TBL_Employees3[[#This Row],[Annual Salary]]+TBL_Employees3[[#This Row],[Bonus %]]*TBL_Employees3[[#This Row],[Annual Salary]]</f>
        <v>72045</v>
      </c>
      <c r="P971" t="str">
        <f>IF(AND(TBL_Employees3[[#This Row],[Department]]="IT",TBL_Employees3[[#This Row],[Gender]]="Female"),"Yes","No")</f>
        <v>Yes</v>
      </c>
      <c r="Q971" t="str">
        <f>IF(AND(TBL_Employees3[[#This Row],[Gender]]="Female",TBL_Employees3[[#This Row],[Ethnicity]]="Black"), "Female_Black", "Others")</f>
        <v>Others</v>
      </c>
    </row>
    <row r="972" spans="1:17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7">
        <v>38684</v>
      </c>
      <c r="J972" s="1">
        <v>62749</v>
      </c>
      <c r="K972" s="2">
        <v>0</v>
      </c>
      <c r="L972" t="s">
        <v>52</v>
      </c>
      <c r="M972" t="s">
        <v>81</v>
      </c>
      <c r="N972" s="7" t="s">
        <v>21</v>
      </c>
      <c r="O972" s="1">
        <f>TBL_Employees3[[#This Row],[Annual Salary]]+TBL_Employees3[[#This Row],[Bonus %]]*TBL_Employees3[[#This Row],[Annual Salary]]</f>
        <v>62749</v>
      </c>
      <c r="P972" t="str">
        <f>IF(AND(TBL_Employees3[[#This Row],[Department]]="IT",TBL_Employees3[[#This Row],[Gender]]="Female"),"Yes","No")</f>
        <v>No</v>
      </c>
      <c r="Q972" t="str">
        <f>IF(AND(TBL_Employees3[[#This Row],[Gender]]="Female",TBL_Employees3[[#This Row],[Ethnicity]]="Black"), "Female_Black", "Others")</f>
        <v>Others</v>
      </c>
    </row>
    <row r="973" spans="1:17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7">
        <v>43255</v>
      </c>
      <c r="J973" s="1">
        <v>154884</v>
      </c>
      <c r="K973" s="2">
        <v>0.1</v>
      </c>
      <c r="L973" t="s">
        <v>33</v>
      </c>
      <c r="M973" t="s">
        <v>74</v>
      </c>
      <c r="N973" s="7" t="s">
        <v>21</v>
      </c>
      <c r="O973" s="1">
        <f>TBL_Employees3[[#This Row],[Annual Salary]]+TBL_Employees3[[#This Row],[Bonus %]]*TBL_Employees3[[#This Row],[Annual Salary]]</f>
        <v>170372.4</v>
      </c>
      <c r="P973" t="str">
        <f>IF(AND(TBL_Employees3[[#This Row],[Department]]="IT",TBL_Employees3[[#This Row],[Gender]]="Female"),"Yes","No")</f>
        <v>No</v>
      </c>
      <c r="Q973" t="str">
        <f>IF(AND(TBL_Employees3[[#This Row],[Gender]]="Female",TBL_Employees3[[#This Row],[Ethnicity]]="Black"), "Female_Black", "Others")</f>
        <v>Others</v>
      </c>
    </row>
    <row r="974" spans="1:17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7">
        <v>42437</v>
      </c>
      <c r="J974" s="1">
        <v>96566</v>
      </c>
      <c r="K974" s="2">
        <v>0</v>
      </c>
      <c r="L974" t="s">
        <v>19</v>
      </c>
      <c r="M974" t="s">
        <v>29</v>
      </c>
      <c r="N974" s="7" t="s">
        <v>21</v>
      </c>
      <c r="O974" s="1">
        <f>TBL_Employees3[[#This Row],[Annual Salary]]+TBL_Employees3[[#This Row],[Bonus %]]*TBL_Employees3[[#This Row],[Annual Salary]]</f>
        <v>96566</v>
      </c>
      <c r="P974" t="str">
        <f>IF(AND(TBL_Employees3[[#This Row],[Department]]="IT",TBL_Employees3[[#This Row],[Gender]]="Female"),"Yes","No")</f>
        <v>No</v>
      </c>
      <c r="Q974" t="str">
        <f>IF(AND(TBL_Employees3[[#This Row],[Gender]]="Female",TBL_Employees3[[#This Row],[Ethnicity]]="Black"), "Female_Black", "Others")</f>
        <v>Others</v>
      </c>
    </row>
    <row r="975" spans="1:17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7">
        <v>37126</v>
      </c>
      <c r="J975" s="1">
        <v>54994</v>
      </c>
      <c r="K975" s="2">
        <v>0</v>
      </c>
      <c r="L975" t="s">
        <v>19</v>
      </c>
      <c r="M975" t="s">
        <v>29</v>
      </c>
      <c r="N975" s="7" t="s">
        <v>21</v>
      </c>
      <c r="O975" s="1">
        <f>TBL_Employees3[[#This Row],[Annual Salary]]+TBL_Employees3[[#This Row],[Bonus %]]*TBL_Employees3[[#This Row],[Annual Salary]]</f>
        <v>54994</v>
      </c>
      <c r="P975" t="str">
        <f>IF(AND(TBL_Employees3[[#This Row],[Department]]="IT",TBL_Employees3[[#This Row],[Gender]]="Female"),"Yes","No")</f>
        <v>No</v>
      </c>
      <c r="Q975" t="str">
        <f>IF(AND(TBL_Employees3[[#This Row],[Gender]]="Female",TBL_Employees3[[#This Row],[Ethnicity]]="Black"), "Female_Black", "Others")</f>
        <v>Others</v>
      </c>
    </row>
    <row r="976" spans="1:17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7">
        <v>40944</v>
      </c>
      <c r="J976" s="1">
        <v>61523</v>
      </c>
      <c r="K976" s="2">
        <v>0</v>
      </c>
      <c r="L976" t="s">
        <v>19</v>
      </c>
      <c r="M976" t="s">
        <v>29</v>
      </c>
      <c r="N976" s="7" t="s">
        <v>21</v>
      </c>
      <c r="O976" s="1">
        <f>TBL_Employees3[[#This Row],[Annual Salary]]+TBL_Employees3[[#This Row],[Bonus %]]*TBL_Employees3[[#This Row],[Annual Salary]]</f>
        <v>61523</v>
      </c>
      <c r="P976" t="str">
        <f>IF(AND(TBL_Employees3[[#This Row],[Department]]="IT",TBL_Employees3[[#This Row],[Gender]]="Female"),"Yes","No")</f>
        <v>Yes</v>
      </c>
      <c r="Q976" t="str">
        <f>IF(AND(TBL_Employees3[[#This Row],[Gender]]="Female",TBL_Employees3[[#This Row],[Ethnicity]]="Black"), "Female_Black", "Others")</f>
        <v>Others</v>
      </c>
    </row>
    <row r="977" spans="1:17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7">
        <v>40524</v>
      </c>
      <c r="J977" s="1">
        <v>190512</v>
      </c>
      <c r="K977" s="2">
        <v>0.32</v>
      </c>
      <c r="L977" t="s">
        <v>19</v>
      </c>
      <c r="M977" t="s">
        <v>29</v>
      </c>
      <c r="N977" s="7" t="s">
        <v>21</v>
      </c>
      <c r="O977" s="1">
        <f>TBL_Employees3[[#This Row],[Annual Salary]]+TBL_Employees3[[#This Row],[Bonus %]]*TBL_Employees3[[#This Row],[Annual Salary]]</f>
        <v>251475.84</v>
      </c>
      <c r="P977" t="str">
        <f>IF(AND(TBL_Employees3[[#This Row],[Department]]="IT",TBL_Employees3[[#This Row],[Gender]]="Female"),"Yes","No")</f>
        <v>No</v>
      </c>
      <c r="Q977" t="str">
        <f>IF(AND(TBL_Employees3[[#This Row],[Gender]]="Female",TBL_Employees3[[#This Row],[Ethnicity]]="Black"), "Female_Black", "Others")</f>
        <v>Others</v>
      </c>
    </row>
    <row r="978" spans="1:17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7">
        <v>41318</v>
      </c>
      <c r="J978" s="1">
        <v>124827</v>
      </c>
      <c r="K978" s="2">
        <v>0</v>
      </c>
      <c r="L978" t="s">
        <v>33</v>
      </c>
      <c r="M978" t="s">
        <v>60</v>
      </c>
      <c r="N978" s="7" t="s">
        <v>21</v>
      </c>
      <c r="O978" s="1">
        <f>TBL_Employees3[[#This Row],[Annual Salary]]+TBL_Employees3[[#This Row],[Bonus %]]*TBL_Employees3[[#This Row],[Annual Salary]]</f>
        <v>124827</v>
      </c>
      <c r="P978" t="str">
        <f>IF(AND(TBL_Employees3[[#This Row],[Department]]="IT",TBL_Employees3[[#This Row],[Gender]]="Female"),"Yes","No")</f>
        <v>No</v>
      </c>
      <c r="Q978" t="str">
        <f>IF(AND(TBL_Employees3[[#This Row],[Gender]]="Female",TBL_Employees3[[#This Row],[Ethnicity]]="Black"), "Female_Black", "Others")</f>
        <v>Others</v>
      </c>
    </row>
    <row r="979" spans="1:17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7">
        <v>43484</v>
      </c>
      <c r="J979" s="1">
        <v>101577</v>
      </c>
      <c r="K979" s="2">
        <v>0.05</v>
      </c>
      <c r="L979" t="s">
        <v>19</v>
      </c>
      <c r="M979" t="s">
        <v>20</v>
      </c>
      <c r="N979" s="7" t="s">
        <v>21</v>
      </c>
      <c r="O979" s="1">
        <f>TBL_Employees3[[#This Row],[Annual Salary]]+TBL_Employees3[[#This Row],[Bonus %]]*TBL_Employees3[[#This Row],[Annual Salary]]</f>
        <v>106655.85</v>
      </c>
      <c r="P979" t="str">
        <f>IF(AND(TBL_Employees3[[#This Row],[Department]]="IT",TBL_Employees3[[#This Row],[Gender]]="Female"),"Yes","No")</f>
        <v>No</v>
      </c>
      <c r="Q979" t="str">
        <f>IF(AND(TBL_Employees3[[#This Row],[Gender]]="Female",TBL_Employees3[[#This Row],[Ethnicity]]="Black"), "Female_Black", "Others")</f>
        <v>Others</v>
      </c>
    </row>
    <row r="980" spans="1:17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7">
        <v>38642</v>
      </c>
      <c r="J980" s="1">
        <v>105223</v>
      </c>
      <c r="K980" s="2">
        <v>0.1</v>
      </c>
      <c r="L980" t="s">
        <v>19</v>
      </c>
      <c r="M980" t="s">
        <v>39</v>
      </c>
      <c r="N980" s="7" t="s">
        <v>21</v>
      </c>
      <c r="O980" s="1">
        <f>TBL_Employees3[[#This Row],[Annual Salary]]+TBL_Employees3[[#This Row],[Bonus %]]*TBL_Employees3[[#This Row],[Annual Salary]]</f>
        <v>115745.3</v>
      </c>
      <c r="P980" t="str">
        <f>IF(AND(TBL_Employees3[[#This Row],[Department]]="IT",TBL_Employees3[[#This Row],[Gender]]="Female"),"Yes","No")</f>
        <v>No</v>
      </c>
      <c r="Q980" t="str">
        <f>IF(AND(TBL_Employees3[[#This Row],[Gender]]="Female",TBL_Employees3[[#This Row],[Ethnicity]]="Black"), "Female_Black", "Others")</f>
        <v>Others</v>
      </c>
    </row>
    <row r="981" spans="1:17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7">
        <v>39635</v>
      </c>
      <c r="J981" s="1">
        <v>94815</v>
      </c>
      <c r="K981" s="2">
        <v>0</v>
      </c>
      <c r="L981" t="s">
        <v>19</v>
      </c>
      <c r="M981" t="s">
        <v>20</v>
      </c>
      <c r="N981" s="7" t="s">
        <v>21</v>
      </c>
      <c r="O981" s="1">
        <f>TBL_Employees3[[#This Row],[Annual Salary]]+TBL_Employees3[[#This Row],[Bonus %]]*TBL_Employees3[[#This Row],[Annual Salary]]</f>
        <v>94815</v>
      </c>
      <c r="P981" t="str">
        <f>IF(AND(TBL_Employees3[[#This Row],[Department]]="IT",TBL_Employees3[[#This Row],[Gender]]="Female"),"Yes","No")</f>
        <v>No</v>
      </c>
      <c r="Q981" t="str">
        <f>IF(AND(TBL_Employees3[[#This Row],[Gender]]="Female",TBL_Employees3[[#This Row],[Ethnicity]]="Black"), "Female_Black", "Others")</f>
        <v>Others</v>
      </c>
    </row>
    <row r="982" spans="1:17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7">
        <v>44545</v>
      </c>
      <c r="J982" s="1">
        <v>114893</v>
      </c>
      <c r="K982" s="2">
        <v>0.06</v>
      </c>
      <c r="L982" t="s">
        <v>33</v>
      </c>
      <c r="M982" t="s">
        <v>34</v>
      </c>
      <c r="N982" s="7" t="s">
        <v>21</v>
      </c>
      <c r="O982" s="1">
        <f>TBL_Employees3[[#This Row],[Annual Salary]]+TBL_Employees3[[#This Row],[Bonus %]]*TBL_Employees3[[#This Row],[Annual Salary]]</f>
        <v>121786.58</v>
      </c>
      <c r="P982" t="str">
        <f>IF(AND(TBL_Employees3[[#This Row],[Department]]="IT",TBL_Employees3[[#This Row],[Gender]]="Female"),"Yes","No")</f>
        <v>No</v>
      </c>
      <c r="Q982" t="str">
        <f>IF(AND(TBL_Employees3[[#This Row],[Gender]]="Female",TBL_Employees3[[#This Row],[Ethnicity]]="Black"), "Female_Black", "Others")</f>
        <v>Others</v>
      </c>
    </row>
    <row r="983" spans="1:17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7">
        <v>42745</v>
      </c>
      <c r="J983" s="1">
        <v>80622</v>
      </c>
      <c r="K983" s="2">
        <v>0</v>
      </c>
      <c r="L983" t="s">
        <v>19</v>
      </c>
      <c r="M983" t="s">
        <v>25</v>
      </c>
      <c r="N983" s="7" t="s">
        <v>21</v>
      </c>
      <c r="O983" s="1">
        <f>TBL_Employees3[[#This Row],[Annual Salary]]+TBL_Employees3[[#This Row],[Bonus %]]*TBL_Employees3[[#This Row],[Annual Salary]]</f>
        <v>80622</v>
      </c>
      <c r="P983" t="str">
        <f>IF(AND(TBL_Employees3[[#This Row],[Department]]="IT",TBL_Employees3[[#This Row],[Gender]]="Female"),"Yes","No")</f>
        <v>No</v>
      </c>
      <c r="Q983" t="str">
        <f>IF(AND(TBL_Employees3[[#This Row],[Gender]]="Female",TBL_Employees3[[#This Row],[Ethnicity]]="Black"), "Female_Black", "Others")</f>
        <v>Others</v>
      </c>
    </row>
    <row r="984" spans="1:17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7">
        <v>42685</v>
      </c>
      <c r="J984" s="1">
        <v>246589</v>
      </c>
      <c r="K984" s="2">
        <v>0.33</v>
      </c>
      <c r="L984" t="s">
        <v>19</v>
      </c>
      <c r="M984" t="s">
        <v>39</v>
      </c>
      <c r="N984" s="7">
        <v>42820</v>
      </c>
      <c r="O984" s="1">
        <f>TBL_Employees3[[#This Row],[Annual Salary]]+TBL_Employees3[[#This Row],[Bonus %]]*TBL_Employees3[[#This Row],[Annual Salary]]</f>
        <v>327963.37</v>
      </c>
      <c r="P984" t="str">
        <f>IF(AND(TBL_Employees3[[#This Row],[Department]]="IT",TBL_Employees3[[#This Row],[Gender]]="Female"),"Yes","No")</f>
        <v>Yes</v>
      </c>
      <c r="Q984" t="str">
        <f>IF(AND(TBL_Employees3[[#This Row],[Gender]]="Female",TBL_Employees3[[#This Row],[Ethnicity]]="Black"), "Female_Black", "Others")</f>
        <v>Others</v>
      </c>
    </row>
    <row r="985" spans="1:17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7">
        <v>43240</v>
      </c>
      <c r="J985" s="1">
        <v>119397</v>
      </c>
      <c r="K985" s="2">
        <v>0.09</v>
      </c>
      <c r="L985" t="s">
        <v>33</v>
      </c>
      <c r="M985" t="s">
        <v>60</v>
      </c>
      <c r="N985" s="7">
        <v>43538</v>
      </c>
      <c r="O985" s="1">
        <f>TBL_Employees3[[#This Row],[Annual Salary]]+TBL_Employees3[[#This Row],[Bonus %]]*TBL_Employees3[[#This Row],[Annual Salary]]</f>
        <v>130142.73</v>
      </c>
      <c r="P985" t="str">
        <f>IF(AND(TBL_Employees3[[#This Row],[Department]]="IT",TBL_Employees3[[#This Row],[Gender]]="Female"),"Yes","No")</f>
        <v>No</v>
      </c>
      <c r="Q985" t="str">
        <f>IF(AND(TBL_Employees3[[#This Row],[Gender]]="Female",TBL_Employees3[[#This Row],[Ethnicity]]="Black"), "Female_Black", "Others")</f>
        <v>Others</v>
      </c>
    </row>
    <row r="986" spans="1:17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7">
        <v>44549</v>
      </c>
      <c r="J986" s="1">
        <v>150666</v>
      </c>
      <c r="K986" s="2">
        <v>0.23</v>
      </c>
      <c r="L986" t="s">
        <v>33</v>
      </c>
      <c r="M986" t="s">
        <v>34</v>
      </c>
      <c r="N986" s="7" t="s">
        <v>21</v>
      </c>
      <c r="O986" s="1">
        <f>TBL_Employees3[[#This Row],[Annual Salary]]+TBL_Employees3[[#This Row],[Bonus %]]*TBL_Employees3[[#This Row],[Annual Salary]]</f>
        <v>185319.18</v>
      </c>
      <c r="P986" t="str">
        <f>IF(AND(TBL_Employees3[[#This Row],[Department]]="IT",TBL_Employees3[[#This Row],[Gender]]="Female"),"Yes","No")</f>
        <v>No</v>
      </c>
      <c r="Q986" t="str">
        <f>IF(AND(TBL_Employees3[[#This Row],[Gender]]="Female",TBL_Employees3[[#This Row],[Ethnicity]]="Black"), "Female_Black", "Others")</f>
        <v>Others</v>
      </c>
    </row>
    <row r="987" spans="1:17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7">
        <v>37265</v>
      </c>
      <c r="J987" s="1">
        <v>148035</v>
      </c>
      <c r="K987" s="2">
        <v>0.14000000000000001</v>
      </c>
      <c r="L987" t="s">
        <v>19</v>
      </c>
      <c r="M987" t="s">
        <v>39</v>
      </c>
      <c r="N987" s="7" t="s">
        <v>21</v>
      </c>
      <c r="O987" s="1">
        <f>TBL_Employees3[[#This Row],[Annual Salary]]+TBL_Employees3[[#This Row],[Bonus %]]*TBL_Employees3[[#This Row],[Annual Salary]]</f>
        <v>168759.9</v>
      </c>
      <c r="P987" t="str">
        <f>IF(AND(TBL_Employees3[[#This Row],[Department]]="IT",TBL_Employees3[[#This Row],[Gender]]="Female"),"Yes","No")</f>
        <v>Yes</v>
      </c>
      <c r="Q987" t="str">
        <f>IF(AND(TBL_Employees3[[#This Row],[Gender]]="Female",TBL_Employees3[[#This Row],[Ethnicity]]="Black"), "Female_Black", "Others")</f>
        <v>Others</v>
      </c>
    </row>
    <row r="988" spans="1:17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7">
        <v>42891</v>
      </c>
      <c r="J988" s="1">
        <v>158898</v>
      </c>
      <c r="K988" s="2">
        <v>0.18</v>
      </c>
      <c r="L988" t="s">
        <v>19</v>
      </c>
      <c r="M988" t="s">
        <v>45</v>
      </c>
      <c r="N988" s="7" t="s">
        <v>21</v>
      </c>
      <c r="O988" s="1">
        <f>TBL_Employees3[[#This Row],[Annual Salary]]+TBL_Employees3[[#This Row],[Bonus %]]*TBL_Employees3[[#This Row],[Annual Salary]]</f>
        <v>187499.64</v>
      </c>
      <c r="P988" t="str">
        <f>IF(AND(TBL_Employees3[[#This Row],[Department]]="IT",TBL_Employees3[[#This Row],[Gender]]="Female"),"Yes","No")</f>
        <v>No</v>
      </c>
      <c r="Q988" t="str">
        <f>IF(AND(TBL_Employees3[[#This Row],[Gender]]="Female",TBL_Employees3[[#This Row],[Ethnicity]]="Black"), "Female_Black", "Others")</f>
        <v>Others</v>
      </c>
    </row>
    <row r="989" spans="1:17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7">
        <v>40967</v>
      </c>
      <c r="J989" s="1">
        <v>89659</v>
      </c>
      <c r="K989" s="2">
        <v>0</v>
      </c>
      <c r="L989" t="s">
        <v>33</v>
      </c>
      <c r="M989" t="s">
        <v>60</v>
      </c>
      <c r="N989" s="7" t="s">
        <v>21</v>
      </c>
      <c r="O989" s="1">
        <f>TBL_Employees3[[#This Row],[Annual Salary]]+TBL_Employees3[[#This Row],[Bonus %]]*TBL_Employees3[[#This Row],[Annual Salary]]</f>
        <v>89659</v>
      </c>
      <c r="P989" t="str">
        <f>IF(AND(TBL_Employees3[[#This Row],[Department]]="IT",TBL_Employees3[[#This Row],[Gender]]="Female"),"Yes","No")</f>
        <v>No</v>
      </c>
      <c r="Q989" t="str">
        <f>IF(AND(TBL_Employees3[[#This Row],[Gender]]="Female",TBL_Employees3[[#This Row],[Ethnicity]]="Black"), "Female_Black", "Others")</f>
        <v>Others</v>
      </c>
    </row>
    <row r="990" spans="1:17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7">
        <v>39201</v>
      </c>
      <c r="J990" s="1">
        <v>171487</v>
      </c>
      <c r="K990" s="2">
        <v>0.23</v>
      </c>
      <c r="L990" t="s">
        <v>19</v>
      </c>
      <c r="M990" t="s">
        <v>39</v>
      </c>
      <c r="N990" s="7" t="s">
        <v>21</v>
      </c>
      <c r="O990" s="1">
        <f>TBL_Employees3[[#This Row],[Annual Salary]]+TBL_Employees3[[#This Row],[Bonus %]]*TBL_Employees3[[#This Row],[Annual Salary]]</f>
        <v>210929.01</v>
      </c>
      <c r="P990" t="str">
        <f>IF(AND(TBL_Employees3[[#This Row],[Department]]="IT",TBL_Employees3[[#This Row],[Gender]]="Female"),"Yes","No")</f>
        <v>No</v>
      </c>
      <c r="Q990" t="str">
        <f>IF(AND(TBL_Employees3[[#This Row],[Gender]]="Female",TBL_Employees3[[#This Row],[Ethnicity]]="Black"), "Female_Black", "Others")</f>
        <v>Others</v>
      </c>
    </row>
    <row r="991" spans="1:17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7">
        <v>42603</v>
      </c>
      <c r="J991" s="1">
        <v>258498</v>
      </c>
      <c r="K991" s="2">
        <v>0.35</v>
      </c>
      <c r="L991" t="s">
        <v>19</v>
      </c>
      <c r="M991" t="s">
        <v>29</v>
      </c>
      <c r="N991" s="7" t="s">
        <v>21</v>
      </c>
      <c r="O991" s="1">
        <f>TBL_Employees3[[#This Row],[Annual Salary]]+TBL_Employees3[[#This Row],[Bonus %]]*TBL_Employees3[[#This Row],[Annual Salary]]</f>
        <v>348972.3</v>
      </c>
      <c r="P991" t="str">
        <f>IF(AND(TBL_Employees3[[#This Row],[Department]]="IT",TBL_Employees3[[#This Row],[Gender]]="Female"),"Yes","No")</f>
        <v>No</v>
      </c>
      <c r="Q991" t="str">
        <f>IF(AND(TBL_Employees3[[#This Row],[Gender]]="Female",TBL_Employees3[[#This Row],[Ethnicity]]="Black"), "Female_Black", "Others")</f>
        <v>Others</v>
      </c>
    </row>
    <row r="992" spans="1:17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7">
        <v>40511</v>
      </c>
      <c r="J992" s="1">
        <v>146961</v>
      </c>
      <c r="K992" s="2">
        <v>0.11</v>
      </c>
      <c r="L992" t="s">
        <v>19</v>
      </c>
      <c r="M992" t="s">
        <v>29</v>
      </c>
      <c r="N992" s="7" t="s">
        <v>21</v>
      </c>
      <c r="O992" s="1">
        <f>TBL_Employees3[[#This Row],[Annual Salary]]+TBL_Employees3[[#This Row],[Bonus %]]*TBL_Employees3[[#This Row],[Annual Salary]]</f>
        <v>163126.71</v>
      </c>
      <c r="P992" t="str">
        <f>IF(AND(TBL_Employees3[[#This Row],[Department]]="IT",TBL_Employees3[[#This Row],[Gender]]="Female"),"Yes","No")</f>
        <v>No</v>
      </c>
      <c r="Q992" t="str">
        <f>IF(AND(TBL_Employees3[[#This Row],[Gender]]="Female",TBL_Employees3[[#This Row],[Ethnicity]]="Black"), "Female_Black", "Others")</f>
        <v>Others</v>
      </c>
    </row>
    <row r="993" spans="1:17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7">
        <v>35907</v>
      </c>
      <c r="J993" s="1">
        <v>85369</v>
      </c>
      <c r="K993" s="2">
        <v>0</v>
      </c>
      <c r="L993" t="s">
        <v>52</v>
      </c>
      <c r="M993" t="s">
        <v>81</v>
      </c>
      <c r="N993" s="7">
        <v>38318</v>
      </c>
      <c r="O993" s="1">
        <f>TBL_Employees3[[#This Row],[Annual Salary]]+TBL_Employees3[[#This Row],[Bonus %]]*TBL_Employees3[[#This Row],[Annual Salary]]</f>
        <v>85369</v>
      </c>
      <c r="P993" t="str">
        <f>IF(AND(TBL_Employees3[[#This Row],[Department]]="IT",TBL_Employees3[[#This Row],[Gender]]="Female"),"Yes","No")</f>
        <v>No</v>
      </c>
      <c r="Q993" t="str">
        <f>IF(AND(TBL_Employees3[[#This Row],[Gender]]="Female",TBL_Employees3[[#This Row],[Ethnicity]]="Black"), "Female_Black", "Others")</f>
        <v>Others</v>
      </c>
    </row>
    <row r="994" spans="1:17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7">
        <v>42169</v>
      </c>
      <c r="J994" s="1">
        <v>67489</v>
      </c>
      <c r="K994" s="2">
        <v>0</v>
      </c>
      <c r="L994" t="s">
        <v>19</v>
      </c>
      <c r="M994" t="s">
        <v>20</v>
      </c>
      <c r="N994" s="7" t="s">
        <v>21</v>
      </c>
      <c r="O994" s="1">
        <f>TBL_Employees3[[#This Row],[Annual Salary]]+TBL_Employees3[[#This Row],[Bonus %]]*TBL_Employees3[[#This Row],[Annual Salary]]</f>
        <v>67489</v>
      </c>
      <c r="P994" t="str">
        <f>IF(AND(TBL_Employees3[[#This Row],[Department]]="IT",TBL_Employees3[[#This Row],[Gender]]="Female"),"Yes","No")</f>
        <v>No</v>
      </c>
      <c r="Q994" t="str">
        <f>IF(AND(TBL_Employees3[[#This Row],[Gender]]="Female",TBL_Employees3[[#This Row],[Ethnicity]]="Black"), "Female_Black", "Others")</f>
        <v>Others</v>
      </c>
    </row>
    <row r="995" spans="1:17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7">
        <v>43379</v>
      </c>
      <c r="J995" s="1">
        <v>166259</v>
      </c>
      <c r="K995" s="2">
        <v>0.17</v>
      </c>
      <c r="L995" t="s">
        <v>19</v>
      </c>
      <c r="M995" t="s">
        <v>20</v>
      </c>
      <c r="N995" s="7" t="s">
        <v>21</v>
      </c>
      <c r="O995" s="1">
        <f>TBL_Employees3[[#This Row],[Annual Salary]]+TBL_Employees3[[#This Row],[Bonus %]]*TBL_Employees3[[#This Row],[Annual Salary]]</f>
        <v>194523.03</v>
      </c>
      <c r="P995" t="str">
        <f>IF(AND(TBL_Employees3[[#This Row],[Department]]="IT",TBL_Employees3[[#This Row],[Gender]]="Female"),"Yes","No")</f>
        <v>Yes</v>
      </c>
      <c r="Q995" t="str">
        <f>IF(AND(TBL_Employees3[[#This Row],[Gender]]="Female",TBL_Employees3[[#This Row],[Ethnicity]]="Black"), "Female_Black", "Others")</f>
        <v>Others</v>
      </c>
    </row>
    <row r="996" spans="1:17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7">
        <v>39820</v>
      </c>
      <c r="J996" s="1">
        <v>47032</v>
      </c>
      <c r="K996" s="2">
        <v>0</v>
      </c>
      <c r="L996" t="s">
        <v>19</v>
      </c>
      <c r="M996" t="s">
        <v>29</v>
      </c>
      <c r="N996" s="7" t="s">
        <v>21</v>
      </c>
      <c r="O996" s="1">
        <f>TBL_Employees3[[#This Row],[Annual Salary]]+TBL_Employees3[[#This Row],[Bonus %]]*TBL_Employees3[[#This Row],[Annual Salary]]</f>
        <v>47032</v>
      </c>
      <c r="P996" t="str">
        <f>IF(AND(TBL_Employees3[[#This Row],[Department]]="IT",TBL_Employees3[[#This Row],[Gender]]="Female"),"Yes","No")</f>
        <v>Yes</v>
      </c>
      <c r="Q996" t="str">
        <f>IF(AND(TBL_Employees3[[#This Row],[Gender]]="Female",TBL_Employees3[[#This Row],[Ethnicity]]="Black"), "Female_Black", "Others")</f>
        <v>Others</v>
      </c>
    </row>
    <row r="997" spans="1:17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7">
        <v>42631</v>
      </c>
      <c r="J997" s="1">
        <v>98427</v>
      </c>
      <c r="K997" s="2">
        <v>0</v>
      </c>
      <c r="L997" t="s">
        <v>19</v>
      </c>
      <c r="M997" t="s">
        <v>29</v>
      </c>
      <c r="N997" s="7" t="s">
        <v>21</v>
      </c>
      <c r="O997" s="1">
        <f>TBL_Employees3[[#This Row],[Annual Salary]]+TBL_Employees3[[#This Row],[Bonus %]]*TBL_Employees3[[#This Row],[Annual Salary]]</f>
        <v>98427</v>
      </c>
      <c r="P997" t="str">
        <f>IF(AND(TBL_Employees3[[#This Row],[Department]]="IT",TBL_Employees3[[#This Row],[Gender]]="Female"),"Yes","No")</f>
        <v>No</v>
      </c>
      <c r="Q997" t="str">
        <f>IF(AND(TBL_Employees3[[#This Row],[Gender]]="Female",TBL_Employees3[[#This Row],[Ethnicity]]="Black"), "Female_Black", "Others")</f>
        <v>Others</v>
      </c>
    </row>
    <row r="998" spans="1:17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7">
        <v>40329</v>
      </c>
      <c r="J998" s="1">
        <v>47387</v>
      </c>
      <c r="K998" s="2">
        <v>0</v>
      </c>
      <c r="L998" t="s">
        <v>33</v>
      </c>
      <c r="M998" t="s">
        <v>34</v>
      </c>
      <c r="N998" s="7">
        <v>43108</v>
      </c>
      <c r="O998" s="1">
        <f>TBL_Employees3[[#This Row],[Annual Salary]]+TBL_Employees3[[#This Row],[Bonus %]]*TBL_Employees3[[#This Row],[Annual Salary]]</f>
        <v>47387</v>
      </c>
      <c r="P998" t="str">
        <f>IF(AND(TBL_Employees3[[#This Row],[Department]]="IT",TBL_Employees3[[#This Row],[Gender]]="Female"),"Yes","No")</f>
        <v>No</v>
      </c>
      <c r="Q998" t="str">
        <f>IF(AND(TBL_Employees3[[#This Row],[Gender]]="Female",TBL_Employees3[[#This Row],[Ethnicity]]="Black"), "Female_Black", "Others")</f>
        <v>Others</v>
      </c>
    </row>
    <row r="999" spans="1:17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7">
        <v>43626</v>
      </c>
      <c r="J999" s="1">
        <v>176710</v>
      </c>
      <c r="K999" s="2">
        <v>0.15</v>
      </c>
      <c r="L999" t="s">
        <v>19</v>
      </c>
      <c r="M999" t="s">
        <v>45</v>
      </c>
      <c r="N999" s="7" t="s">
        <v>21</v>
      </c>
      <c r="O999" s="1">
        <f>TBL_Employees3[[#This Row],[Annual Salary]]+TBL_Employees3[[#This Row],[Bonus %]]*TBL_Employees3[[#This Row],[Annual Salary]]</f>
        <v>203216.5</v>
      </c>
      <c r="P999" t="str">
        <f>IF(AND(TBL_Employees3[[#This Row],[Department]]="IT",TBL_Employees3[[#This Row],[Gender]]="Female"),"Yes","No")</f>
        <v>No</v>
      </c>
      <c r="Q999" t="str">
        <f>IF(AND(TBL_Employees3[[#This Row],[Gender]]="Female",TBL_Employees3[[#This Row],[Ethnicity]]="Black"), "Female_Black", "Others")</f>
        <v>Others</v>
      </c>
    </row>
    <row r="1000" spans="1:17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7">
        <v>40936</v>
      </c>
      <c r="J1000" s="1">
        <v>95960</v>
      </c>
      <c r="K1000" s="2">
        <v>0</v>
      </c>
      <c r="L1000" t="s">
        <v>33</v>
      </c>
      <c r="M1000" t="s">
        <v>34</v>
      </c>
      <c r="N1000" s="7" t="s">
        <v>21</v>
      </c>
      <c r="O1000" s="1">
        <f>TBL_Employees3[[#This Row],[Annual Salary]]+TBL_Employees3[[#This Row],[Bonus %]]*TBL_Employees3[[#This Row],[Annual Salary]]</f>
        <v>95960</v>
      </c>
      <c r="P1000" t="str">
        <f>IF(AND(TBL_Employees3[[#This Row],[Department]]="IT",TBL_Employees3[[#This Row],[Gender]]="Female"),"Yes","No")</f>
        <v>No</v>
      </c>
      <c r="Q1000" t="str">
        <f>IF(AND(TBL_Employees3[[#This Row],[Gender]]="Female",TBL_Employees3[[#This Row],[Ethnicity]]="Black"), "Female_Black", "Others")</f>
        <v>Others</v>
      </c>
    </row>
    <row r="1001" spans="1:17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7">
        <v>44038</v>
      </c>
      <c r="J1001" s="1">
        <v>216195</v>
      </c>
      <c r="K1001" s="2">
        <v>0.31</v>
      </c>
      <c r="L1001" t="s">
        <v>19</v>
      </c>
      <c r="M1001" t="s">
        <v>45</v>
      </c>
      <c r="N1001" s="7" t="s">
        <v>21</v>
      </c>
      <c r="O1001" s="1">
        <f>TBL_Employees3[[#This Row],[Annual Salary]]+TBL_Employees3[[#This Row],[Bonus %]]*TBL_Employees3[[#This Row],[Annual Salary]]</f>
        <v>283215.45</v>
      </c>
      <c r="P1001" t="str">
        <f>IF(AND(TBL_Employees3[[#This Row],[Department]]="IT",TBL_Employees3[[#This Row],[Gender]]="Female"),"Yes","No")</f>
        <v>No</v>
      </c>
      <c r="Q1001" t="str">
        <f>IF(AND(TBL_Employees3[[#This Row],[Gender]]="Female",TBL_Employees3[[#This Row],[Ethnicity]]="Black"), "Female_Black", "Others")</f>
        <v>Others</v>
      </c>
    </row>
  </sheetData>
  <conditionalFormatting sqref="A1:A1048576">
    <cfRule type="duplicateValues" dxfId="8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3:B12"/>
  <sheetViews>
    <sheetView workbookViewId="0">
      <selection activeCell="G13" sqref="G13"/>
    </sheetView>
  </sheetViews>
  <sheetFormatPr defaultRowHeight="14.4"/>
  <cols>
    <col min="1" max="1" width="15.6640625" bestFit="1" customWidth="1"/>
    <col min="2" max="2" width="19.109375" bestFit="1" customWidth="1"/>
  </cols>
  <sheetData>
    <row r="3" spans="1:2">
      <c r="A3" s="20" t="s">
        <v>2175</v>
      </c>
      <c r="B3" t="s">
        <v>2178</v>
      </c>
    </row>
    <row r="4" spans="1:2">
      <c r="A4" s="5" t="s">
        <v>65</v>
      </c>
      <c r="B4">
        <v>96</v>
      </c>
    </row>
    <row r="5" spans="1:2">
      <c r="A5" s="5" t="s">
        <v>31</v>
      </c>
      <c r="B5">
        <v>158</v>
      </c>
    </row>
    <row r="6" spans="1:2">
      <c r="A6" s="5" t="s">
        <v>15</v>
      </c>
      <c r="B6">
        <v>120</v>
      </c>
    </row>
    <row r="7" spans="1:2">
      <c r="A7" s="5" t="s">
        <v>23</v>
      </c>
      <c r="B7">
        <v>125</v>
      </c>
    </row>
    <row r="8" spans="1:2">
      <c r="A8" s="5" t="s">
        <v>27</v>
      </c>
      <c r="B8">
        <v>241</v>
      </c>
    </row>
    <row r="9" spans="1:2">
      <c r="A9" s="5" t="s">
        <v>43</v>
      </c>
      <c r="B9">
        <v>120</v>
      </c>
    </row>
    <row r="10" spans="1:2">
      <c r="A10" s="5" t="s">
        <v>50</v>
      </c>
      <c r="B10">
        <v>140</v>
      </c>
    </row>
    <row r="11" spans="1:2">
      <c r="A11" s="5" t="s">
        <v>2176</v>
      </c>
    </row>
    <row r="12" spans="1:2">
      <c r="A12" s="5" t="s">
        <v>2177</v>
      </c>
      <c r="B12">
        <v>1000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M19" sqref="M19"/>
    </sheetView>
  </sheetViews>
  <sheetFormatPr defaultRowHeight="14.4"/>
  <cols>
    <col min="1" max="1" width="9.6640625" customWidth="1"/>
  </cols>
  <sheetData>
    <row r="1" spans="1:1">
      <c r="A1" t="s">
        <v>2</v>
      </c>
    </row>
    <row r="2" spans="1:1">
      <c r="A2" t="s">
        <v>38</v>
      </c>
    </row>
    <row r="3" spans="1:1">
      <c r="A3" t="s">
        <v>38</v>
      </c>
    </row>
    <row r="4" spans="1:1">
      <c r="A4" t="s">
        <v>38</v>
      </c>
    </row>
    <row r="5" spans="1:1">
      <c r="A5" t="s">
        <v>38</v>
      </c>
    </row>
    <row r="6" spans="1:1">
      <c r="A6" t="s">
        <v>38</v>
      </c>
    </row>
    <row r="7" spans="1:1">
      <c r="A7" t="s">
        <v>38</v>
      </c>
    </row>
    <row r="8" spans="1:1">
      <c r="A8" t="s">
        <v>38</v>
      </c>
    </row>
    <row r="9" spans="1:1">
      <c r="A9" t="s">
        <v>38</v>
      </c>
    </row>
    <row r="10" spans="1:1">
      <c r="A10" t="s">
        <v>38</v>
      </c>
    </row>
    <row r="11" spans="1:1">
      <c r="A11" t="s">
        <v>38</v>
      </c>
    </row>
    <row r="12" spans="1:1">
      <c r="A12" t="s">
        <v>38</v>
      </c>
    </row>
    <row r="13" spans="1:1">
      <c r="A13" t="s">
        <v>38</v>
      </c>
    </row>
    <row r="14" spans="1:1">
      <c r="A14" t="s">
        <v>38</v>
      </c>
    </row>
    <row r="15" spans="1:1">
      <c r="A15" t="s">
        <v>38</v>
      </c>
    </row>
    <row r="16" spans="1:1">
      <c r="A16" t="s">
        <v>38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activeCell="B7" sqref="B7"/>
    </sheetView>
  </sheetViews>
  <sheetFormatPr defaultRowHeight="14.4"/>
  <cols>
    <col min="1" max="1" width="25.5546875" bestFit="1" customWidth="1"/>
    <col min="2" max="2" width="15.77734375" bestFit="1" customWidth="1"/>
  </cols>
  <sheetData>
    <row r="1" spans="1:2">
      <c r="A1" s="20" t="s">
        <v>2175</v>
      </c>
      <c r="B1" t="s">
        <v>2174</v>
      </c>
    </row>
    <row r="2" spans="1:2">
      <c r="A2" s="5" t="s">
        <v>94</v>
      </c>
      <c r="B2">
        <v>21</v>
      </c>
    </row>
    <row r="3" spans="1:2">
      <c r="A3" s="5" t="s">
        <v>68</v>
      </c>
      <c r="B3">
        <v>51</v>
      </c>
    </row>
    <row r="4" spans="1:2">
      <c r="A4" s="5" t="s">
        <v>64</v>
      </c>
      <c r="B4">
        <v>53</v>
      </c>
    </row>
    <row r="5" spans="1:2">
      <c r="A5" s="5" t="s">
        <v>59</v>
      </c>
      <c r="B5">
        <v>7</v>
      </c>
    </row>
    <row r="6" spans="1:2">
      <c r="A6" s="5" t="s">
        <v>83</v>
      </c>
      <c r="B6">
        <v>19</v>
      </c>
    </row>
    <row r="7" spans="1:2">
      <c r="A7" s="5" t="s">
        <v>38</v>
      </c>
      <c r="B7">
        <v>15</v>
      </c>
    </row>
    <row r="8" spans="1:2">
      <c r="A8" s="5" t="s">
        <v>56</v>
      </c>
      <c r="B8">
        <v>21</v>
      </c>
    </row>
    <row r="9" spans="1:2">
      <c r="A9" s="5" t="s">
        <v>84</v>
      </c>
      <c r="B9">
        <v>15</v>
      </c>
    </row>
    <row r="10" spans="1:2">
      <c r="A10" s="5" t="s">
        <v>86</v>
      </c>
      <c r="B10">
        <v>19</v>
      </c>
    </row>
    <row r="11" spans="1:2">
      <c r="A11" s="5" t="s">
        <v>40</v>
      </c>
      <c r="B11">
        <v>121</v>
      </c>
    </row>
    <row r="12" spans="1:2">
      <c r="A12" s="5" t="s">
        <v>97</v>
      </c>
      <c r="B12">
        <v>20</v>
      </c>
    </row>
    <row r="13" spans="1:2">
      <c r="A13" s="5" t="s">
        <v>26</v>
      </c>
      <c r="B13">
        <v>18</v>
      </c>
    </row>
    <row r="14" spans="1:2">
      <c r="A14" s="5" t="s">
        <v>129</v>
      </c>
      <c r="B14">
        <v>21</v>
      </c>
    </row>
    <row r="15" spans="1:2">
      <c r="A15" s="5" t="s">
        <v>22</v>
      </c>
      <c r="B15">
        <v>16</v>
      </c>
    </row>
    <row r="16" spans="1:2">
      <c r="A16" s="5" t="s">
        <v>73</v>
      </c>
      <c r="B16">
        <v>11</v>
      </c>
    </row>
    <row r="17" spans="1:2">
      <c r="A17" s="5" t="s">
        <v>91</v>
      </c>
      <c r="B17">
        <v>12</v>
      </c>
    </row>
    <row r="18" spans="1:2">
      <c r="A18" s="5" t="s">
        <v>62</v>
      </c>
      <c r="B18">
        <v>98</v>
      </c>
    </row>
    <row r="19" spans="1:2">
      <c r="A19" s="5" t="s">
        <v>89</v>
      </c>
      <c r="B19">
        <v>10</v>
      </c>
    </row>
    <row r="20" spans="1:2">
      <c r="A20" s="5" t="s">
        <v>71</v>
      </c>
      <c r="B20">
        <v>18</v>
      </c>
    </row>
    <row r="21" spans="1:2">
      <c r="A21" s="5" t="s">
        <v>35</v>
      </c>
      <c r="B21">
        <v>7</v>
      </c>
    </row>
    <row r="22" spans="1:2">
      <c r="A22" s="5" t="s">
        <v>69</v>
      </c>
      <c r="B22">
        <v>12</v>
      </c>
    </row>
    <row r="23" spans="1:2">
      <c r="A23" s="5" t="s">
        <v>30</v>
      </c>
      <c r="B23">
        <v>20</v>
      </c>
    </row>
    <row r="24" spans="1:2">
      <c r="A24" s="5" t="s">
        <v>82</v>
      </c>
      <c r="B24">
        <v>10</v>
      </c>
    </row>
    <row r="25" spans="1:2">
      <c r="A25" s="5" t="s">
        <v>88</v>
      </c>
      <c r="B25">
        <v>15</v>
      </c>
    </row>
    <row r="26" spans="1:2">
      <c r="A26" s="5" t="s">
        <v>49</v>
      </c>
      <c r="B26">
        <v>9</v>
      </c>
    </row>
    <row r="27" spans="1:2">
      <c r="A27" s="5" t="s">
        <v>42</v>
      </c>
      <c r="B27">
        <v>70</v>
      </c>
    </row>
    <row r="28" spans="1:2">
      <c r="A28" s="5" t="s">
        <v>77</v>
      </c>
      <c r="B28">
        <v>17</v>
      </c>
    </row>
    <row r="29" spans="1:2">
      <c r="A29" s="5" t="s">
        <v>61</v>
      </c>
      <c r="B29">
        <v>110</v>
      </c>
    </row>
    <row r="30" spans="1:2">
      <c r="A30" s="5" t="s">
        <v>98</v>
      </c>
      <c r="B30">
        <v>15</v>
      </c>
    </row>
    <row r="31" spans="1:2">
      <c r="A31" s="5" t="s">
        <v>76</v>
      </c>
      <c r="B31">
        <v>15</v>
      </c>
    </row>
    <row r="32" spans="1:2">
      <c r="A32" s="5" t="s">
        <v>55</v>
      </c>
      <c r="B32">
        <v>17</v>
      </c>
    </row>
    <row r="33" spans="1:2">
      <c r="A33" s="5" t="s">
        <v>58</v>
      </c>
      <c r="B33">
        <v>12</v>
      </c>
    </row>
    <row r="34" spans="1:2">
      <c r="A34" s="5" t="s">
        <v>14</v>
      </c>
      <c r="B34">
        <v>105</v>
      </c>
    </row>
    <row r="35" spans="1:2">
      <c r="A35" s="5" t="s">
        <v>2176</v>
      </c>
    </row>
    <row r="36" spans="1:2">
      <c r="A36" s="5" t="s">
        <v>2177</v>
      </c>
      <c r="B36">
        <v>1000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tabSelected="1" zoomScale="150" zoomScaleNormal="150" workbookViewId="0">
      <selection activeCell="D14" sqref="D14"/>
    </sheetView>
  </sheetViews>
  <sheetFormatPr defaultRowHeight="14.4"/>
  <cols>
    <col min="5" max="5" width="11.109375" bestFit="1" customWidth="1"/>
    <col min="6" max="6" width="22.5546875" bestFit="1" customWidth="1"/>
    <col min="7" max="7" width="11" bestFit="1" customWidth="1"/>
  </cols>
  <sheetData>
    <row r="1" spans="1:8">
      <c r="A1" t="s">
        <v>2181</v>
      </c>
      <c r="B1" t="s">
        <v>2182</v>
      </c>
    </row>
    <row r="2" spans="1:8">
      <c r="A2">
        <v>9</v>
      </c>
      <c r="B2">
        <v>15</v>
      </c>
      <c r="C2">
        <f>A2*B2</f>
        <v>135</v>
      </c>
    </row>
    <row r="3" spans="1:8">
      <c r="A3">
        <v>8</v>
      </c>
      <c r="B3">
        <v>16</v>
      </c>
      <c r="C3">
        <f t="shared" ref="C3:C10" si="0">A3*B3</f>
        <v>128</v>
      </c>
    </row>
    <row r="4" spans="1:8">
      <c r="A4">
        <v>7</v>
      </c>
      <c r="B4">
        <v>14</v>
      </c>
      <c r="C4">
        <f t="shared" si="0"/>
        <v>98</v>
      </c>
    </row>
    <row r="5" spans="1:8">
      <c r="A5">
        <v>6</v>
      </c>
      <c r="B5">
        <v>13</v>
      </c>
      <c r="C5">
        <f t="shared" si="0"/>
        <v>78</v>
      </c>
      <c r="E5" t="s">
        <v>2183</v>
      </c>
      <c r="F5">
        <f>_xlfn.COVARIANCE.S(A2:A10,B2:B10)</f>
        <v>7.125</v>
      </c>
    </row>
    <row r="6" spans="1:8">
      <c r="A6">
        <v>5</v>
      </c>
      <c r="B6">
        <v>11</v>
      </c>
      <c r="C6">
        <f t="shared" si="0"/>
        <v>55</v>
      </c>
      <c r="E6" t="s">
        <v>2184</v>
      </c>
      <c r="F6">
        <f>CORREL(A2:A10,B2:B10)</f>
        <v>0.95000000000000007</v>
      </c>
    </row>
    <row r="7" spans="1:8">
      <c r="A7">
        <v>4</v>
      </c>
      <c r="B7">
        <v>12</v>
      </c>
      <c r="C7">
        <f t="shared" si="0"/>
        <v>48</v>
      </c>
      <c r="E7" t="s">
        <v>2193</v>
      </c>
      <c r="F7">
        <f>SUMPRODUCT(A2:A10,B2:B10)</f>
        <v>597</v>
      </c>
    </row>
    <row r="8" spans="1:8">
      <c r="A8">
        <v>3</v>
      </c>
      <c r="B8">
        <v>10</v>
      </c>
      <c r="C8">
        <f t="shared" si="0"/>
        <v>30</v>
      </c>
      <c r="F8" t="s">
        <v>2185</v>
      </c>
      <c r="G8" t="s">
        <v>2186</v>
      </c>
      <c r="H8" t="s">
        <v>2188</v>
      </c>
    </row>
    <row r="9" spans="1:8">
      <c r="A9">
        <v>2</v>
      </c>
      <c r="B9">
        <v>8</v>
      </c>
      <c r="C9">
        <f t="shared" si="0"/>
        <v>16</v>
      </c>
      <c r="F9" t="s">
        <v>2187</v>
      </c>
      <c r="G9" t="s">
        <v>2186</v>
      </c>
      <c r="H9" t="s">
        <v>2189</v>
      </c>
    </row>
    <row r="10" spans="1:8">
      <c r="A10">
        <v>1</v>
      </c>
      <c r="B10">
        <v>9</v>
      </c>
      <c r="C10">
        <f t="shared" si="0"/>
        <v>9</v>
      </c>
      <c r="F10" t="s">
        <v>2191</v>
      </c>
      <c r="G10" t="s">
        <v>2192</v>
      </c>
      <c r="H10" t="s">
        <v>2190</v>
      </c>
    </row>
    <row r="12" spans="1:8">
      <c r="C12">
        <f>SUM(C2:C10)</f>
        <v>597</v>
      </c>
    </row>
    <row r="13" spans="1:8">
      <c r="B13">
        <f>SUMPRODUCT(A2:A10,B2:B10)</f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Questions</vt:lpstr>
      <vt:lpstr>Arithmetics</vt:lpstr>
      <vt:lpstr>percent</vt:lpstr>
      <vt:lpstr>percentiles</vt:lpstr>
      <vt:lpstr>percentiles (2)</vt:lpstr>
      <vt:lpstr>OR</vt:lpstr>
      <vt:lpstr>countif</vt:lpstr>
      <vt:lpstr>moments</vt:lpstr>
      <vt:lpstr>pivot table 1</vt:lpstr>
      <vt:lpstr>Sheet1</vt:lpstr>
      <vt:lpstr>pivot table</vt:lpstr>
      <vt:lpstr>corr&amp; cov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NAVIN SINGH</cp:lastModifiedBy>
  <cp:lastPrinted>2023-05-02T15:16:54Z</cp:lastPrinted>
  <dcterms:created xsi:type="dcterms:W3CDTF">2022-08-29T14:02:56Z</dcterms:created>
  <dcterms:modified xsi:type="dcterms:W3CDTF">2023-05-02T15:41:40Z</dcterms:modified>
</cp:coreProperties>
</file>