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 activeTab="5"/>
  </bookViews>
  <sheets>
    <sheet name="Data" sheetId="1" r:id="rId1"/>
    <sheet name="Sheet2" sheetId="4" r:id="rId2"/>
    <sheet name="Questions" sheetId="2" r:id="rId3"/>
    <sheet name="Sheet1" sheetId="5" r:id="rId4"/>
    <sheet name="dataa" sheetId="6" r:id="rId5"/>
    <sheet name="solution" sheetId="7" r:id="rId6"/>
  </sheets>
  <calcPr calcId="124519"/>
</workbook>
</file>

<file path=xl/calcChain.xml><?xml version="1.0" encoding="utf-8"?>
<calcChain xmlns="http://schemas.openxmlformats.org/spreadsheetml/2006/main">
  <c r="B2" i="7"/>
  <c r="B3"/>
  <c r="B4"/>
  <c r="B6"/>
  <c r="C6"/>
  <c r="B7"/>
  <c r="C7"/>
  <c r="B8"/>
  <c r="B9"/>
  <c r="B10"/>
  <c r="B11"/>
  <c r="B12"/>
  <c r="B13"/>
  <c r="B14"/>
  <c r="B15"/>
  <c r="B16"/>
  <c r="B17"/>
  <c r="B18"/>
  <c r="B19"/>
  <c r="B20"/>
  <c r="B21"/>
  <c r="B22"/>
  <c r="B23"/>
  <c r="B24" a="1"/>
  <c r="B24"/>
  <c r="B25"/>
  <c r="B26"/>
  <c r="B27"/>
  <c r="B28"/>
  <c r="B29"/>
  <c r="B30"/>
  <c r="B31"/>
  <c r="B32"/>
  <c r="B33"/>
  <c r="B34"/>
  <c r="B35"/>
  <c r="B36"/>
  <c r="D36"/>
  <c r="B37"/>
  <c r="B38"/>
  <c r="B39"/>
  <c r="B40"/>
  <c r="B42"/>
  <c r="B43"/>
  <c r="B44"/>
  <c r="O2" i="6"/>
  <c r="P2"/>
  <c r="Q2"/>
  <c r="O3"/>
  <c r="P3"/>
  <c r="Q3"/>
  <c r="O4"/>
  <c r="P4"/>
  <c r="Q4"/>
  <c r="O5"/>
  <c r="P5"/>
  <c r="Q5"/>
  <c r="O6"/>
  <c r="P6"/>
  <c r="Q6"/>
  <c r="O7"/>
  <c r="P7"/>
  <c r="Q7"/>
  <c r="O8"/>
  <c r="P8"/>
  <c r="Q8"/>
  <c r="O9"/>
  <c r="P9"/>
  <c r="Q9"/>
  <c r="O10"/>
  <c r="P10"/>
  <c r="Q10"/>
  <c r="O11"/>
  <c r="P11"/>
  <c r="Q11"/>
  <c r="O12"/>
  <c r="P12"/>
  <c r="Q12"/>
  <c r="O13"/>
  <c r="P13"/>
  <c r="Q13"/>
  <c r="O14"/>
  <c r="P14"/>
  <c r="Q14"/>
  <c r="O15"/>
  <c r="P15"/>
  <c r="Q15"/>
  <c r="O16"/>
  <c r="P16"/>
  <c r="Q16"/>
  <c r="O17"/>
  <c r="P17"/>
  <c r="Q17"/>
  <c r="O18"/>
  <c r="P18"/>
  <c r="Q18"/>
  <c r="O19"/>
  <c r="P19"/>
  <c r="Q19"/>
  <c r="O20"/>
  <c r="P20"/>
  <c r="Q20"/>
  <c r="O21"/>
  <c r="P21"/>
  <c r="Q21"/>
  <c r="O22"/>
  <c r="P22"/>
  <c r="Q22"/>
  <c r="O23"/>
  <c r="P23"/>
  <c r="Q23"/>
  <c r="O24"/>
  <c r="P24"/>
  <c r="Q24"/>
  <c r="O25"/>
  <c r="P25"/>
  <c r="Q25"/>
  <c r="O26"/>
  <c r="P26"/>
  <c r="Q26"/>
  <c r="O27"/>
  <c r="P27"/>
  <c r="Q27"/>
  <c r="O28"/>
  <c r="P28"/>
  <c r="Q28"/>
  <c r="O29"/>
  <c r="P29"/>
  <c r="Q29"/>
  <c r="O30"/>
  <c r="P30"/>
  <c r="Q30"/>
  <c r="O31"/>
  <c r="P31"/>
  <c r="Q31"/>
  <c r="O32"/>
  <c r="P32"/>
  <c r="Q32"/>
  <c r="O33"/>
  <c r="P33"/>
  <c r="Q33"/>
  <c r="O34"/>
  <c r="P34"/>
  <c r="Q34"/>
  <c r="O35"/>
  <c r="P35"/>
  <c r="Q35"/>
  <c r="O36"/>
  <c r="P36"/>
  <c r="Q36"/>
  <c r="O37"/>
  <c r="P37"/>
  <c r="Q37"/>
  <c r="O38"/>
  <c r="P38"/>
  <c r="Q38"/>
  <c r="O39"/>
  <c r="P39"/>
  <c r="Q39"/>
  <c r="O40"/>
  <c r="P40"/>
  <c r="Q40"/>
  <c r="O41"/>
  <c r="P41"/>
  <c r="Q41"/>
  <c r="O42"/>
  <c r="P42"/>
  <c r="Q42"/>
  <c r="O43"/>
  <c r="P43"/>
  <c r="Q43"/>
  <c r="O44"/>
  <c r="P44"/>
  <c r="Q44"/>
  <c r="O45"/>
  <c r="P45"/>
  <c r="Q45"/>
  <c r="O46"/>
  <c r="P46"/>
  <c r="Q46"/>
  <c r="O47"/>
  <c r="P47"/>
  <c r="Q47"/>
  <c r="O48"/>
  <c r="P48"/>
  <c r="Q48"/>
  <c r="O49"/>
  <c r="P49"/>
  <c r="Q49"/>
  <c r="O50"/>
  <c r="P50"/>
  <c r="Q50"/>
  <c r="O51"/>
  <c r="P51"/>
  <c r="Q51"/>
  <c r="O52"/>
  <c r="P52"/>
  <c r="Q52"/>
  <c r="O53"/>
  <c r="P53"/>
  <c r="Q53"/>
  <c r="O54"/>
  <c r="P54"/>
  <c r="Q54"/>
  <c r="O55"/>
  <c r="P55"/>
  <c r="Q55"/>
  <c r="O56"/>
  <c r="P56"/>
  <c r="Q56"/>
  <c r="O57"/>
  <c r="P57"/>
  <c r="Q57"/>
  <c r="O58"/>
  <c r="P58"/>
  <c r="Q58"/>
  <c r="O59"/>
  <c r="P59"/>
  <c r="Q59"/>
  <c r="O60"/>
  <c r="P60"/>
  <c r="Q60"/>
  <c r="O61"/>
  <c r="P61"/>
  <c r="Q61"/>
  <c r="O62"/>
  <c r="P62"/>
  <c r="Q62"/>
  <c r="O63"/>
  <c r="P63"/>
  <c r="Q63"/>
  <c r="O64"/>
  <c r="P64"/>
  <c r="Q64"/>
  <c r="O65"/>
  <c r="P65"/>
  <c r="Q65"/>
  <c r="O66"/>
  <c r="P66"/>
  <c r="Q66"/>
  <c r="O67"/>
  <c r="P67"/>
  <c r="Q67"/>
  <c r="O68"/>
  <c r="P68"/>
  <c r="Q68"/>
  <c r="O69"/>
  <c r="P69"/>
  <c r="Q69"/>
  <c r="O70"/>
  <c r="P70"/>
  <c r="Q70"/>
  <c r="O71"/>
  <c r="P71"/>
  <c r="Q71"/>
  <c r="O72"/>
  <c r="P72"/>
  <c r="Q72"/>
  <c r="O73"/>
  <c r="P73"/>
  <c r="Q73"/>
  <c r="O74"/>
  <c r="P74"/>
  <c r="Q74"/>
  <c r="O75"/>
  <c r="P75"/>
  <c r="Q75"/>
  <c r="O76"/>
  <c r="P76"/>
  <c r="Q76"/>
  <c r="O77"/>
  <c r="P77"/>
  <c r="Q77"/>
  <c r="O78"/>
  <c r="P78"/>
  <c r="Q78"/>
  <c r="O79"/>
  <c r="P79"/>
  <c r="Q79"/>
  <c r="O80"/>
  <c r="P80"/>
  <c r="Q80"/>
  <c r="O81"/>
  <c r="P81"/>
  <c r="Q81"/>
  <c r="O82"/>
  <c r="P82"/>
  <c r="Q82"/>
  <c r="O83"/>
  <c r="P83"/>
  <c r="Q83"/>
  <c r="O84"/>
  <c r="P84"/>
  <c r="Q84"/>
  <c r="O85"/>
  <c r="P85"/>
  <c r="Q85"/>
  <c r="O86"/>
  <c r="P86"/>
  <c r="Q86"/>
  <c r="O87"/>
  <c r="P87"/>
  <c r="Q87"/>
  <c r="O88"/>
  <c r="P88"/>
  <c r="Q88"/>
  <c r="O89"/>
  <c r="P89"/>
  <c r="Q89"/>
  <c r="O90"/>
  <c r="P90"/>
  <c r="Q90"/>
  <c r="O91"/>
  <c r="P91"/>
  <c r="Q91"/>
  <c r="O92"/>
  <c r="P92"/>
  <c r="Q92"/>
  <c r="O93"/>
  <c r="P93"/>
  <c r="Q93"/>
  <c r="O94"/>
  <c r="P94"/>
  <c r="Q94"/>
  <c r="O95"/>
  <c r="P95"/>
  <c r="Q95"/>
  <c r="O96"/>
  <c r="P96"/>
  <c r="Q96"/>
  <c r="O97"/>
  <c r="P97"/>
  <c r="Q97"/>
  <c r="O98"/>
  <c r="P98"/>
  <c r="Q98"/>
  <c r="O99"/>
  <c r="P99"/>
  <c r="Q99"/>
  <c r="O100"/>
  <c r="P100"/>
  <c r="Q100"/>
  <c r="O101"/>
  <c r="P101"/>
  <c r="Q101"/>
  <c r="O102"/>
  <c r="P102"/>
  <c r="Q102"/>
  <c r="O103"/>
  <c r="P103"/>
  <c r="Q103"/>
  <c r="O104"/>
  <c r="P104"/>
  <c r="Q104"/>
  <c r="O105"/>
  <c r="P105"/>
  <c r="Q105"/>
  <c r="O106"/>
  <c r="P106"/>
  <c r="Q106"/>
  <c r="O107"/>
  <c r="P107"/>
  <c r="Q107"/>
  <c r="O108"/>
  <c r="P108"/>
  <c r="Q108"/>
  <c r="O109"/>
  <c r="P109"/>
  <c r="Q109"/>
  <c r="O110"/>
  <c r="P110"/>
  <c r="Q110"/>
  <c r="O111"/>
  <c r="P111"/>
  <c r="Q111"/>
  <c r="O112"/>
  <c r="P112"/>
  <c r="Q112"/>
  <c r="O113"/>
  <c r="P113"/>
  <c r="Q113"/>
  <c r="O114"/>
  <c r="P114"/>
  <c r="Q114"/>
  <c r="O115"/>
  <c r="P115"/>
  <c r="Q115"/>
  <c r="O116"/>
  <c r="P116"/>
  <c r="Q116"/>
  <c r="O117"/>
  <c r="P117"/>
  <c r="Q117"/>
  <c r="O118"/>
  <c r="P118"/>
  <c r="Q118"/>
  <c r="O119"/>
  <c r="P119"/>
  <c r="Q119"/>
  <c r="O120"/>
  <c r="P120"/>
  <c r="Q120"/>
  <c r="O121"/>
  <c r="P121"/>
  <c r="Q121"/>
  <c r="O122"/>
  <c r="P122"/>
  <c r="Q122"/>
  <c r="O123"/>
  <c r="P123"/>
  <c r="Q123"/>
  <c r="O124"/>
  <c r="P124"/>
  <c r="Q124"/>
  <c r="O125"/>
  <c r="P125"/>
  <c r="Q125"/>
  <c r="O126"/>
  <c r="P126"/>
  <c r="Q126"/>
  <c r="O127"/>
  <c r="P127"/>
  <c r="Q127"/>
  <c r="O128"/>
  <c r="P128"/>
  <c r="Q128"/>
  <c r="O129"/>
  <c r="P129"/>
  <c r="Q129"/>
  <c r="O130"/>
  <c r="P130"/>
  <c r="Q130"/>
  <c r="O131"/>
  <c r="P131"/>
  <c r="Q131"/>
  <c r="O132"/>
  <c r="P132"/>
  <c r="Q132"/>
  <c r="O133"/>
  <c r="P133"/>
  <c r="Q133"/>
  <c r="O134"/>
  <c r="P134"/>
  <c r="Q134"/>
  <c r="O135"/>
  <c r="P135"/>
  <c r="Q135"/>
  <c r="O136"/>
  <c r="P136"/>
  <c r="Q136"/>
  <c r="O137"/>
  <c r="P137"/>
  <c r="Q137"/>
  <c r="O138"/>
  <c r="P138"/>
  <c r="Q138"/>
  <c r="O139"/>
  <c r="P139"/>
  <c r="Q139"/>
  <c r="O140"/>
  <c r="P140"/>
  <c r="Q140"/>
  <c r="O141"/>
  <c r="P141"/>
  <c r="Q141"/>
  <c r="O142"/>
  <c r="P142"/>
  <c r="Q142"/>
  <c r="O143"/>
  <c r="P143"/>
  <c r="Q143"/>
  <c r="O144"/>
  <c r="P144"/>
  <c r="Q144"/>
  <c r="O145"/>
  <c r="P145"/>
  <c r="Q145"/>
  <c r="O146"/>
  <c r="P146"/>
  <c r="Q146"/>
  <c r="O147"/>
  <c r="P147"/>
  <c r="Q147"/>
  <c r="O148"/>
  <c r="P148"/>
  <c r="Q148"/>
  <c r="O149"/>
  <c r="P149"/>
  <c r="Q149"/>
  <c r="O150"/>
  <c r="P150"/>
  <c r="Q150"/>
  <c r="O151"/>
  <c r="P151"/>
  <c r="Q151"/>
  <c r="O152"/>
  <c r="P152"/>
  <c r="Q152"/>
  <c r="O153"/>
  <c r="P153"/>
  <c r="Q153"/>
  <c r="O154"/>
  <c r="P154"/>
  <c r="Q154"/>
  <c r="O155"/>
  <c r="P155"/>
  <c r="Q155"/>
  <c r="O156"/>
  <c r="P156"/>
  <c r="Q156"/>
  <c r="O157"/>
  <c r="P157"/>
  <c r="Q157"/>
  <c r="O158"/>
  <c r="P158"/>
  <c r="Q158"/>
  <c r="O159"/>
  <c r="P159"/>
  <c r="Q159"/>
  <c r="O160"/>
  <c r="P160"/>
  <c r="Q160"/>
  <c r="O161"/>
  <c r="P161"/>
  <c r="Q161"/>
  <c r="O162"/>
  <c r="P162"/>
  <c r="Q162"/>
  <c r="O163"/>
  <c r="P163"/>
  <c r="Q163"/>
  <c r="O164"/>
  <c r="P164"/>
  <c r="Q164"/>
  <c r="O165"/>
  <c r="P165"/>
  <c r="Q165"/>
  <c r="O166"/>
  <c r="P166"/>
  <c r="Q166"/>
  <c r="O167"/>
  <c r="P167"/>
  <c r="Q167"/>
  <c r="O168"/>
  <c r="P168"/>
  <c r="Q168"/>
  <c r="O169"/>
  <c r="P169"/>
  <c r="Q169"/>
  <c r="O170"/>
  <c r="P170"/>
  <c r="Q170"/>
  <c r="O171"/>
  <c r="P171"/>
  <c r="Q171"/>
  <c r="O172"/>
  <c r="P172"/>
  <c r="Q172"/>
  <c r="O173"/>
  <c r="P173"/>
  <c r="Q173"/>
  <c r="O174"/>
  <c r="P174"/>
  <c r="Q174"/>
  <c r="O175"/>
  <c r="P175"/>
  <c r="Q175"/>
  <c r="O176"/>
  <c r="P176"/>
  <c r="Q176"/>
  <c r="O177"/>
  <c r="P177"/>
  <c r="Q177"/>
  <c r="O178"/>
  <c r="P178"/>
  <c r="Q178"/>
  <c r="O179"/>
  <c r="P179"/>
  <c r="Q179"/>
  <c r="O180"/>
  <c r="P180"/>
  <c r="Q180"/>
  <c r="O181"/>
  <c r="P181"/>
  <c r="Q181"/>
  <c r="O182"/>
  <c r="P182"/>
  <c r="Q182"/>
  <c r="O183"/>
  <c r="P183"/>
  <c r="Q183"/>
  <c r="O184"/>
  <c r="P184"/>
  <c r="Q184"/>
  <c r="O185"/>
  <c r="P185"/>
  <c r="Q185"/>
  <c r="O186"/>
  <c r="P186"/>
  <c r="Q186"/>
  <c r="O187"/>
  <c r="P187"/>
  <c r="Q187"/>
  <c r="O188"/>
  <c r="P188"/>
  <c r="Q188"/>
  <c r="O189"/>
  <c r="P189"/>
  <c r="Q189"/>
  <c r="O190"/>
  <c r="P190"/>
  <c r="Q190"/>
  <c r="O191"/>
  <c r="P191"/>
  <c r="Q191"/>
  <c r="O192"/>
  <c r="P192"/>
  <c r="Q192"/>
  <c r="O193"/>
  <c r="P193"/>
  <c r="Q193"/>
  <c r="O194"/>
  <c r="P194"/>
  <c r="Q194"/>
  <c r="O195"/>
  <c r="P195"/>
  <c r="Q195"/>
  <c r="O196"/>
  <c r="P196"/>
  <c r="Q196"/>
  <c r="O197"/>
  <c r="P197"/>
  <c r="Q197"/>
  <c r="O198"/>
  <c r="P198"/>
  <c r="Q198"/>
  <c r="O199"/>
  <c r="P199"/>
  <c r="Q199"/>
  <c r="O200"/>
  <c r="P200"/>
  <c r="Q200"/>
  <c r="O201"/>
  <c r="P201"/>
  <c r="Q201"/>
  <c r="O202"/>
  <c r="P202"/>
  <c r="Q202"/>
  <c r="O203"/>
  <c r="P203"/>
  <c r="Q203"/>
  <c r="O204"/>
  <c r="P204"/>
  <c r="Q204"/>
  <c r="O205"/>
  <c r="P205"/>
  <c r="Q205"/>
  <c r="O206"/>
  <c r="P206"/>
  <c r="Q206"/>
  <c r="O207"/>
  <c r="P207"/>
  <c r="Q207"/>
  <c r="O208"/>
  <c r="P208"/>
  <c r="Q208"/>
  <c r="O209"/>
  <c r="P209"/>
  <c r="Q209"/>
  <c r="O210"/>
  <c r="P210"/>
  <c r="Q210"/>
  <c r="O211"/>
  <c r="P211"/>
  <c r="Q211"/>
  <c r="O212"/>
  <c r="P212"/>
  <c r="Q212"/>
  <c r="O213"/>
  <c r="P213"/>
  <c r="Q213"/>
  <c r="O214"/>
  <c r="P214"/>
  <c r="Q214"/>
  <c r="O215"/>
  <c r="P215"/>
  <c r="Q215"/>
  <c r="O216"/>
  <c r="P216"/>
  <c r="Q216"/>
  <c r="O217"/>
  <c r="P217"/>
  <c r="Q217"/>
  <c r="O218"/>
  <c r="P218"/>
  <c r="Q218"/>
  <c r="O219"/>
  <c r="P219"/>
  <c r="Q219"/>
  <c r="O220"/>
  <c r="P220"/>
  <c r="Q220"/>
  <c r="O221"/>
  <c r="P221"/>
  <c r="Q221"/>
  <c r="O222"/>
  <c r="P222"/>
  <c r="Q222"/>
  <c r="O223"/>
  <c r="P223"/>
  <c r="Q223"/>
  <c r="O224"/>
  <c r="P224"/>
  <c r="Q224"/>
  <c r="O225"/>
  <c r="P225"/>
  <c r="Q225"/>
  <c r="O226"/>
  <c r="P226"/>
  <c r="Q226"/>
  <c r="O227"/>
  <c r="P227"/>
  <c r="Q227"/>
  <c r="O228"/>
  <c r="P228"/>
  <c r="Q228"/>
  <c r="O229"/>
  <c r="P229"/>
  <c r="Q229"/>
  <c r="O230"/>
  <c r="P230"/>
  <c r="Q230"/>
  <c r="O231"/>
  <c r="P231"/>
  <c r="Q231"/>
  <c r="O232"/>
  <c r="P232"/>
  <c r="Q232"/>
  <c r="O233"/>
  <c r="P233"/>
  <c r="Q233"/>
  <c r="O234"/>
  <c r="P234"/>
  <c r="Q234"/>
  <c r="O235"/>
  <c r="P235"/>
  <c r="Q235"/>
  <c r="O236"/>
  <c r="P236"/>
  <c r="Q236"/>
  <c r="O237"/>
  <c r="P237"/>
  <c r="Q237"/>
  <c r="O238"/>
  <c r="P238"/>
  <c r="Q238"/>
  <c r="O239"/>
  <c r="P239"/>
  <c r="Q239"/>
  <c r="O240"/>
  <c r="P240"/>
  <c r="Q240"/>
  <c r="O241"/>
  <c r="P241"/>
  <c r="Q241"/>
  <c r="O242"/>
  <c r="P242"/>
  <c r="Q242"/>
  <c r="O243"/>
  <c r="P243"/>
  <c r="Q243"/>
  <c r="O244"/>
  <c r="P244"/>
  <c r="Q244"/>
  <c r="O245"/>
  <c r="P245"/>
  <c r="Q245"/>
  <c r="O246"/>
  <c r="P246"/>
  <c r="Q246"/>
  <c r="O247"/>
  <c r="P247"/>
  <c r="Q247"/>
  <c r="O248"/>
  <c r="P248"/>
  <c r="Q248"/>
  <c r="O249"/>
  <c r="P249"/>
  <c r="Q249"/>
  <c r="O250"/>
  <c r="P250"/>
  <c r="Q250"/>
  <c r="O251"/>
  <c r="P251"/>
  <c r="Q251"/>
  <c r="O252"/>
  <c r="P252"/>
  <c r="Q252"/>
  <c r="O253"/>
  <c r="P253"/>
  <c r="Q253"/>
  <c r="O254"/>
  <c r="P254"/>
  <c r="Q254"/>
  <c r="O255"/>
  <c r="P255"/>
  <c r="Q255"/>
  <c r="O256"/>
  <c r="P256"/>
  <c r="Q256"/>
  <c r="O257"/>
  <c r="P257"/>
  <c r="Q257"/>
  <c r="O258"/>
  <c r="P258"/>
  <c r="Q258"/>
  <c r="O259"/>
  <c r="P259"/>
  <c r="Q259"/>
  <c r="O260"/>
  <c r="P260"/>
  <c r="Q260"/>
  <c r="O261"/>
  <c r="P261"/>
  <c r="Q261"/>
  <c r="O262"/>
  <c r="P262"/>
  <c r="Q262"/>
  <c r="O263"/>
  <c r="P263"/>
  <c r="Q263"/>
  <c r="O264"/>
  <c r="P264"/>
  <c r="Q264"/>
  <c r="O265"/>
  <c r="P265"/>
  <c r="Q265"/>
  <c r="O266"/>
  <c r="P266"/>
  <c r="Q266"/>
  <c r="O267"/>
  <c r="P267"/>
  <c r="Q267"/>
  <c r="O268"/>
  <c r="P268"/>
  <c r="Q268"/>
  <c r="O269"/>
  <c r="P269"/>
  <c r="Q269"/>
  <c r="O270"/>
  <c r="P270"/>
  <c r="Q270"/>
  <c r="O271"/>
  <c r="P271"/>
  <c r="Q271"/>
  <c r="O272"/>
  <c r="P272"/>
  <c r="Q272"/>
  <c r="O273"/>
  <c r="P273"/>
  <c r="Q273"/>
  <c r="O274"/>
  <c r="P274"/>
  <c r="Q274"/>
  <c r="O275"/>
  <c r="P275"/>
  <c r="Q275"/>
  <c r="O276"/>
  <c r="P276"/>
  <c r="Q276"/>
  <c r="O277"/>
  <c r="P277"/>
  <c r="Q277"/>
  <c r="O278"/>
  <c r="P278"/>
  <c r="Q278"/>
  <c r="O279"/>
  <c r="P279"/>
  <c r="Q279"/>
  <c r="O280"/>
  <c r="P280"/>
  <c r="Q280"/>
  <c r="O281"/>
  <c r="P281"/>
  <c r="Q281"/>
  <c r="O282"/>
  <c r="P282"/>
  <c r="Q282"/>
  <c r="O283"/>
  <c r="P283"/>
  <c r="Q283"/>
  <c r="O284"/>
  <c r="P284"/>
  <c r="Q284"/>
  <c r="O285"/>
  <c r="P285"/>
  <c r="Q285"/>
  <c r="O286"/>
  <c r="P286"/>
  <c r="Q286"/>
  <c r="O287"/>
  <c r="P287"/>
  <c r="Q287"/>
  <c r="O288"/>
  <c r="P288"/>
  <c r="Q288"/>
  <c r="O289"/>
  <c r="P289"/>
  <c r="Q289"/>
  <c r="O290"/>
  <c r="P290"/>
  <c r="Q290"/>
  <c r="O291"/>
  <c r="P291"/>
  <c r="Q291"/>
  <c r="O292"/>
  <c r="P292"/>
  <c r="Q292"/>
  <c r="O293"/>
  <c r="P293"/>
  <c r="Q293"/>
  <c r="O294"/>
  <c r="P294"/>
  <c r="Q294"/>
  <c r="O295"/>
  <c r="P295"/>
  <c r="Q295"/>
  <c r="O296"/>
  <c r="P296"/>
  <c r="Q296"/>
  <c r="O297"/>
  <c r="P297"/>
  <c r="Q297"/>
  <c r="O298"/>
  <c r="P298"/>
  <c r="Q298"/>
  <c r="O299"/>
  <c r="P299"/>
  <c r="Q299"/>
  <c r="O300"/>
  <c r="P300"/>
  <c r="Q300"/>
  <c r="O301"/>
  <c r="P301"/>
  <c r="Q301"/>
  <c r="O302"/>
  <c r="P302"/>
  <c r="Q302"/>
  <c r="O303"/>
  <c r="P303"/>
  <c r="Q303"/>
  <c r="O304"/>
  <c r="P304"/>
  <c r="Q304"/>
  <c r="O305"/>
  <c r="P305"/>
  <c r="Q305"/>
  <c r="O306"/>
  <c r="P306"/>
  <c r="Q306"/>
  <c r="O307"/>
  <c r="P307"/>
  <c r="Q307"/>
  <c r="O308"/>
  <c r="P308"/>
  <c r="Q308"/>
  <c r="O309"/>
  <c r="P309"/>
  <c r="Q309"/>
  <c r="O310"/>
  <c r="P310"/>
  <c r="Q310"/>
  <c r="O311"/>
  <c r="P311"/>
  <c r="Q311"/>
  <c r="O312"/>
  <c r="P312"/>
  <c r="Q312"/>
  <c r="O313"/>
  <c r="P313"/>
  <c r="Q313"/>
  <c r="O314"/>
  <c r="P314"/>
  <c r="Q314"/>
  <c r="O315"/>
  <c r="P315"/>
  <c r="Q315"/>
  <c r="O316"/>
  <c r="P316"/>
  <c r="Q316"/>
  <c r="O317"/>
  <c r="P317"/>
  <c r="Q317"/>
  <c r="O318"/>
  <c r="P318"/>
  <c r="Q318"/>
  <c r="O319"/>
  <c r="P319"/>
  <c r="Q319"/>
  <c r="O320"/>
  <c r="P320"/>
  <c r="Q320"/>
  <c r="O321"/>
  <c r="P321"/>
  <c r="Q321"/>
  <c r="O322"/>
  <c r="P322"/>
  <c r="Q322"/>
  <c r="O323"/>
  <c r="P323"/>
  <c r="Q323"/>
  <c r="O324"/>
  <c r="P324"/>
  <c r="Q324"/>
  <c r="O325"/>
  <c r="P325"/>
  <c r="Q325"/>
  <c r="O326"/>
  <c r="P326"/>
  <c r="Q326"/>
  <c r="O327"/>
  <c r="P327"/>
  <c r="Q327"/>
  <c r="O328"/>
  <c r="P328"/>
  <c r="Q328"/>
  <c r="O329"/>
  <c r="P329"/>
  <c r="Q329"/>
  <c r="O330"/>
  <c r="P330"/>
  <c r="Q330"/>
  <c r="O331"/>
  <c r="P331"/>
  <c r="Q331"/>
  <c r="O332"/>
  <c r="P332"/>
  <c r="Q332"/>
  <c r="O333"/>
  <c r="P333"/>
  <c r="Q333"/>
  <c r="O334"/>
  <c r="P334"/>
  <c r="Q334"/>
  <c r="O335"/>
  <c r="P335"/>
  <c r="Q335"/>
  <c r="O336"/>
  <c r="P336"/>
  <c r="Q336"/>
  <c r="O337"/>
  <c r="P337"/>
  <c r="Q337"/>
  <c r="O338"/>
  <c r="P338"/>
  <c r="Q338"/>
  <c r="O339"/>
  <c r="P339"/>
  <c r="Q339"/>
  <c r="O340"/>
  <c r="P340"/>
  <c r="Q340"/>
  <c r="O341"/>
  <c r="P341"/>
  <c r="Q341"/>
  <c r="O342"/>
  <c r="P342"/>
  <c r="Q342"/>
  <c r="O343"/>
  <c r="P343"/>
  <c r="Q343"/>
  <c r="O344"/>
  <c r="P344"/>
  <c r="Q344"/>
  <c r="O345"/>
  <c r="P345"/>
  <c r="Q345"/>
  <c r="O346"/>
  <c r="P346"/>
  <c r="Q346"/>
  <c r="O347"/>
  <c r="P347"/>
  <c r="Q347"/>
  <c r="O348"/>
  <c r="P348"/>
  <c r="Q348"/>
  <c r="O349"/>
  <c r="P349"/>
  <c r="Q349"/>
  <c r="O350"/>
  <c r="P350"/>
  <c r="Q350"/>
  <c r="O351"/>
  <c r="P351"/>
  <c r="Q351"/>
  <c r="O352"/>
  <c r="P352"/>
  <c r="Q352"/>
  <c r="O353"/>
  <c r="P353"/>
  <c r="Q353"/>
  <c r="O354"/>
  <c r="P354"/>
  <c r="Q354"/>
  <c r="O355"/>
  <c r="P355"/>
  <c r="Q355"/>
  <c r="O356"/>
  <c r="P356"/>
  <c r="Q356"/>
  <c r="O357"/>
  <c r="P357"/>
  <c r="Q357"/>
  <c r="O358"/>
  <c r="P358"/>
  <c r="Q358"/>
  <c r="O359"/>
  <c r="P359"/>
  <c r="Q359"/>
  <c r="O360"/>
  <c r="P360"/>
  <c r="Q360"/>
  <c r="O361"/>
  <c r="P361"/>
  <c r="Q361"/>
  <c r="O362"/>
  <c r="P362"/>
  <c r="Q362"/>
  <c r="O363"/>
  <c r="P363"/>
  <c r="Q363"/>
  <c r="O364"/>
  <c r="P364"/>
  <c r="Q364"/>
  <c r="O365"/>
  <c r="P365"/>
  <c r="Q365"/>
  <c r="O366"/>
  <c r="P366"/>
  <c r="Q366"/>
  <c r="O367"/>
  <c r="P367"/>
  <c r="Q367"/>
  <c r="O368"/>
  <c r="P368"/>
  <c r="Q368"/>
  <c r="O369"/>
  <c r="P369"/>
  <c r="Q369"/>
  <c r="O370"/>
  <c r="P370"/>
  <c r="Q370"/>
  <c r="O371"/>
  <c r="P371"/>
  <c r="Q371"/>
  <c r="O372"/>
  <c r="P372"/>
  <c r="Q372"/>
  <c r="O373"/>
  <c r="P373"/>
  <c r="Q373"/>
  <c r="O374"/>
  <c r="P374"/>
  <c r="Q374"/>
  <c r="O375"/>
  <c r="P375"/>
  <c r="Q375"/>
  <c r="O376"/>
  <c r="P376"/>
  <c r="Q376"/>
  <c r="O377"/>
  <c r="P377"/>
  <c r="Q377"/>
  <c r="O378"/>
  <c r="P378"/>
  <c r="Q378"/>
  <c r="O379"/>
  <c r="P379"/>
  <c r="Q379"/>
  <c r="O380"/>
  <c r="P380"/>
  <c r="Q380"/>
  <c r="O381"/>
  <c r="P381"/>
  <c r="Q381"/>
  <c r="O382"/>
  <c r="P382"/>
  <c r="Q382"/>
  <c r="O383"/>
  <c r="P383"/>
  <c r="Q383"/>
  <c r="O384"/>
  <c r="P384"/>
  <c r="Q384"/>
  <c r="O385"/>
  <c r="P385"/>
  <c r="Q385"/>
  <c r="O386"/>
  <c r="P386"/>
  <c r="Q386"/>
  <c r="O387"/>
  <c r="P387"/>
  <c r="Q387"/>
  <c r="O388"/>
  <c r="P388"/>
  <c r="Q388"/>
  <c r="O389"/>
  <c r="P389"/>
  <c r="Q389"/>
  <c r="O390"/>
  <c r="P390"/>
  <c r="Q390"/>
  <c r="O391"/>
  <c r="P391"/>
  <c r="Q391"/>
  <c r="O392"/>
  <c r="P392"/>
  <c r="Q392"/>
  <c r="O393"/>
  <c r="P393"/>
  <c r="Q393"/>
  <c r="O394"/>
  <c r="P394"/>
  <c r="Q394"/>
  <c r="O395"/>
  <c r="P395"/>
  <c r="Q395"/>
  <c r="O396"/>
  <c r="P396"/>
  <c r="Q396"/>
  <c r="O397"/>
  <c r="P397"/>
  <c r="Q397"/>
  <c r="O398"/>
  <c r="P398"/>
  <c r="Q398"/>
  <c r="O399"/>
  <c r="P399"/>
  <c r="Q399"/>
  <c r="O400"/>
  <c r="P400"/>
  <c r="Q400"/>
  <c r="O401"/>
  <c r="P401"/>
  <c r="Q401"/>
  <c r="O402"/>
  <c r="P402"/>
  <c r="Q402"/>
  <c r="O403"/>
  <c r="P403"/>
  <c r="Q403"/>
  <c r="O404"/>
  <c r="P404"/>
  <c r="Q404"/>
  <c r="O405"/>
  <c r="P405"/>
  <c r="Q405"/>
  <c r="O406"/>
  <c r="P406"/>
  <c r="Q406"/>
  <c r="O407"/>
  <c r="P407"/>
  <c r="Q407"/>
  <c r="O408"/>
  <c r="P408"/>
  <c r="Q408"/>
  <c r="O409"/>
  <c r="P409"/>
  <c r="Q409"/>
  <c r="O410"/>
  <c r="P410"/>
  <c r="Q410"/>
  <c r="O411"/>
  <c r="P411"/>
  <c r="Q411"/>
  <c r="O412"/>
  <c r="P412"/>
  <c r="Q412"/>
  <c r="O413"/>
  <c r="P413"/>
  <c r="Q413"/>
  <c r="O414"/>
  <c r="P414"/>
  <c r="Q414"/>
  <c r="O415"/>
  <c r="P415"/>
  <c r="Q415"/>
  <c r="O416"/>
  <c r="P416"/>
  <c r="Q416"/>
  <c r="O417"/>
  <c r="P417"/>
  <c r="Q417"/>
  <c r="O418"/>
  <c r="P418"/>
  <c r="Q418"/>
  <c r="O419"/>
  <c r="P419"/>
  <c r="Q419"/>
  <c r="O420"/>
  <c r="P420"/>
  <c r="Q420"/>
  <c r="O421"/>
  <c r="P421"/>
  <c r="Q421"/>
  <c r="O422"/>
  <c r="P422"/>
  <c r="Q422"/>
  <c r="O423"/>
  <c r="P423"/>
  <c r="Q423"/>
  <c r="O424"/>
  <c r="P424"/>
  <c r="Q424"/>
  <c r="O425"/>
  <c r="P425"/>
  <c r="Q425"/>
  <c r="O426"/>
  <c r="P426"/>
  <c r="Q426"/>
  <c r="O427"/>
  <c r="P427"/>
  <c r="Q427"/>
  <c r="O428"/>
  <c r="P428"/>
  <c r="Q428"/>
  <c r="O429"/>
  <c r="P429"/>
  <c r="Q429"/>
  <c r="O430"/>
  <c r="P430"/>
  <c r="Q430"/>
  <c r="O431"/>
  <c r="P431"/>
  <c r="Q431"/>
  <c r="O432"/>
  <c r="P432"/>
  <c r="Q432"/>
  <c r="O433"/>
  <c r="P433"/>
  <c r="Q433"/>
  <c r="O434"/>
  <c r="P434"/>
  <c r="Q434"/>
  <c r="O435"/>
  <c r="P435"/>
  <c r="Q435"/>
  <c r="O436"/>
  <c r="P436"/>
  <c r="Q436"/>
  <c r="O437"/>
  <c r="P437"/>
  <c r="Q437"/>
  <c r="O438"/>
  <c r="P438"/>
  <c r="Q438"/>
  <c r="O439"/>
  <c r="P439"/>
  <c r="Q439"/>
  <c r="O440"/>
  <c r="P440"/>
  <c r="Q440"/>
  <c r="O441"/>
  <c r="P441"/>
  <c r="Q441"/>
  <c r="O442"/>
  <c r="P442"/>
  <c r="Q442"/>
  <c r="O443"/>
  <c r="P443"/>
  <c r="Q443"/>
  <c r="O444"/>
  <c r="P444"/>
  <c r="Q444"/>
  <c r="O445"/>
  <c r="P445"/>
  <c r="Q445"/>
  <c r="O446"/>
  <c r="P446"/>
  <c r="Q446"/>
  <c r="O447"/>
  <c r="P447"/>
  <c r="Q447"/>
  <c r="O448"/>
  <c r="P448"/>
  <c r="Q448"/>
  <c r="O449"/>
  <c r="P449"/>
  <c r="Q449"/>
  <c r="O450"/>
  <c r="P450"/>
  <c r="Q450"/>
  <c r="O451"/>
  <c r="P451"/>
  <c r="Q451"/>
  <c r="O452"/>
  <c r="P452"/>
  <c r="Q452"/>
  <c r="O453"/>
  <c r="P453"/>
  <c r="Q453"/>
  <c r="O454"/>
  <c r="P454"/>
  <c r="Q454"/>
  <c r="O455"/>
  <c r="P455"/>
  <c r="Q455"/>
  <c r="O456"/>
  <c r="P456"/>
  <c r="Q456"/>
  <c r="O457"/>
  <c r="P457"/>
  <c r="Q457"/>
  <c r="O458"/>
  <c r="P458"/>
  <c r="Q458"/>
  <c r="O459"/>
  <c r="P459"/>
  <c r="Q459"/>
  <c r="O460"/>
  <c r="P460"/>
  <c r="Q460"/>
  <c r="O461"/>
  <c r="P461"/>
  <c r="Q461"/>
  <c r="O462"/>
  <c r="P462"/>
  <c r="Q462"/>
  <c r="O463"/>
  <c r="P463"/>
  <c r="Q463"/>
  <c r="O464"/>
  <c r="P464"/>
  <c r="Q464"/>
  <c r="O465"/>
  <c r="P465"/>
  <c r="Q465"/>
  <c r="O466"/>
  <c r="P466"/>
  <c r="Q466"/>
  <c r="O467"/>
  <c r="P467"/>
  <c r="Q467"/>
  <c r="O468"/>
  <c r="P468"/>
  <c r="Q468"/>
  <c r="O469"/>
  <c r="P469"/>
  <c r="Q469"/>
  <c r="O470"/>
  <c r="P470"/>
  <c r="Q470"/>
  <c r="O471"/>
  <c r="P471"/>
  <c r="Q471"/>
  <c r="O472"/>
  <c r="P472"/>
  <c r="Q472"/>
  <c r="O473"/>
  <c r="P473"/>
  <c r="Q473"/>
  <c r="O474"/>
  <c r="P474"/>
  <c r="Q474"/>
  <c r="O475"/>
  <c r="P475"/>
  <c r="Q475"/>
  <c r="O476"/>
  <c r="P476"/>
  <c r="Q476"/>
  <c r="O477"/>
  <c r="P477"/>
  <c r="Q477"/>
  <c r="O478"/>
  <c r="P478"/>
  <c r="Q478"/>
  <c r="O479"/>
  <c r="P479"/>
  <c r="Q479"/>
  <c r="O480"/>
  <c r="P480"/>
  <c r="Q480"/>
  <c r="O481"/>
  <c r="P481"/>
  <c r="Q481"/>
  <c r="O482"/>
  <c r="P482"/>
  <c r="Q482"/>
  <c r="O483"/>
  <c r="P483"/>
  <c r="Q483"/>
  <c r="O484"/>
  <c r="P484"/>
  <c r="Q484"/>
  <c r="O485"/>
  <c r="P485"/>
  <c r="Q485"/>
  <c r="O486"/>
  <c r="P486"/>
  <c r="Q486"/>
  <c r="O487"/>
  <c r="P487"/>
  <c r="Q487"/>
  <c r="O488"/>
  <c r="P488"/>
  <c r="Q488"/>
  <c r="O489"/>
  <c r="P489"/>
  <c r="Q489"/>
  <c r="O490"/>
  <c r="P490"/>
  <c r="Q490"/>
  <c r="O491"/>
  <c r="P491"/>
  <c r="Q491"/>
  <c r="O492"/>
  <c r="P492"/>
  <c r="Q492"/>
  <c r="O493"/>
  <c r="P493"/>
  <c r="Q493"/>
  <c r="O494"/>
  <c r="P494"/>
  <c r="Q494"/>
  <c r="O495"/>
  <c r="P495"/>
  <c r="Q495"/>
  <c r="O496"/>
  <c r="P496"/>
  <c r="Q496"/>
  <c r="O497"/>
  <c r="P497"/>
  <c r="Q497"/>
  <c r="O498"/>
  <c r="P498"/>
  <c r="Q498"/>
  <c r="O499"/>
  <c r="P499"/>
  <c r="Q499"/>
  <c r="O500"/>
  <c r="P500"/>
  <c r="Q500"/>
  <c r="O501"/>
  <c r="P501"/>
  <c r="Q501"/>
  <c r="O502"/>
  <c r="P502"/>
  <c r="Q502"/>
  <c r="O503"/>
  <c r="P503"/>
  <c r="Q503"/>
  <c r="O504"/>
  <c r="P504"/>
  <c r="Q504"/>
  <c r="O505"/>
  <c r="P505"/>
  <c r="Q505"/>
  <c r="O506"/>
  <c r="P506"/>
  <c r="Q506"/>
  <c r="O507"/>
  <c r="P507"/>
  <c r="Q507"/>
  <c r="O508"/>
  <c r="P508"/>
  <c r="Q508"/>
  <c r="O509"/>
  <c r="P509"/>
  <c r="Q509"/>
  <c r="O510"/>
  <c r="P510"/>
  <c r="Q510"/>
  <c r="O511"/>
  <c r="P511"/>
  <c r="Q511"/>
  <c r="O512"/>
  <c r="P512"/>
  <c r="Q512"/>
  <c r="O513"/>
  <c r="P513"/>
  <c r="Q513"/>
  <c r="O514"/>
  <c r="P514"/>
  <c r="Q514"/>
  <c r="O515"/>
  <c r="P515"/>
  <c r="Q515"/>
  <c r="O516"/>
  <c r="P516"/>
  <c r="Q516"/>
  <c r="O517"/>
  <c r="P517"/>
  <c r="Q517"/>
  <c r="O518"/>
  <c r="P518"/>
  <c r="Q518"/>
  <c r="O519"/>
  <c r="P519"/>
  <c r="Q519"/>
  <c r="O520"/>
  <c r="P520"/>
  <c r="Q520"/>
  <c r="O521"/>
  <c r="P521"/>
  <c r="Q521"/>
  <c r="O522"/>
  <c r="P522"/>
  <c r="Q522"/>
  <c r="O523"/>
  <c r="P523"/>
  <c r="Q523"/>
  <c r="O524"/>
  <c r="P524"/>
  <c r="Q524"/>
  <c r="O525"/>
  <c r="P525"/>
  <c r="Q525"/>
  <c r="O526"/>
  <c r="P526"/>
  <c r="Q526"/>
  <c r="O527"/>
  <c r="P527"/>
  <c r="Q527"/>
  <c r="O528"/>
  <c r="P528"/>
  <c r="Q528"/>
  <c r="O529"/>
  <c r="P529"/>
  <c r="Q529"/>
  <c r="O530"/>
  <c r="P530"/>
  <c r="Q530"/>
  <c r="O531"/>
  <c r="P531"/>
  <c r="Q531"/>
  <c r="O532"/>
  <c r="P532"/>
  <c r="Q532"/>
  <c r="O533"/>
  <c r="P533"/>
  <c r="Q533"/>
  <c r="O534"/>
  <c r="P534"/>
  <c r="Q534"/>
  <c r="O535"/>
  <c r="P535"/>
  <c r="Q535"/>
  <c r="O536"/>
  <c r="P536"/>
  <c r="Q536"/>
  <c r="O537"/>
  <c r="P537"/>
  <c r="Q537"/>
  <c r="O538"/>
  <c r="P538"/>
  <c r="Q538"/>
  <c r="O539"/>
  <c r="P539"/>
  <c r="Q539"/>
  <c r="O540"/>
  <c r="P540"/>
  <c r="Q540"/>
  <c r="O541"/>
  <c r="P541"/>
  <c r="Q541"/>
  <c r="O542"/>
  <c r="P542"/>
  <c r="Q542"/>
  <c r="O543"/>
  <c r="P543"/>
  <c r="Q543"/>
  <c r="O544"/>
  <c r="P544"/>
  <c r="Q544"/>
  <c r="O545"/>
  <c r="P545"/>
  <c r="Q545"/>
  <c r="O546"/>
  <c r="P546"/>
  <c r="Q546"/>
  <c r="O547"/>
  <c r="P547"/>
  <c r="Q547"/>
  <c r="O548"/>
  <c r="P548"/>
  <c r="Q548"/>
  <c r="O549"/>
  <c r="P549"/>
  <c r="Q549"/>
  <c r="O550"/>
  <c r="P550"/>
  <c r="Q550"/>
  <c r="O551"/>
  <c r="P551"/>
  <c r="Q551"/>
  <c r="O552"/>
  <c r="P552"/>
  <c r="Q552"/>
  <c r="O553"/>
  <c r="P553"/>
  <c r="Q553"/>
  <c r="O554"/>
  <c r="P554"/>
  <c r="Q554"/>
  <c r="O555"/>
  <c r="P555"/>
  <c r="Q555"/>
  <c r="O556"/>
  <c r="P556"/>
  <c r="Q556"/>
  <c r="O557"/>
  <c r="P557"/>
  <c r="Q557"/>
  <c r="O558"/>
  <c r="P558"/>
  <c r="Q558"/>
  <c r="O559"/>
  <c r="P559"/>
  <c r="Q559"/>
  <c r="O560"/>
  <c r="P560"/>
  <c r="Q560"/>
  <c r="O561"/>
  <c r="P561"/>
  <c r="Q561"/>
  <c r="O562"/>
  <c r="P562"/>
  <c r="Q562"/>
  <c r="O563"/>
  <c r="P563"/>
  <c r="Q563"/>
  <c r="O564"/>
  <c r="P564"/>
  <c r="Q564"/>
  <c r="O565"/>
  <c r="P565"/>
  <c r="Q565"/>
  <c r="O566"/>
  <c r="P566"/>
  <c r="Q566"/>
  <c r="O567"/>
  <c r="P567"/>
  <c r="Q567"/>
  <c r="O568"/>
  <c r="P568"/>
  <c r="Q568"/>
  <c r="O569"/>
  <c r="P569"/>
  <c r="Q569"/>
  <c r="O570"/>
  <c r="P570"/>
  <c r="Q570"/>
  <c r="O571"/>
  <c r="P571"/>
  <c r="Q571"/>
  <c r="O572"/>
  <c r="P572"/>
  <c r="Q572"/>
  <c r="O573"/>
  <c r="P573"/>
  <c r="Q573"/>
  <c r="O574"/>
  <c r="P574"/>
  <c r="Q574"/>
  <c r="O575"/>
  <c r="P575"/>
  <c r="Q575"/>
  <c r="O576"/>
  <c r="P576"/>
  <c r="Q576"/>
  <c r="O577"/>
  <c r="P577"/>
  <c r="Q577"/>
  <c r="O578"/>
  <c r="P578"/>
  <c r="Q578"/>
  <c r="O579"/>
  <c r="P579"/>
  <c r="Q579"/>
  <c r="O580"/>
  <c r="P580"/>
  <c r="Q580"/>
  <c r="O581"/>
  <c r="P581"/>
  <c r="Q581"/>
  <c r="O582"/>
  <c r="P582"/>
  <c r="Q582"/>
  <c r="O583"/>
  <c r="P583"/>
  <c r="Q583"/>
  <c r="O584"/>
  <c r="P584"/>
  <c r="Q584"/>
  <c r="O585"/>
  <c r="P585"/>
  <c r="Q585"/>
  <c r="O586"/>
  <c r="P586"/>
  <c r="Q586"/>
  <c r="O587"/>
  <c r="P587"/>
  <c r="Q587"/>
  <c r="O588"/>
  <c r="P588"/>
  <c r="Q588"/>
  <c r="O589"/>
  <c r="P589"/>
  <c r="Q589"/>
  <c r="O590"/>
  <c r="P590"/>
  <c r="Q590"/>
  <c r="O591"/>
  <c r="P591"/>
  <c r="Q591"/>
  <c r="O592"/>
  <c r="P592"/>
  <c r="Q592"/>
  <c r="O593"/>
  <c r="P593"/>
  <c r="Q593"/>
  <c r="O594"/>
  <c r="P594"/>
  <c r="Q594"/>
  <c r="O595"/>
  <c r="P595"/>
  <c r="Q595"/>
  <c r="O596"/>
  <c r="P596"/>
  <c r="Q596"/>
  <c r="O597"/>
  <c r="P597"/>
  <c r="Q597"/>
  <c r="O598"/>
  <c r="P598"/>
  <c r="Q598"/>
  <c r="O599"/>
  <c r="P599"/>
  <c r="Q599"/>
  <c r="O600"/>
  <c r="P600"/>
  <c r="Q600"/>
  <c r="O601"/>
  <c r="P601"/>
  <c r="Q601"/>
  <c r="O602"/>
  <c r="P602"/>
  <c r="Q602"/>
  <c r="O603"/>
  <c r="P603"/>
  <c r="Q603"/>
  <c r="O604"/>
  <c r="P604"/>
  <c r="Q604"/>
  <c r="O605"/>
  <c r="P605"/>
  <c r="Q605"/>
  <c r="O606"/>
  <c r="P606"/>
  <c r="Q606"/>
  <c r="O607"/>
  <c r="P607"/>
  <c r="Q607"/>
  <c r="O608"/>
  <c r="P608"/>
  <c r="Q608"/>
  <c r="O609"/>
  <c r="P609"/>
  <c r="Q609"/>
  <c r="O610"/>
  <c r="P610"/>
  <c r="Q610"/>
  <c r="O611"/>
  <c r="P611"/>
  <c r="Q611"/>
  <c r="O612"/>
  <c r="P612"/>
  <c r="Q612"/>
  <c r="O613"/>
  <c r="P613"/>
  <c r="Q613"/>
  <c r="O614"/>
  <c r="P614"/>
  <c r="Q614"/>
  <c r="O615"/>
  <c r="P615"/>
  <c r="Q615"/>
  <c r="O616"/>
  <c r="P616"/>
  <c r="Q616"/>
  <c r="O617"/>
  <c r="P617"/>
  <c r="Q617"/>
  <c r="O618"/>
  <c r="P618"/>
  <c r="Q618"/>
  <c r="O619"/>
  <c r="P619"/>
  <c r="Q619"/>
  <c r="O620"/>
  <c r="P620"/>
  <c r="Q620"/>
  <c r="O621"/>
  <c r="P621"/>
  <c r="Q621"/>
  <c r="O622"/>
  <c r="P622"/>
  <c r="Q622"/>
  <c r="O623"/>
  <c r="P623"/>
  <c r="Q623"/>
  <c r="O624"/>
  <c r="P624"/>
  <c r="Q624"/>
  <c r="O625"/>
  <c r="P625"/>
  <c r="Q625"/>
  <c r="O626"/>
  <c r="P626"/>
  <c r="Q626"/>
  <c r="O627"/>
  <c r="P627"/>
  <c r="Q627"/>
  <c r="O628"/>
  <c r="P628"/>
  <c r="Q628"/>
  <c r="O629"/>
  <c r="P629"/>
  <c r="Q629"/>
  <c r="O630"/>
  <c r="P630"/>
  <c r="Q630"/>
  <c r="O631"/>
  <c r="P631"/>
  <c r="Q631"/>
  <c r="O632"/>
  <c r="P632"/>
  <c r="Q632"/>
  <c r="O633"/>
  <c r="P633"/>
  <c r="Q633"/>
  <c r="O634"/>
  <c r="P634"/>
  <c r="Q634"/>
  <c r="O635"/>
  <c r="P635"/>
  <c r="Q635"/>
  <c r="O636"/>
  <c r="P636"/>
  <c r="Q636"/>
  <c r="O637"/>
  <c r="P637"/>
  <c r="Q637"/>
  <c r="O638"/>
  <c r="P638"/>
  <c r="Q638"/>
  <c r="O639"/>
  <c r="P639"/>
  <c r="Q639"/>
  <c r="O640"/>
  <c r="P640"/>
  <c r="Q640"/>
  <c r="O641"/>
  <c r="P641"/>
  <c r="Q641"/>
  <c r="O642"/>
  <c r="P642"/>
  <c r="Q642"/>
  <c r="O643"/>
  <c r="P643"/>
  <c r="Q643"/>
  <c r="O644"/>
  <c r="P644"/>
  <c r="Q644"/>
  <c r="O645"/>
  <c r="P645"/>
  <c r="Q645"/>
  <c r="O646"/>
  <c r="P646"/>
  <c r="Q646"/>
  <c r="O647"/>
  <c r="P647"/>
  <c r="Q647"/>
  <c r="O648"/>
  <c r="P648"/>
  <c r="Q648"/>
  <c r="O649"/>
  <c r="P649"/>
  <c r="Q649"/>
  <c r="O650"/>
  <c r="P650"/>
  <c r="Q650"/>
  <c r="O651"/>
  <c r="P651"/>
  <c r="Q651"/>
  <c r="O652"/>
  <c r="P652"/>
  <c r="Q652"/>
  <c r="O653"/>
  <c r="P653"/>
  <c r="Q653"/>
  <c r="O654"/>
  <c r="P654"/>
  <c r="Q654"/>
  <c r="O655"/>
  <c r="P655"/>
  <c r="Q655"/>
  <c r="O656"/>
  <c r="P656"/>
  <c r="Q656"/>
  <c r="O657"/>
  <c r="P657"/>
  <c r="Q657"/>
  <c r="O658"/>
  <c r="P658"/>
  <c r="Q658"/>
  <c r="O659"/>
  <c r="P659"/>
  <c r="Q659"/>
  <c r="O660"/>
  <c r="P660"/>
  <c r="Q660"/>
  <c r="O661"/>
  <c r="P661"/>
  <c r="Q661"/>
  <c r="O662"/>
  <c r="P662"/>
  <c r="Q662"/>
  <c r="O663"/>
  <c r="P663"/>
  <c r="Q663"/>
  <c r="O664"/>
  <c r="P664"/>
  <c r="Q664"/>
  <c r="O665"/>
  <c r="P665"/>
  <c r="Q665"/>
  <c r="O666"/>
  <c r="P666"/>
  <c r="Q666"/>
  <c r="O667"/>
  <c r="P667"/>
  <c r="Q667"/>
  <c r="O668"/>
  <c r="P668"/>
  <c r="Q668"/>
  <c r="O669"/>
  <c r="P669"/>
  <c r="Q669"/>
  <c r="O670"/>
  <c r="P670"/>
  <c r="Q670"/>
  <c r="O671"/>
  <c r="P671"/>
  <c r="Q671"/>
  <c r="O672"/>
  <c r="P672"/>
  <c r="Q672"/>
  <c r="O673"/>
  <c r="P673"/>
  <c r="Q673"/>
  <c r="O674"/>
  <c r="P674"/>
  <c r="Q674"/>
  <c r="O675"/>
  <c r="P675"/>
  <c r="Q675"/>
  <c r="O676"/>
  <c r="P676"/>
  <c r="Q676"/>
  <c r="O677"/>
  <c r="P677"/>
  <c r="Q677"/>
  <c r="O678"/>
  <c r="P678"/>
  <c r="Q678"/>
  <c r="O679"/>
  <c r="P679"/>
  <c r="Q679"/>
  <c r="O680"/>
  <c r="P680"/>
  <c r="Q680"/>
  <c r="O681"/>
  <c r="P681"/>
  <c r="Q681"/>
  <c r="O682"/>
  <c r="P682"/>
  <c r="Q682"/>
  <c r="O683"/>
  <c r="P683"/>
  <c r="Q683"/>
  <c r="O684"/>
  <c r="P684"/>
  <c r="Q684"/>
  <c r="O685"/>
  <c r="P685"/>
  <c r="Q685"/>
  <c r="O686"/>
  <c r="P686"/>
  <c r="Q686"/>
  <c r="O687"/>
  <c r="P687"/>
  <c r="Q687"/>
  <c r="O688"/>
  <c r="P688"/>
  <c r="Q688"/>
  <c r="O689"/>
  <c r="P689"/>
  <c r="Q689"/>
  <c r="O690"/>
  <c r="P690"/>
  <c r="Q690"/>
  <c r="O691"/>
  <c r="P691"/>
  <c r="Q691"/>
  <c r="O692"/>
  <c r="P692"/>
  <c r="Q692"/>
  <c r="O693"/>
  <c r="P693"/>
  <c r="Q693"/>
  <c r="O694"/>
  <c r="P694"/>
  <c r="Q694"/>
  <c r="O695"/>
  <c r="P695"/>
  <c r="Q695"/>
  <c r="O696"/>
  <c r="P696"/>
  <c r="Q696"/>
  <c r="O697"/>
  <c r="P697"/>
  <c r="Q697"/>
  <c r="O698"/>
  <c r="P698"/>
  <c r="Q698"/>
  <c r="O699"/>
  <c r="P699"/>
  <c r="Q699"/>
  <c r="O700"/>
  <c r="P700"/>
  <c r="Q700"/>
  <c r="O701"/>
  <c r="P701"/>
  <c r="Q701"/>
  <c r="O702"/>
  <c r="P702"/>
  <c r="Q702"/>
  <c r="O703"/>
  <c r="P703"/>
  <c r="Q703"/>
  <c r="O704"/>
  <c r="P704"/>
  <c r="Q704"/>
  <c r="O705"/>
  <c r="P705"/>
  <c r="Q705"/>
  <c r="O706"/>
  <c r="P706"/>
  <c r="Q706"/>
  <c r="O707"/>
  <c r="P707"/>
  <c r="Q707"/>
  <c r="O708"/>
  <c r="P708"/>
  <c r="Q708"/>
  <c r="O709"/>
  <c r="P709"/>
  <c r="Q709"/>
  <c r="O710"/>
  <c r="P710"/>
  <c r="Q710"/>
  <c r="O711"/>
  <c r="P711"/>
  <c r="Q711"/>
  <c r="O712"/>
  <c r="P712"/>
  <c r="Q712"/>
  <c r="O713"/>
  <c r="P713"/>
  <c r="Q713"/>
  <c r="O714"/>
  <c r="P714"/>
  <c r="Q714"/>
  <c r="O715"/>
  <c r="P715"/>
  <c r="Q715"/>
  <c r="O716"/>
  <c r="P716"/>
  <c r="Q716"/>
  <c r="O717"/>
  <c r="P717"/>
  <c r="Q717"/>
  <c r="O718"/>
  <c r="P718"/>
  <c r="Q718"/>
  <c r="O719"/>
  <c r="P719"/>
  <c r="Q719"/>
  <c r="O720"/>
  <c r="P720"/>
  <c r="Q720"/>
  <c r="O721"/>
  <c r="P721"/>
  <c r="Q721"/>
  <c r="O722"/>
  <c r="P722"/>
  <c r="Q722"/>
  <c r="O723"/>
  <c r="P723"/>
  <c r="Q723"/>
  <c r="O724"/>
  <c r="P724"/>
  <c r="Q724"/>
  <c r="O725"/>
  <c r="P725"/>
  <c r="Q725"/>
  <c r="O726"/>
  <c r="P726"/>
  <c r="Q726"/>
  <c r="O727"/>
  <c r="P727"/>
  <c r="Q727"/>
  <c r="O728"/>
  <c r="P728"/>
  <c r="Q728"/>
  <c r="O729"/>
  <c r="P729"/>
  <c r="Q729"/>
  <c r="O730"/>
  <c r="P730"/>
  <c r="Q730"/>
  <c r="O731"/>
  <c r="P731"/>
  <c r="Q731"/>
  <c r="O732"/>
  <c r="P732"/>
  <c r="Q732"/>
  <c r="O733"/>
  <c r="P733"/>
  <c r="Q733"/>
  <c r="O734"/>
  <c r="P734"/>
  <c r="Q734"/>
  <c r="O735"/>
  <c r="P735"/>
  <c r="Q735"/>
  <c r="O736"/>
  <c r="P736"/>
  <c r="Q736"/>
  <c r="O737"/>
  <c r="P737"/>
  <c r="Q737"/>
  <c r="O738"/>
  <c r="P738"/>
  <c r="Q738"/>
  <c r="O739"/>
  <c r="P739"/>
  <c r="Q739"/>
  <c r="O740"/>
  <c r="P740"/>
  <c r="Q740"/>
  <c r="O741"/>
  <c r="P741"/>
  <c r="Q741"/>
  <c r="O742"/>
  <c r="P742"/>
  <c r="Q742"/>
  <c r="O743"/>
  <c r="P743"/>
  <c r="Q743"/>
  <c r="O744"/>
  <c r="P744"/>
  <c r="Q744"/>
  <c r="O745"/>
  <c r="P745"/>
  <c r="Q745"/>
  <c r="O746"/>
  <c r="P746"/>
  <c r="Q746"/>
  <c r="O747"/>
  <c r="P747"/>
  <c r="Q747"/>
  <c r="O748"/>
  <c r="P748"/>
  <c r="Q748"/>
  <c r="O749"/>
  <c r="P749"/>
  <c r="Q749"/>
  <c r="O750"/>
  <c r="P750"/>
  <c r="Q750"/>
  <c r="O751"/>
  <c r="P751"/>
  <c r="Q751"/>
  <c r="O752"/>
  <c r="P752"/>
  <c r="Q752"/>
  <c r="O753"/>
  <c r="P753"/>
  <c r="Q753"/>
  <c r="O754"/>
  <c r="P754"/>
  <c r="Q754"/>
  <c r="O755"/>
  <c r="P755"/>
  <c r="Q755"/>
  <c r="O756"/>
  <c r="P756"/>
  <c r="Q756"/>
  <c r="O757"/>
  <c r="P757"/>
  <c r="Q757"/>
  <c r="O758"/>
  <c r="P758"/>
  <c r="Q758"/>
  <c r="O759"/>
  <c r="P759"/>
  <c r="Q759"/>
  <c r="O760"/>
  <c r="P760"/>
  <c r="Q760"/>
  <c r="O761"/>
  <c r="P761"/>
  <c r="Q761"/>
  <c r="O762"/>
  <c r="P762"/>
  <c r="Q762"/>
  <c r="O763"/>
  <c r="P763"/>
  <c r="Q763"/>
  <c r="O764"/>
  <c r="P764"/>
  <c r="Q764"/>
  <c r="O765"/>
  <c r="P765"/>
  <c r="Q765"/>
  <c r="O766"/>
  <c r="P766"/>
  <c r="Q766"/>
  <c r="O767"/>
  <c r="P767"/>
  <c r="Q767"/>
  <c r="O768"/>
  <c r="P768"/>
  <c r="Q768"/>
  <c r="O769"/>
  <c r="P769"/>
  <c r="Q769"/>
  <c r="O770"/>
  <c r="P770"/>
  <c r="Q770"/>
  <c r="O771"/>
  <c r="P771"/>
  <c r="Q771"/>
  <c r="O772"/>
  <c r="P772"/>
  <c r="Q772"/>
  <c r="O773"/>
  <c r="P773"/>
  <c r="Q773"/>
  <c r="O774"/>
  <c r="P774"/>
  <c r="Q774"/>
  <c r="O775"/>
  <c r="P775"/>
  <c r="Q775"/>
  <c r="O776"/>
  <c r="P776"/>
  <c r="Q776"/>
  <c r="O777"/>
  <c r="P777"/>
  <c r="Q777"/>
  <c r="O778"/>
  <c r="P778"/>
  <c r="Q778"/>
  <c r="O779"/>
  <c r="P779"/>
  <c r="Q779"/>
  <c r="O780"/>
  <c r="P780"/>
  <c r="Q780"/>
  <c r="O781"/>
  <c r="P781"/>
  <c r="Q781"/>
  <c r="O782"/>
  <c r="P782"/>
  <c r="Q782"/>
  <c r="O783"/>
  <c r="P783"/>
  <c r="Q783"/>
  <c r="O784"/>
  <c r="P784"/>
  <c r="Q784"/>
  <c r="O785"/>
  <c r="P785"/>
  <c r="Q785"/>
  <c r="O786"/>
  <c r="P786"/>
  <c r="Q786"/>
  <c r="O787"/>
  <c r="P787"/>
  <c r="Q787"/>
  <c r="O788"/>
  <c r="P788"/>
  <c r="Q788"/>
  <c r="O789"/>
  <c r="P789"/>
  <c r="Q789"/>
  <c r="O790"/>
  <c r="P790"/>
  <c r="Q790"/>
  <c r="O791"/>
  <c r="P791"/>
  <c r="Q791"/>
  <c r="O792"/>
  <c r="P792"/>
  <c r="Q792"/>
  <c r="O793"/>
  <c r="P793"/>
  <c r="Q793"/>
  <c r="O794"/>
  <c r="P794"/>
  <c r="Q794"/>
  <c r="O795"/>
  <c r="P795"/>
  <c r="Q795"/>
  <c r="O796"/>
  <c r="P796"/>
  <c r="Q796"/>
  <c r="O797"/>
  <c r="P797"/>
  <c r="Q797"/>
  <c r="O798"/>
  <c r="P798"/>
  <c r="Q798"/>
  <c r="O799"/>
  <c r="P799"/>
  <c r="Q799"/>
  <c r="O800"/>
  <c r="P800"/>
  <c r="Q800"/>
  <c r="O801"/>
  <c r="P801"/>
  <c r="Q801"/>
  <c r="O802"/>
  <c r="P802"/>
  <c r="Q802"/>
  <c r="O803"/>
  <c r="P803"/>
  <c r="Q803"/>
  <c r="O804"/>
  <c r="P804"/>
  <c r="Q804"/>
  <c r="O805"/>
  <c r="P805"/>
  <c r="Q805"/>
  <c r="O806"/>
  <c r="P806"/>
  <c r="Q806"/>
  <c r="O807"/>
  <c r="P807"/>
  <c r="Q807"/>
  <c r="O808"/>
  <c r="P808"/>
  <c r="Q808"/>
  <c r="O809"/>
  <c r="P809"/>
  <c r="Q809"/>
  <c r="O810"/>
  <c r="P810"/>
  <c r="Q810"/>
  <c r="O811"/>
  <c r="P811"/>
  <c r="Q811"/>
  <c r="O812"/>
  <c r="P812"/>
  <c r="Q812"/>
  <c r="O813"/>
  <c r="P813"/>
  <c r="Q813"/>
  <c r="O814"/>
  <c r="P814"/>
  <c r="Q814"/>
  <c r="O815"/>
  <c r="P815"/>
  <c r="Q815"/>
  <c r="O816"/>
  <c r="P816"/>
  <c r="Q816"/>
  <c r="O817"/>
  <c r="P817"/>
  <c r="Q817"/>
  <c r="O818"/>
  <c r="P818"/>
  <c r="Q818"/>
  <c r="O819"/>
  <c r="P819"/>
  <c r="Q819"/>
  <c r="O820"/>
  <c r="P820"/>
  <c r="Q820"/>
  <c r="O821"/>
  <c r="P821"/>
  <c r="Q821"/>
  <c r="O822"/>
  <c r="P822"/>
  <c r="Q822"/>
  <c r="O823"/>
  <c r="P823"/>
  <c r="Q823"/>
  <c r="O824"/>
  <c r="P824"/>
  <c r="Q824"/>
  <c r="O825"/>
  <c r="P825"/>
  <c r="Q825"/>
  <c r="O826"/>
  <c r="P826"/>
  <c r="Q826"/>
  <c r="O827"/>
  <c r="P827"/>
  <c r="Q827"/>
  <c r="O828"/>
  <c r="P828"/>
  <c r="Q828"/>
  <c r="O829"/>
  <c r="P829"/>
  <c r="Q829"/>
  <c r="O830"/>
  <c r="P830"/>
  <c r="Q830"/>
  <c r="O831"/>
  <c r="P831"/>
  <c r="Q831"/>
  <c r="O832"/>
  <c r="P832"/>
  <c r="Q832"/>
  <c r="O833"/>
  <c r="P833"/>
  <c r="Q833"/>
  <c r="O834"/>
  <c r="P834"/>
  <c r="Q834"/>
  <c r="O835"/>
  <c r="P835"/>
  <c r="Q835"/>
  <c r="O836"/>
  <c r="P836"/>
  <c r="Q836"/>
  <c r="O837"/>
  <c r="P837"/>
  <c r="Q837"/>
  <c r="O838"/>
  <c r="P838"/>
  <c r="Q838"/>
  <c r="O839"/>
  <c r="P839"/>
  <c r="Q839"/>
  <c r="O840"/>
  <c r="P840"/>
  <c r="Q840"/>
  <c r="O841"/>
  <c r="P841"/>
  <c r="Q841"/>
  <c r="O842"/>
  <c r="P842"/>
  <c r="Q842"/>
  <c r="O843"/>
  <c r="P843"/>
  <c r="Q843"/>
  <c r="O844"/>
  <c r="P844"/>
  <c r="Q844"/>
  <c r="O845"/>
  <c r="P845"/>
  <c r="Q845"/>
  <c r="O846"/>
  <c r="P846"/>
  <c r="Q846"/>
  <c r="O847"/>
  <c r="P847"/>
  <c r="Q847"/>
  <c r="O848"/>
  <c r="P848"/>
  <c r="Q848"/>
  <c r="O849"/>
  <c r="P849"/>
  <c r="Q849"/>
  <c r="O850"/>
  <c r="P850"/>
  <c r="Q850"/>
  <c r="O851"/>
  <c r="P851"/>
  <c r="Q851"/>
  <c r="O852"/>
  <c r="P852"/>
  <c r="Q852"/>
  <c r="O853"/>
  <c r="P853"/>
  <c r="Q853"/>
  <c r="O854"/>
  <c r="P854"/>
  <c r="Q854"/>
  <c r="O855"/>
  <c r="P855"/>
  <c r="Q855"/>
  <c r="O856"/>
  <c r="P856"/>
  <c r="Q856"/>
  <c r="O857"/>
  <c r="P857"/>
  <c r="Q857"/>
  <c r="O858"/>
  <c r="P858"/>
  <c r="Q858"/>
  <c r="O859"/>
  <c r="P859"/>
  <c r="Q859"/>
  <c r="O860"/>
  <c r="P860"/>
  <c r="Q860"/>
  <c r="O861"/>
  <c r="P861"/>
  <c r="Q861"/>
  <c r="O862"/>
  <c r="P862"/>
  <c r="Q862"/>
  <c r="O863"/>
  <c r="P863"/>
  <c r="Q863"/>
  <c r="O864"/>
  <c r="P864"/>
  <c r="Q864"/>
  <c r="O865"/>
  <c r="P865"/>
  <c r="Q865"/>
  <c r="O866"/>
  <c r="P866"/>
  <c r="Q866"/>
  <c r="O867"/>
  <c r="P867"/>
  <c r="Q867"/>
  <c r="O868"/>
  <c r="P868"/>
  <c r="Q868"/>
  <c r="O869"/>
  <c r="P869"/>
  <c r="Q869"/>
  <c r="O870"/>
  <c r="P870"/>
  <c r="Q870"/>
  <c r="O871"/>
  <c r="P871"/>
  <c r="Q871"/>
  <c r="O872"/>
  <c r="P872"/>
  <c r="Q872"/>
  <c r="O873"/>
  <c r="P873"/>
  <c r="Q873"/>
  <c r="O874"/>
  <c r="P874"/>
  <c r="Q874"/>
  <c r="O875"/>
  <c r="P875"/>
  <c r="Q875"/>
  <c r="O876"/>
  <c r="P876"/>
  <c r="Q876"/>
  <c r="O877"/>
  <c r="P877"/>
  <c r="Q877"/>
  <c r="O878"/>
  <c r="P878"/>
  <c r="Q878"/>
  <c r="O879"/>
  <c r="P879"/>
  <c r="Q879"/>
  <c r="O880"/>
  <c r="P880"/>
  <c r="Q880"/>
  <c r="O881"/>
  <c r="P881"/>
  <c r="Q881"/>
  <c r="O882"/>
  <c r="P882"/>
  <c r="Q882"/>
  <c r="O883"/>
  <c r="P883"/>
  <c r="Q883"/>
  <c r="O884"/>
  <c r="P884"/>
  <c r="Q884"/>
  <c r="O885"/>
  <c r="P885"/>
  <c r="Q885"/>
  <c r="O886"/>
  <c r="P886"/>
  <c r="Q886"/>
  <c r="O887"/>
  <c r="P887"/>
  <c r="Q887"/>
  <c r="O888"/>
  <c r="P888"/>
  <c r="Q888"/>
  <c r="O889"/>
  <c r="P889"/>
  <c r="Q889"/>
  <c r="O890"/>
  <c r="P890"/>
  <c r="Q890"/>
  <c r="O891"/>
  <c r="P891"/>
  <c r="Q891"/>
  <c r="O892"/>
  <c r="P892"/>
  <c r="Q892"/>
  <c r="O893"/>
  <c r="P893"/>
  <c r="Q893"/>
  <c r="O894"/>
  <c r="P894"/>
  <c r="Q894"/>
  <c r="O895"/>
  <c r="P895"/>
  <c r="Q895"/>
  <c r="O896"/>
  <c r="P896"/>
  <c r="Q896"/>
  <c r="O897"/>
  <c r="P897"/>
  <c r="Q897"/>
  <c r="O898"/>
  <c r="P898"/>
  <c r="Q898"/>
  <c r="O899"/>
  <c r="P899"/>
  <c r="Q899"/>
  <c r="O900"/>
  <c r="P900"/>
  <c r="Q900"/>
  <c r="O901"/>
  <c r="P901"/>
  <c r="Q901"/>
  <c r="O902"/>
  <c r="P902"/>
  <c r="Q902"/>
  <c r="O903"/>
  <c r="P903"/>
  <c r="Q903"/>
  <c r="O904"/>
  <c r="P904"/>
  <c r="Q904"/>
  <c r="O905"/>
  <c r="P905"/>
  <c r="Q905"/>
  <c r="O906"/>
  <c r="P906"/>
  <c r="Q906"/>
  <c r="O907"/>
  <c r="P907"/>
  <c r="Q907"/>
  <c r="O908"/>
  <c r="P908"/>
  <c r="Q908"/>
  <c r="O909"/>
  <c r="P909"/>
  <c r="Q909"/>
  <c r="O910"/>
  <c r="P910"/>
  <c r="Q910"/>
  <c r="O911"/>
  <c r="P911"/>
  <c r="Q911"/>
  <c r="O912"/>
  <c r="P912"/>
  <c r="Q912"/>
  <c r="O913"/>
  <c r="P913"/>
  <c r="Q913"/>
  <c r="O914"/>
  <c r="P914"/>
  <c r="Q914"/>
  <c r="O915"/>
  <c r="P915"/>
  <c r="Q915"/>
  <c r="O916"/>
  <c r="P916"/>
  <c r="Q916"/>
  <c r="O917"/>
  <c r="P917"/>
  <c r="Q917"/>
  <c r="O918"/>
  <c r="P918"/>
  <c r="Q918"/>
  <c r="O919"/>
  <c r="P919"/>
  <c r="Q919"/>
  <c r="O920"/>
  <c r="P920"/>
  <c r="Q920"/>
  <c r="O921"/>
  <c r="P921"/>
  <c r="Q921"/>
  <c r="O922"/>
  <c r="P922"/>
  <c r="Q922"/>
  <c r="O923"/>
  <c r="P923"/>
  <c r="Q923"/>
  <c r="O924"/>
  <c r="P924"/>
  <c r="Q924"/>
  <c r="O925"/>
  <c r="P925"/>
  <c r="Q925"/>
  <c r="O926"/>
  <c r="P926"/>
  <c r="Q926"/>
  <c r="O927"/>
  <c r="P927"/>
  <c r="Q927"/>
  <c r="O928"/>
  <c r="P928"/>
  <c r="Q928"/>
  <c r="O929"/>
  <c r="P929"/>
  <c r="Q929"/>
  <c r="O930"/>
  <c r="P930"/>
  <c r="Q930"/>
  <c r="O931"/>
  <c r="P931"/>
  <c r="Q931"/>
  <c r="O932"/>
  <c r="P932"/>
  <c r="Q932"/>
  <c r="O933"/>
  <c r="P933"/>
  <c r="Q933"/>
  <c r="O934"/>
  <c r="P934"/>
  <c r="Q934"/>
  <c r="O935"/>
  <c r="P935"/>
  <c r="Q935"/>
  <c r="O936"/>
  <c r="P936"/>
  <c r="Q936"/>
  <c r="O937"/>
  <c r="P937"/>
  <c r="Q937"/>
  <c r="O938"/>
  <c r="P938"/>
  <c r="Q938"/>
  <c r="O939"/>
  <c r="P939"/>
  <c r="Q939"/>
  <c r="O940"/>
  <c r="P940"/>
  <c r="Q940"/>
  <c r="O941"/>
  <c r="P941"/>
  <c r="Q941"/>
  <c r="O942"/>
  <c r="P942"/>
  <c r="Q942"/>
  <c r="O943"/>
  <c r="P943"/>
  <c r="Q943"/>
  <c r="O944"/>
  <c r="P944"/>
  <c r="Q944"/>
  <c r="O945"/>
  <c r="P945"/>
  <c r="Q945"/>
  <c r="O946"/>
  <c r="P946"/>
  <c r="Q946"/>
  <c r="O947"/>
  <c r="P947"/>
  <c r="Q947"/>
  <c r="O948"/>
  <c r="P948"/>
  <c r="Q948"/>
  <c r="O949"/>
  <c r="P949"/>
  <c r="Q949"/>
  <c r="O950"/>
  <c r="P950"/>
  <c r="Q950"/>
  <c r="O951"/>
  <c r="P951"/>
  <c r="Q951"/>
  <c r="O952"/>
  <c r="P952"/>
  <c r="Q952"/>
  <c r="O953"/>
  <c r="P953"/>
  <c r="Q953"/>
  <c r="O954"/>
  <c r="P954"/>
  <c r="Q954"/>
  <c r="O955"/>
  <c r="P955"/>
  <c r="Q955"/>
  <c r="O956"/>
  <c r="P956"/>
  <c r="Q956"/>
  <c r="O957"/>
  <c r="P957"/>
  <c r="Q957"/>
  <c r="O958"/>
  <c r="P958"/>
  <c r="Q958"/>
  <c r="O959"/>
  <c r="P959"/>
  <c r="Q959"/>
  <c r="O960"/>
  <c r="P960"/>
  <c r="Q960"/>
  <c r="O961"/>
  <c r="P961"/>
  <c r="Q961"/>
  <c r="O962"/>
  <c r="P962"/>
  <c r="Q962"/>
  <c r="O963"/>
  <c r="P963"/>
  <c r="Q963"/>
  <c r="O964"/>
  <c r="P964"/>
  <c r="Q964"/>
  <c r="O965"/>
  <c r="P965"/>
  <c r="Q965"/>
  <c r="O966"/>
  <c r="P966"/>
  <c r="Q966"/>
  <c r="O967"/>
  <c r="P967"/>
  <c r="Q967"/>
  <c r="O968"/>
  <c r="P968"/>
  <c r="Q968"/>
  <c r="O969"/>
  <c r="P969"/>
  <c r="Q969"/>
  <c r="O970"/>
  <c r="P970"/>
  <c r="Q970"/>
  <c r="O971"/>
  <c r="P971"/>
  <c r="Q971"/>
  <c r="O972"/>
  <c r="P972"/>
  <c r="Q972"/>
  <c r="O973"/>
  <c r="P973"/>
  <c r="Q973"/>
  <c r="O974"/>
  <c r="P974"/>
  <c r="Q974"/>
  <c r="O975"/>
  <c r="P975"/>
  <c r="Q975"/>
  <c r="O976"/>
  <c r="P976"/>
  <c r="Q976"/>
  <c r="O977"/>
  <c r="P977"/>
  <c r="Q977"/>
  <c r="O978"/>
  <c r="P978"/>
  <c r="Q978"/>
  <c r="O979"/>
  <c r="P979"/>
  <c r="Q979"/>
  <c r="O980"/>
  <c r="P980"/>
  <c r="Q980"/>
  <c r="O981"/>
  <c r="P981"/>
  <c r="Q981"/>
  <c r="O982"/>
  <c r="P982"/>
  <c r="Q982"/>
  <c r="O983"/>
  <c r="P983"/>
  <c r="Q983"/>
  <c r="O984"/>
  <c r="P984"/>
  <c r="Q984"/>
  <c r="O985"/>
  <c r="P985"/>
  <c r="Q985"/>
  <c r="O986"/>
  <c r="P986"/>
  <c r="Q986"/>
  <c r="O987"/>
  <c r="P987"/>
  <c r="Q987"/>
  <c r="O988"/>
  <c r="P988"/>
  <c r="Q988"/>
  <c r="O989"/>
  <c r="P989"/>
  <c r="Q989"/>
  <c r="O990"/>
  <c r="P990"/>
  <c r="Q990"/>
  <c r="O991"/>
  <c r="P991"/>
  <c r="Q991"/>
  <c r="O992"/>
  <c r="P992"/>
  <c r="Q992"/>
  <c r="O993"/>
  <c r="P993"/>
  <c r="Q993"/>
  <c r="O994"/>
  <c r="P994"/>
  <c r="Q994"/>
  <c r="O995"/>
  <c r="P995"/>
  <c r="Q995"/>
  <c r="O996"/>
  <c r="P996"/>
  <c r="Q996"/>
  <c r="O997"/>
  <c r="P997"/>
  <c r="Q997"/>
  <c r="O998"/>
  <c r="P998"/>
  <c r="Q998"/>
  <c r="O999"/>
  <c r="P999"/>
  <c r="Q999"/>
  <c r="O1000"/>
  <c r="P1000"/>
  <c r="Q1000"/>
  <c r="O1001"/>
  <c r="P1001"/>
  <c r="Q1001"/>
  <c r="AN61" i="5"/>
  <c r="AN62"/>
  <c r="AN60"/>
  <c r="AN59"/>
  <c r="AJ58"/>
  <c r="AJ60"/>
  <c r="AG61"/>
  <c r="AG60"/>
  <c r="AG59"/>
  <c r="AG58"/>
  <c r="AC61"/>
  <c r="AC60"/>
  <c r="AC59"/>
  <c r="AC58"/>
  <c r="Y61"/>
  <c r="Y60"/>
  <c r="Y59"/>
  <c r="Y58"/>
  <c r="Q62"/>
  <c r="Q61"/>
  <c r="Q64"/>
  <c r="Q58"/>
  <c r="Q57"/>
  <c r="T59"/>
  <c r="U58"/>
  <c r="L59"/>
  <c r="L58"/>
  <c r="H58"/>
  <c r="C60"/>
  <c r="D59"/>
  <c r="C59"/>
  <c r="C58"/>
  <c r="B23"/>
  <c r="AO38"/>
  <c r="AO37"/>
  <c r="AO36"/>
  <c r="AK37"/>
  <c r="AK39"/>
  <c r="AP36"/>
  <c r="AO35"/>
  <c r="AK38"/>
  <c r="AD36"/>
  <c r="AK36"/>
  <c r="AE41"/>
  <c r="AE40"/>
  <c r="AE39"/>
  <c r="AE37"/>
  <c r="AP23"/>
  <c r="AP22"/>
  <c r="AP21"/>
  <c r="AR9"/>
  <c r="AQ9"/>
  <c r="AQ8"/>
  <c r="AQ7"/>
  <c r="AQ6"/>
  <c r="AQ5"/>
  <c r="AS5"/>
  <c r="AK18"/>
  <c r="AD42"/>
  <c r="AD37"/>
  <c r="AD35"/>
  <c r="Z35"/>
  <c r="V38"/>
  <c r="V37"/>
  <c r="V36"/>
  <c r="V35"/>
  <c r="R35"/>
  <c r="R36" s="1"/>
  <c r="P35"/>
  <c r="P36" s="1"/>
  <c r="P38"/>
  <c r="M36" s="1"/>
  <c r="B36"/>
  <c r="B37" s="1"/>
  <c r="B35"/>
  <c r="AH6"/>
  <c r="AH5"/>
  <c r="AH4"/>
  <c r="T3"/>
  <c r="AB4"/>
  <c r="X5"/>
  <c r="X4"/>
  <c r="L19"/>
  <c r="L20"/>
  <c r="L18"/>
  <c r="Q8"/>
  <c r="Q7"/>
  <c r="Q5"/>
  <c r="Q4"/>
  <c r="M6"/>
  <c r="M5"/>
  <c r="I4"/>
  <c r="I5" s="1"/>
  <c r="I3"/>
  <c r="J36"/>
  <c r="I38"/>
  <c r="I39" s="1"/>
  <c r="I37"/>
  <c r="J44"/>
  <c r="K44" s="1"/>
  <c r="J43"/>
  <c r="K43" s="1"/>
  <c r="J42"/>
  <c r="K42" s="1"/>
  <c r="J41"/>
  <c r="J40"/>
  <c r="K40" s="1"/>
  <c r="J39"/>
  <c r="K39" s="1"/>
  <c r="J38"/>
  <c r="K38" s="1"/>
  <c r="K41"/>
  <c r="AR45" i="1"/>
  <c r="AR44"/>
  <c r="AR43"/>
  <c r="AR41"/>
  <c r="AR40"/>
  <c r="AR38"/>
  <c r="AR39"/>
  <c r="AR37"/>
  <c r="AR31"/>
  <c r="AR30"/>
  <c r="AR29"/>
  <c r="AR28"/>
  <c r="AR27"/>
  <c r="AR26"/>
  <c r="M1002"/>
  <c r="N1002" s="1"/>
  <c r="O1002"/>
  <c r="AR25"/>
  <c r="AR24"/>
  <c r="O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2"/>
  <c r="O983"/>
  <c r="O984"/>
  <c r="O985"/>
  <c r="O986"/>
  <c r="O987"/>
  <c r="O988"/>
  <c r="O989"/>
  <c r="O990"/>
  <c r="O991"/>
  <c r="O992"/>
  <c r="O993"/>
  <c r="O994"/>
  <c r="O995"/>
  <c r="O996"/>
  <c r="O997"/>
  <c r="O998"/>
  <c r="O999"/>
  <c r="O1000"/>
  <c r="O1001"/>
  <c r="AK32"/>
  <c r="AS32"/>
  <c r="T3"/>
  <c r="T4"/>
  <c r="T5"/>
  <c r="T6"/>
  <c r="T7"/>
  <c r="T8"/>
  <c r="T9"/>
  <c r="T10"/>
  <c r="T11"/>
  <c r="T12"/>
  <c r="T13"/>
  <c r="T14"/>
  <c r="T15"/>
  <c r="T16"/>
  <c r="T2"/>
  <c r="AT29"/>
  <c r="AR22"/>
  <c r="AR21"/>
  <c r="AR20"/>
  <c r="AR19"/>
  <c r="AR17"/>
  <c r="AR18"/>
  <c r="AR16"/>
  <c r="AR15"/>
  <c r="AR14"/>
  <c r="AR13"/>
  <c r="AR11"/>
  <c r="AR12"/>
  <c r="AR10"/>
  <c r="AR9"/>
  <c r="AR8"/>
  <c r="AR7"/>
  <c r="M4"/>
  <c r="N4" s="1"/>
  <c r="M2"/>
  <c r="N2" s="1"/>
  <c r="M3"/>
  <c r="N3" s="1"/>
  <c r="M5"/>
  <c r="N5" s="1"/>
  <c r="M6"/>
  <c r="N6" s="1"/>
  <c r="M7"/>
  <c r="N7" s="1"/>
  <c r="M8"/>
  <c r="N8" s="1"/>
  <c r="M9"/>
  <c r="N9" s="1"/>
  <c r="M10"/>
  <c r="N10" s="1"/>
  <c r="M11"/>
  <c r="N11" s="1"/>
  <c r="M12"/>
  <c r="N12" s="1"/>
  <c r="M13"/>
  <c r="N13" s="1"/>
  <c r="M14"/>
  <c r="N14" s="1"/>
  <c r="M15"/>
  <c r="N15" s="1"/>
  <c r="M16"/>
  <c r="N16" s="1"/>
  <c r="M17"/>
  <c r="N17" s="1"/>
  <c r="M18"/>
  <c r="N18" s="1"/>
  <c r="M19"/>
  <c r="N19" s="1"/>
  <c r="M20"/>
  <c r="N20" s="1"/>
  <c r="M21"/>
  <c r="N21" s="1"/>
  <c r="M22"/>
  <c r="N22" s="1"/>
  <c r="M23"/>
  <c r="N23" s="1"/>
  <c r="M24"/>
  <c r="N24" s="1"/>
  <c r="M25"/>
  <c r="N25" s="1"/>
  <c r="M26"/>
  <c r="N26" s="1"/>
  <c r="M27"/>
  <c r="N27" s="1"/>
  <c r="M28"/>
  <c r="N28" s="1"/>
  <c r="M29"/>
  <c r="N29" s="1"/>
  <c r="M30"/>
  <c r="N30" s="1"/>
  <c r="M31"/>
  <c r="N31" s="1"/>
  <c r="M32"/>
  <c r="N32" s="1"/>
  <c r="M33"/>
  <c r="N33" s="1"/>
  <c r="M34"/>
  <c r="N34" s="1"/>
  <c r="M35"/>
  <c r="N35" s="1"/>
  <c r="M36"/>
  <c r="N36" s="1"/>
  <c r="M37"/>
  <c r="N37" s="1"/>
  <c r="M38"/>
  <c r="N38" s="1"/>
  <c r="M39"/>
  <c r="N39" s="1"/>
  <c r="M40"/>
  <c r="N40" s="1"/>
  <c r="M41"/>
  <c r="N41" s="1"/>
  <c r="M42"/>
  <c r="N42" s="1"/>
  <c r="M43"/>
  <c r="N43" s="1"/>
  <c r="M44"/>
  <c r="N44" s="1"/>
  <c r="M45"/>
  <c r="N45" s="1"/>
  <c r="M46"/>
  <c r="N46" s="1"/>
  <c r="M47"/>
  <c r="N47" s="1"/>
  <c r="M48"/>
  <c r="N48" s="1"/>
  <c r="M49"/>
  <c r="N49" s="1"/>
  <c r="M50"/>
  <c r="N50" s="1"/>
  <c r="M51"/>
  <c r="N51" s="1"/>
  <c r="M52"/>
  <c r="N52" s="1"/>
  <c r="M53"/>
  <c r="N53" s="1"/>
  <c r="M54"/>
  <c r="N54" s="1"/>
  <c r="M55"/>
  <c r="N55" s="1"/>
  <c r="M56"/>
  <c r="N56" s="1"/>
  <c r="M57"/>
  <c r="N57" s="1"/>
  <c r="M58"/>
  <c r="N58" s="1"/>
  <c r="M59"/>
  <c r="N59" s="1"/>
  <c r="M60"/>
  <c r="N60" s="1"/>
  <c r="M61"/>
  <c r="N61" s="1"/>
  <c r="M62"/>
  <c r="N62" s="1"/>
  <c r="M63"/>
  <c r="N63" s="1"/>
  <c r="M64"/>
  <c r="N64" s="1"/>
  <c r="M65"/>
  <c r="N65" s="1"/>
  <c r="M66"/>
  <c r="N66" s="1"/>
  <c r="M67"/>
  <c r="N67" s="1"/>
  <c r="M68"/>
  <c r="N68" s="1"/>
  <c r="M69"/>
  <c r="N69" s="1"/>
  <c r="M70"/>
  <c r="N70" s="1"/>
  <c r="M71"/>
  <c r="N71" s="1"/>
  <c r="M72"/>
  <c r="N72" s="1"/>
  <c r="M73"/>
  <c r="N73" s="1"/>
  <c r="M74"/>
  <c r="N74" s="1"/>
  <c r="M75"/>
  <c r="N75" s="1"/>
  <c r="M76"/>
  <c r="N76" s="1"/>
  <c r="M77"/>
  <c r="N77" s="1"/>
  <c r="M78"/>
  <c r="N78" s="1"/>
  <c r="M79"/>
  <c r="N79" s="1"/>
  <c r="M80"/>
  <c r="N80" s="1"/>
  <c r="M81"/>
  <c r="N81" s="1"/>
  <c r="M82"/>
  <c r="N82" s="1"/>
  <c r="M83"/>
  <c r="N83" s="1"/>
  <c r="M84"/>
  <c r="N84" s="1"/>
  <c r="M85"/>
  <c r="N85" s="1"/>
  <c r="M86"/>
  <c r="N86" s="1"/>
  <c r="M87"/>
  <c r="N87" s="1"/>
  <c r="M88"/>
  <c r="N88" s="1"/>
  <c r="M89"/>
  <c r="N89" s="1"/>
  <c r="M90"/>
  <c r="N90" s="1"/>
  <c r="M91"/>
  <c r="N91" s="1"/>
  <c r="M92"/>
  <c r="N92" s="1"/>
  <c r="M93"/>
  <c r="N93" s="1"/>
  <c r="M94"/>
  <c r="N94" s="1"/>
  <c r="M95"/>
  <c r="N95" s="1"/>
  <c r="M96"/>
  <c r="N96" s="1"/>
  <c r="M97"/>
  <c r="N97" s="1"/>
  <c r="M98"/>
  <c r="N98" s="1"/>
  <c r="M99"/>
  <c r="N99" s="1"/>
  <c r="M100"/>
  <c r="N100" s="1"/>
  <c r="M101"/>
  <c r="N101" s="1"/>
  <c r="M102"/>
  <c r="N102" s="1"/>
  <c r="M103"/>
  <c r="N103" s="1"/>
  <c r="M104"/>
  <c r="N104" s="1"/>
  <c r="M105"/>
  <c r="N105" s="1"/>
  <c r="M106"/>
  <c r="N106" s="1"/>
  <c r="M107"/>
  <c r="N107" s="1"/>
  <c r="M108"/>
  <c r="N108" s="1"/>
  <c r="M109"/>
  <c r="N109" s="1"/>
  <c r="M110"/>
  <c r="N110" s="1"/>
  <c r="M111"/>
  <c r="N111" s="1"/>
  <c r="M112"/>
  <c r="N112" s="1"/>
  <c r="M113"/>
  <c r="N113" s="1"/>
  <c r="M114"/>
  <c r="N114" s="1"/>
  <c r="M115"/>
  <c r="N115" s="1"/>
  <c r="M116"/>
  <c r="N116" s="1"/>
  <c r="M117"/>
  <c r="N117" s="1"/>
  <c r="M118"/>
  <c r="N118" s="1"/>
  <c r="M119"/>
  <c r="N119" s="1"/>
  <c r="M120"/>
  <c r="N120" s="1"/>
  <c r="M121"/>
  <c r="N121" s="1"/>
  <c r="M122"/>
  <c r="N122" s="1"/>
  <c r="M123"/>
  <c r="N123" s="1"/>
  <c r="M124"/>
  <c r="N124" s="1"/>
  <c r="M125"/>
  <c r="N125" s="1"/>
  <c r="M126"/>
  <c r="N126" s="1"/>
  <c r="M127"/>
  <c r="N127" s="1"/>
  <c r="M128"/>
  <c r="N128" s="1"/>
  <c r="M129"/>
  <c r="N129" s="1"/>
  <c r="M130"/>
  <c r="N130" s="1"/>
  <c r="M131"/>
  <c r="N131" s="1"/>
  <c r="M132"/>
  <c r="N132" s="1"/>
  <c r="M133"/>
  <c r="N133" s="1"/>
  <c r="M134"/>
  <c r="N134" s="1"/>
  <c r="M135"/>
  <c r="N135" s="1"/>
  <c r="M136"/>
  <c r="N136" s="1"/>
  <c r="M137"/>
  <c r="N137" s="1"/>
  <c r="M138"/>
  <c r="N138" s="1"/>
  <c r="M139"/>
  <c r="N139" s="1"/>
  <c r="M140"/>
  <c r="N140" s="1"/>
  <c r="M141"/>
  <c r="N141" s="1"/>
  <c r="M142"/>
  <c r="N142" s="1"/>
  <c r="M143"/>
  <c r="N143" s="1"/>
  <c r="M144"/>
  <c r="N144" s="1"/>
  <c r="M145"/>
  <c r="N145" s="1"/>
  <c r="M146"/>
  <c r="N146" s="1"/>
  <c r="M147"/>
  <c r="N147" s="1"/>
  <c r="M148"/>
  <c r="N148" s="1"/>
  <c r="M149"/>
  <c r="N149" s="1"/>
  <c r="M150"/>
  <c r="N150" s="1"/>
  <c r="M151"/>
  <c r="N151" s="1"/>
  <c r="M152"/>
  <c r="N152" s="1"/>
  <c r="M153"/>
  <c r="N153" s="1"/>
  <c r="M154"/>
  <c r="N154" s="1"/>
  <c r="M155"/>
  <c r="N155" s="1"/>
  <c r="M156"/>
  <c r="N156" s="1"/>
  <c r="M157"/>
  <c r="N157" s="1"/>
  <c r="M158"/>
  <c r="N158" s="1"/>
  <c r="M159"/>
  <c r="N159" s="1"/>
  <c r="M160"/>
  <c r="N160" s="1"/>
  <c r="M161"/>
  <c r="N161" s="1"/>
  <c r="M162"/>
  <c r="N162" s="1"/>
  <c r="M163"/>
  <c r="N163" s="1"/>
  <c r="M164"/>
  <c r="N164" s="1"/>
  <c r="M165"/>
  <c r="N165" s="1"/>
  <c r="M166"/>
  <c r="N166" s="1"/>
  <c r="M167"/>
  <c r="N167" s="1"/>
  <c r="M168"/>
  <c r="N168" s="1"/>
  <c r="M169"/>
  <c r="N169" s="1"/>
  <c r="M170"/>
  <c r="N170" s="1"/>
  <c r="M171"/>
  <c r="N171" s="1"/>
  <c r="M172"/>
  <c r="N172" s="1"/>
  <c r="M173"/>
  <c r="N173" s="1"/>
  <c r="M174"/>
  <c r="N174" s="1"/>
  <c r="M175"/>
  <c r="N175" s="1"/>
  <c r="M176"/>
  <c r="N176" s="1"/>
  <c r="M177"/>
  <c r="N177" s="1"/>
  <c r="M178"/>
  <c r="N178" s="1"/>
  <c r="M179"/>
  <c r="N179" s="1"/>
  <c r="M180"/>
  <c r="N180" s="1"/>
  <c r="M181"/>
  <c r="N181" s="1"/>
  <c r="M182"/>
  <c r="N182" s="1"/>
  <c r="M183"/>
  <c r="N183" s="1"/>
  <c r="M184"/>
  <c r="N184" s="1"/>
  <c r="M185"/>
  <c r="N185" s="1"/>
  <c r="M186"/>
  <c r="N186" s="1"/>
  <c r="M187"/>
  <c r="N187" s="1"/>
  <c r="M188"/>
  <c r="N188" s="1"/>
  <c r="M189"/>
  <c r="N189" s="1"/>
  <c r="M190"/>
  <c r="N190" s="1"/>
  <c r="M191"/>
  <c r="N191" s="1"/>
  <c r="M192"/>
  <c r="N192" s="1"/>
  <c r="M193"/>
  <c r="N193" s="1"/>
  <c r="M194"/>
  <c r="N194" s="1"/>
  <c r="M195"/>
  <c r="N195" s="1"/>
  <c r="M196"/>
  <c r="N196" s="1"/>
  <c r="M197"/>
  <c r="N197" s="1"/>
  <c r="M198"/>
  <c r="N198" s="1"/>
  <c r="M199"/>
  <c r="N199" s="1"/>
  <c r="M200"/>
  <c r="N200" s="1"/>
  <c r="M201"/>
  <c r="N201" s="1"/>
  <c r="M202"/>
  <c r="N202" s="1"/>
  <c r="M203"/>
  <c r="N203" s="1"/>
  <c r="M204"/>
  <c r="N204" s="1"/>
  <c r="M205"/>
  <c r="N205" s="1"/>
  <c r="M206"/>
  <c r="N206" s="1"/>
  <c r="M207"/>
  <c r="N207" s="1"/>
  <c r="M208"/>
  <c r="N208" s="1"/>
  <c r="M209"/>
  <c r="N209" s="1"/>
  <c r="M210"/>
  <c r="N210" s="1"/>
  <c r="M211"/>
  <c r="N211" s="1"/>
  <c r="M212"/>
  <c r="N212" s="1"/>
  <c r="M213"/>
  <c r="N213" s="1"/>
  <c r="M214"/>
  <c r="N214" s="1"/>
  <c r="M215"/>
  <c r="N215" s="1"/>
  <c r="M216"/>
  <c r="N216" s="1"/>
  <c r="M217"/>
  <c r="N217" s="1"/>
  <c r="M218"/>
  <c r="N218" s="1"/>
  <c r="M219"/>
  <c r="N219" s="1"/>
  <c r="M220"/>
  <c r="N220" s="1"/>
  <c r="M221"/>
  <c r="N221" s="1"/>
  <c r="M222"/>
  <c r="N222" s="1"/>
  <c r="M223"/>
  <c r="N223" s="1"/>
  <c r="M224"/>
  <c r="N224" s="1"/>
  <c r="M225"/>
  <c r="N225" s="1"/>
  <c r="M226"/>
  <c r="N226" s="1"/>
  <c r="M227"/>
  <c r="N227" s="1"/>
  <c r="M228"/>
  <c r="N228" s="1"/>
  <c r="M229"/>
  <c r="N229" s="1"/>
  <c r="M230"/>
  <c r="N230" s="1"/>
  <c r="M231"/>
  <c r="N231" s="1"/>
  <c r="M232"/>
  <c r="N232" s="1"/>
  <c r="M233"/>
  <c r="N233" s="1"/>
  <c r="M234"/>
  <c r="N234" s="1"/>
  <c r="M235"/>
  <c r="N235" s="1"/>
  <c r="M236"/>
  <c r="N236" s="1"/>
  <c r="M237"/>
  <c r="N237" s="1"/>
  <c r="M238"/>
  <c r="N238" s="1"/>
  <c r="M239"/>
  <c r="N239" s="1"/>
  <c r="M240"/>
  <c r="N240" s="1"/>
  <c r="M241"/>
  <c r="N241" s="1"/>
  <c r="M242"/>
  <c r="N242" s="1"/>
  <c r="M243"/>
  <c r="N243" s="1"/>
  <c r="M244"/>
  <c r="N244" s="1"/>
  <c r="M245"/>
  <c r="N245" s="1"/>
  <c r="M246"/>
  <c r="N246" s="1"/>
  <c r="M247"/>
  <c r="N247" s="1"/>
  <c r="M248"/>
  <c r="N248" s="1"/>
  <c r="M249"/>
  <c r="N249" s="1"/>
  <c r="M250"/>
  <c r="N250" s="1"/>
  <c r="M251"/>
  <c r="N251" s="1"/>
  <c r="M252"/>
  <c r="N252" s="1"/>
  <c r="M253"/>
  <c r="N253" s="1"/>
  <c r="M254"/>
  <c r="N254" s="1"/>
  <c r="M255"/>
  <c r="N255" s="1"/>
  <c r="M256"/>
  <c r="N256" s="1"/>
  <c r="M257"/>
  <c r="N257" s="1"/>
  <c r="M258"/>
  <c r="N258" s="1"/>
  <c r="M259"/>
  <c r="N259" s="1"/>
  <c r="M260"/>
  <c r="N260" s="1"/>
  <c r="M261"/>
  <c r="N261" s="1"/>
  <c r="M262"/>
  <c r="N262" s="1"/>
  <c r="M263"/>
  <c r="N263" s="1"/>
  <c r="M264"/>
  <c r="N264" s="1"/>
  <c r="M265"/>
  <c r="N265" s="1"/>
  <c r="M266"/>
  <c r="N266" s="1"/>
  <c r="M267"/>
  <c r="N267" s="1"/>
  <c r="M268"/>
  <c r="N268" s="1"/>
  <c r="M269"/>
  <c r="N269" s="1"/>
  <c r="M270"/>
  <c r="N270" s="1"/>
  <c r="M271"/>
  <c r="N271" s="1"/>
  <c r="M272"/>
  <c r="N272" s="1"/>
  <c r="M273"/>
  <c r="N273" s="1"/>
  <c r="M274"/>
  <c r="N274" s="1"/>
  <c r="M275"/>
  <c r="N275" s="1"/>
  <c r="M276"/>
  <c r="N276" s="1"/>
  <c r="M277"/>
  <c r="N277" s="1"/>
  <c r="M278"/>
  <c r="N278" s="1"/>
  <c r="M279"/>
  <c r="N279" s="1"/>
  <c r="M280"/>
  <c r="N280" s="1"/>
  <c r="M281"/>
  <c r="N281" s="1"/>
  <c r="M282"/>
  <c r="N282" s="1"/>
  <c r="M283"/>
  <c r="N283" s="1"/>
  <c r="M284"/>
  <c r="N284" s="1"/>
  <c r="M285"/>
  <c r="N285" s="1"/>
  <c r="M286"/>
  <c r="N286" s="1"/>
  <c r="M287"/>
  <c r="N287" s="1"/>
  <c r="M288"/>
  <c r="N288" s="1"/>
  <c r="M289"/>
  <c r="N289" s="1"/>
  <c r="M290"/>
  <c r="N290" s="1"/>
  <c r="M291"/>
  <c r="N291" s="1"/>
  <c r="M292"/>
  <c r="N292" s="1"/>
  <c r="M293"/>
  <c r="N293" s="1"/>
  <c r="M294"/>
  <c r="N294" s="1"/>
  <c r="M295"/>
  <c r="N295" s="1"/>
  <c r="M296"/>
  <c r="N296" s="1"/>
  <c r="M297"/>
  <c r="N297" s="1"/>
  <c r="M298"/>
  <c r="N298" s="1"/>
  <c r="M299"/>
  <c r="N299" s="1"/>
  <c r="M300"/>
  <c r="N300" s="1"/>
  <c r="M301"/>
  <c r="N301" s="1"/>
  <c r="M302"/>
  <c r="N302" s="1"/>
  <c r="M303"/>
  <c r="N303" s="1"/>
  <c r="M304"/>
  <c r="N304" s="1"/>
  <c r="M305"/>
  <c r="N305" s="1"/>
  <c r="M306"/>
  <c r="N306" s="1"/>
  <c r="M307"/>
  <c r="N307" s="1"/>
  <c r="M308"/>
  <c r="N308" s="1"/>
  <c r="M309"/>
  <c r="N309" s="1"/>
  <c r="M310"/>
  <c r="N310" s="1"/>
  <c r="M311"/>
  <c r="N311" s="1"/>
  <c r="M312"/>
  <c r="N312" s="1"/>
  <c r="M313"/>
  <c r="N313" s="1"/>
  <c r="M314"/>
  <c r="N314" s="1"/>
  <c r="M315"/>
  <c r="N315" s="1"/>
  <c r="M316"/>
  <c r="N316" s="1"/>
  <c r="M317"/>
  <c r="N317" s="1"/>
  <c r="M318"/>
  <c r="N318" s="1"/>
  <c r="M319"/>
  <c r="N319" s="1"/>
  <c r="M320"/>
  <c r="N320" s="1"/>
  <c r="M321"/>
  <c r="N321" s="1"/>
  <c r="M322"/>
  <c r="N322" s="1"/>
  <c r="M323"/>
  <c r="N323" s="1"/>
  <c r="M324"/>
  <c r="N324" s="1"/>
  <c r="M325"/>
  <c r="N325" s="1"/>
  <c r="M326"/>
  <c r="N326" s="1"/>
  <c r="M327"/>
  <c r="N327" s="1"/>
  <c r="M328"/>
  <c r="N328" s="1"/>
  <c r="M329"/>
  <c r="N329" s="1"/>
  <c r="M330"/>
  <c r="N330" s="1"/>
  <c r="M331"/>
  <c r="N331" s="1"/>
  <c r="M332"/>
  <c r="N332" s="1"/>
  <c r="M333"/>
  <c r="N333" s="1"/>
  <c r="M334"/>
  <c r="N334" s="1"/>
  <c r="M335"/>
  <c r="N335" s="1"/>
  <c r="M336"/>
  <c r="N336" s="1"/>
  <c r="M337"/>
  <c r="N337" s="1"/>
  <c r="M338"/>
  <c r="N338" s="1"/>
  <c r="M339"/>
  <c r="N339" s="1"/>
  <c r="M340"/>
  <c r="N340" s="1"/>
  <c r="M341"/>
  <c r="N341" s="1"/>
  <c r="M342"/>
  <c r="N342" s="1"/>
  <c r="M343"/>
  <c r="N343" s="1"/>
  <c r="M344"/>
  <c r="N344" s="1"/>
  <c r="M345"/>
  <c r="N345" s="1"/>
  <c r="M346"/>
  <c r="N346" s="1"/>
  <c r="M347"/>
  <c r="N347" s="1"/>
  <c r="M348"/>
  <c r="N348" s="1"/>
  <c r="M349"/>
  <c r="N349" s="1"/>
  <c r="M350"/>
  <c r="N350" s="1"/>
  <c r="M351"/>
  <c r="N351" s="1"/>
  <c r="M352"/>
  <c r="N352" s="1"/>
  <c r="M353"/>
  <c r="N353" s="1"/>
  <c r="M354"/>
  <c r="N354" s="1"/>
  <c r="M355"/>
  <c r="N355" s="1"/>
  <c r="M356"/>
  <c r="N356" s="1"/>
  <c r="M357"/>
  <c r="N357" s="1"/>
  <c r="M358"/>
  <c r="N358" s="1"/>
  <c r="M359"/>
  <c r="N359" s="1"/>
  <c r="M360"/>
  <c r="N360" s="1"/>
  <c r="M361"/>
  <c r="N361" s="1"/>
  <c r="M362"/>
  <c r="N362" s="1"/>
  <c r="M363"/>
  <c r="N363" s="1"/>
  <c r="M364"/>
  <c r="N364" s="1"/>
  <c r="M365"/>
  <c r="N365" s="1"/>
  <c r="M366"/>
  <c r="N366" s="1"/>
  <c r="M367"/>
  <c r="N367" s="1"/>
  <c r="M368"/>
  <c r="N368" s="1"/>
  <c r="M369"/>
  <c r="N369" s="1"/>
  <c r="M370"/>
  <c r="N370" s="1"/>
  <c r="M371"/>
  <c r="N371" s="1"/>
  <c r="M372"/>
  <c r="N372" s="1"/>
  <c r="M373"/>
  <c r="N373" s="1"/>
  <c r="M374"/>
  <c r="N374" s="1"/>
  <c r="M375"/>
  <c r="N375" s="1"/>
  <c r="M376"/>
  <c r="N376" s="1"/>
  <c r="M377"/>
  <c r="N377" s="1"/>
  <c r="M378"/>
  <c r="N378" s="1"/>
  <c r="M379"/>
  <c r="N379" s="1"/>
  <c r="M380"/>
  <c r="N380" s="1"/>
  <c r="M381"/>
  <c r="N381" s="1"/>
  <c r="M382"/>
  <c r="N382" s="1"/>
  <c r="M383"/>
  <c r="N383" s="1"/>
  <c r="M384"/>
  <c r="N384" s="1"/>
  <c r="M385"/>
  <c r="N385" s="1"/>
  <c r="M386"/>
  <c r="N386" s="1"/>
  <c r="M387"/>
  <c r="N387" s="1"/>
  <c r="M388"/>
  <c r="N388" s="1"/>
  <c r="M389"/>
  <c r="N389" s="1"/>
  <c r="M390"/>
  <c r="N390" s="1"/>
  <c r="M391"/>
  <c r="N391" s="1"/>
  <c r="M392"/>
  <c r="N392" s="1"/>
  <c r="M393"/>
  <c r="N393" s="1"/>
  <c r="M394"/>
  <c r="N394" s="1"/>
  <c r="M395"/>
  <c r="N395" s="1"/>
  <c r="M396"/>
  <c r="N396" s="1"/>
  <c r="M397"/>
  <c r="N397" s="1"/>
  <c r="M398"/>
  <c r="N398" s="1"/>
  <c r="M399"/>
  <c r="N399" s="1"/>
  <c r="M400"/>
  <c r="N400" s="1"/>
  <c r="M401"/>
  <c r="N401" s="1"/>
  <c r="M402"/>
  <c r="N402" s="1"/>
  <c r="M403"/>
  <c r="N403" s="1"/>
  <c r="M404"/>
  <c r="N404" s="1"/>
  <c r="M405"/>
  <c r="N405" s="1"/>
  <c r="M406"/>
  <c r="N406" s="1"/>
  <c r="M407"/>
  <c r="N407" s="1"/>
  <c r="M408"/>
  <c r="N408" s="1"/>
  <c r="M409"/>
  <c r="N409" s="1"/>
  <c r="M410"/>
  <c r="N410" s="1"/>
  <c r="M411"/>
  <c r="N411" s="1"/>
  <c r="M412"/>
  <c r="N412" s="1"/>
  <c r="M413"/>
  <c r="N413" s="1"/>
  <c r="M414"/>
  <c r="N414" s="1"/>
  <c r="M415"/>
  <c r="N415" s="1"/>
  <c r="M416"/>
  <c r="N416" s="1"/>
  <c r="M417"/>
  <c r="N417" s="1"/>
  <c r="M418"/>
  <c r="N418" s="1"/>
  <c r="M419"/>
  <c r="N419" s="1"/>
  <c r="M420"/>
  <c r="N420" s="1"/>
  <c r="M421"/>
  <c r="N421" s="1"/>
  <c r="M422"/>
  <c r="N422" s="1"/>
  <c r="M423"/>
  <c r="N423" s="1"/>
  <c r="M424"/>
  <c r="N424" s="1"/>
  <c r="M425"/>
  <c r="N425" s="1"/>
  <c r="M426"/>
  <c r="N426" s="1"/>
  <c r="M427"/>
  <c r="N427" s="1"/>
  <c r="M428"/>
  <c r="N428" s="1"/>
  <c r="M429"/>
  <c r="N429" s="1"/>
  <c r="M430"/>
  <c r="N430" s="1"/>
  <c r="M431"/>
  <c r="N431" s="1"/>
  <c r="M432"/>
  <c r="N432" s="1"/>
  <c r="M433"/>
  <c r="N433" s="1"/>
  <c r="M434"/>
  <c r="N434" s="1"/>
  <c r="M435"/>
  <c r="N435" s="1"/>
  <c r="M436"/>
  <c r="N436" s="1"/>
  <c r="M437"/>
  <c r="N437" s="1"/>
  <c r="M438"/>
  <c r="N438" s="1"/>
  <c r="M439"/>
  <c r="N439" s="1"/>
  <c r="M440"/>
  <c r="N440" s="1"/>
  <c r="M441"/>
  <c r="N441" s="1"/>
  <c r="M442"/>
  <c r="N442" s="1"/>
  <c r="M443"/>
  <c r="N443" s="1"/>
  <c r="M444"/>
  <c r="N444" s="1"/>
  <c r="M445"/>
  <c r="N445" s="1"/>
  <c r="M446"/>
  <c r="N446" s="1"/>
  <c r="M447"/>
  <c r="N447" s="1"/>
  <c r="M448"/>
  <c r="N448" s="1"/>
  <c r="M449"/>
  <c r="N449" s="1"/>
  <c r="M450"/>
  <c r="N450" s="1"/>
  <c r="M451"/>
  <c r="N451" s="1"/>
  <c r="M452"/>
  <c r="N452" s="1"/>
  <c r="M453"/>
  <c r="N453" s="1"/>
  <c r="M454"/>
  <c r="N454" s="1"/>
  <c r="M455"/>
  <c r="N455" s="1"/>
  <c r="M456"/>
  <c r="N456" s="1"/>
  <c r="M457"/>
  <c r="N457" s="1"/>
  <c r="M458"/>
  <c r="N458" s="1"/>
  <c r="M459"/>
  <c r="N459" s="1"/>
  <c r="M460"/>
  <c r="N460" s="1"/>
  <c r="M461"/>
  <c r="N461" s="1"/>
  <c r="M462"/>
  <c r="N462" s="1"/>
  <c r="M463"/>
  <c r="N463" s="1"/>
  <c r="M464"/>
  <c r="N464" s="1"/>
  <c r="M465"/>
  <c r="N465" s="1"/>
  <c r="M466"/>
  <c r="N466" s="1"/>
  <c r="M467"/>
  <c r="N467" s="1"/>
  <c r="M468"/>
  <c r="N468" s="1"/>
  <c r="M469"/>
  <c r="N469" s="1"/>
  <c r="M470"/>
  <c r="N470" s="1"/>
  <c r="M471"/>
  <c r="N471" s="1"/>
  <c r="M472"/>
  <c r="N472" s="1"/>
  <c r="M473"/>
  <c r="N473" s="1"/>
  <c r="M474"/>
  <c r="N474" s="1"/>
  <c r="M475"/>
  <c r="N475" s="1"/>
  <c r="M476"/>
  <c r="N476" s="1"/>
  <c r="M477"/>
  <c r="N477" s="1"/>
  <c r="M478"/>
  <c r="N478" s="1"/>
  <c r="M479"/>
  <c r="N479" s="1"/>
  <c r="M480"/>
  <c r="N480" s="1"/>
  <c r="M481"/>
  <c r="N481" s="1"/>
  <c r="M482"/>
  <c r="N482" s="1"/>
  <c r="M483"/>
  <c r="N483" s="1"/>
  <c r="M484"/>
  <c r="N484" s="1"/>
  <c r="M485"/>
  <c r="N485" s="1"/>
  <c r="M486"/>
  <c r="N486" s="1"/>
  <c r="M487"/>
  <c r="N487" s="1"/>
  <c r="M488"/>
  <c r="N488" s="1"/>
  <c r="M489"/>
  <c r="N489" s="1"/>
  <c r="M490"/>
  <c r="N490" s="1"/>
  <c r="M491"/>
  <c r="N491" s="1"/>
  <c r="M492"/>
  <c r="N492" s="1"/>
  <c r="M493"/>
  <c r="N493" s="1"/>
  <c r="M494"/>
  <c r="N494" s="1"/>
  <c r="M495"/>
  <c r="N495" s="1"/>
  <c r="M496"/>
  <c r="N496" s="1"/>
  <c r="M497"/>
  <c r="N497" s="1"/>
  <c r="M498"/>
  <c r="N498" s="1"/>
  <c r="M499"/>
  <c r="N499" s="1"/>
  <c r="M500"/>
  <c r="N500" s="1"/>
  <c r="M501"/>
  <c r="N501" s="1"/>
  <c r="M502"/>
  <c r="N502" s="1"/>
  <c r="M503"/>
  <c r="N503" s="1"/>
  <c r="M504"/>
  <c r="N504" s="1"/>
  <c r="M505"/>
  <c r="N505" s="1"/>
  <c r="M506"/>
  <c r="N506" s="1"/>
  <c r="M507"/>
  <c r="N507" s="1"/>
  <c r="M508"/>
  <c r="N508" s="1"/>
  <c r="M509"/>
  <c r="N509" s="1"/>
  <c r="M510"/>
  <c r="N510" s="1"/>
  <c r="M511"/>
  <c r="N511" s="1"/>
  <c r="M512"/>
  <c r="N512" s="1"/>
  <c r="M513"/>
  <c r="N513" s="1"/>
  <c r="M514"/>
  <c r="N514" s="1"/>
  <c r="M515"/>
  <c r="N515" s="1"/>
  <c r="M516"/>
  <c r="N516" s="1"/>
  <c r="M517"/>
  <c r="N517" s="1"/>
  <c r="M518"/>
  <c r="N518" s="1"/>
  <c r="M519"/>
  <c r="N519" s="1"/>
  <c r="M520"/>
  <c r="N520" s="1"/>
  <c r="M521"/>
  <c r="N521" s="1"/>
  <c r="M522"/>
  <c r="N522" s="1"/>
  <c r="M523"/>
  <c r="N523" s="1"/>
  <c r="M524"/>
  <c r="N524" s="1"/>
  <c r="M525"/>
  <c r="N525" s="1"/>
  <c r="M526"/>
  <c r="N526" s="1"/>
  <c r="M527"/>
  <c r="N527" s="1"/>
  <c r="M528"/>
  <c r="N528" s="1"/>
  <c r="M529"/>
  <c r="N529" s="1"/>
  <c r="M530"/>
  <c r="N530" s="1"/>
  <c r="M531"/>
  <c r="N531" s="1"/>
  <c r="M532"/>
  <c r="N532" s="1"/>
  <c r="M533"/>
  <c r="N533" s="1"/>
  <c r="M534"/>
  <c r="N534" s="1"/>
  <c r="M535"/>
  <c r="N535" s="1"/>
  <c r="M536"/>
  <c r="N536" s="1"/>
  <c r="M537"/>
  <c r="N537" s="1"/>
  <c r="M538"/>
  <c r="N538" s="1"/>
  <c r="M539"/>
  <c r="N539" s="1"/>
  <c r="M540"/>
  <c r="N540" s="1"/>
  <c r="M541"/>
  <c r="N541" s="1"/>
  <c r="M542"/>
  <c r="N542" s="1"/>
  <c r="M543"/>
  <c r="N543" s="1"/>
  <c r="M544"/>
  <c r="N544" s="1"/>
  <c r="M545"/>
  <c r="N545" s="1"/>
  <c r="M546"/>
  <c r="N546" s="1"/>
  <c r="M547"/>
  <c r="N547" s="1"/>
  <c r="M548"/>
  <c r="N548" s="1"/>
  <c r="M549"/>
  <c r="N549" s="1"/>
  <c r="M550"/>
  <c r="N550" s="1"/>
  <c r="M551"/>
  <c r="N551" s="1"/>
  <c r="M552"/>
  <c r="N552" s="1"/>
  <c r="M553"/>
  <c r="N553" s="1"/>
  <c r="M554"/>
  <c r="N554" s="1"/>
  <c r="M555"/>
  <c r="N555" s="1"/>
  <c r="M556"/>
  <c r="N556" s="1"/>
  <c r="M557"/>
  <c r="N557" s="1"/>
  <c r="M558"/>
  <c r="N558" s="1"/>
  <c r="M559"/>
  <c r="N559" s="1"/>
  <c r="M560"/>
  <c r="N560" s="1"/>
  <c r="M561"/>
  <c r="N561" s="1"/>
  <c r="M562"/>
  <c r="N562" s="1"/>
  <c r="M563"/>
  <c r="N563" s="1"/>
  <c r="M564"/>
  <c r="N564" s="1"/>
  <c r="M565"/>
  <c r="N565" s="1"/>
  <c r="M566"/>
  <c r="N566" s="1"/>
  <c r="M567"/>
  <c r="N567" s="1"/>
  <c r="M568"/>
  <c r="N568" s="1"/>
  <c r="M569"/>
  <c r="N569" s="1"/>
  <c r="M570"/>
  <c r="N570" s="1"/>
  <c r="M571"/>
  <c r="N571" s="1"/>
  <c r="M572"/>
  <c r="N572" s="1"/>
  <c r="M573"/>
  <c r="N573" s="1"/>
  <c r="M574"/>
  <c r="N574" s="1"/>
  <c r="M575"/>
  <c r="N575" s="1"/>
  <c r="M576"/>
  <c r="N576" s="1"/>
  <c r="M577"/>
  <c r="N577" s="1"/>
  <c r="M578"/>
  <c r="N578" s="1"/>
  <c r="M579"/>
  <c r="N579" s="1"/>
  <c r="M580"/>
  <c r="N580" s="1"/>
  <c r="M581"/>
  <c r="N581" s="1"/>
  <c r="M582"/>
  <c r="N582" s="1"/>
  <c r="M583"/>
  <c r="N583" s="1"/>
  <c r="M584"/>
  <c r="N584" s="1"/>
  <c r="M585"/>
  <c r="N585" s="1"/>
  <c r="M586"/>
  <c r="N586" s="1"/>
  <c r="M587"/>
  <c r="N587" s="1"/>
  <c r="M588"/>
  <c r="N588" s="1"/>
  <c r="M589"/>
  <c r="N589" s="1"/>
  <c r="M590"/>
  <c r="N590" s="1"/>
  <c r="M591"/>
  <c r="N591" s="1"/>
  <c r="M592"/>
  <c r="N592" s="1"/>
  <c r="M593"/>
  <c r="N593" s="1"/>
  <c r="M594"/>
  <c r="N594" s="1"/>
  <c r="M595"/>
  <c r="N595" s="1"/>
  <c r="M596"/>
  <c r="N596" s="1"/>
  <c r="M597"/>
  <c r="N597" s="1"/>
  <c r="M598"/>
  <c r="N598" s="1"/>
  <c r="M599"/>
  <c r="N599" s="1"/>
  <c r="M600"/>
  <c r="N600" s="1"/>
  <c r="M601"/>
  <c r="N601" s="1"/>
  <c r="M602"/>
  <c r="N602" s="1"/>
  <c r="M603"/>
  <c r="N603" s="1"/>
  <c r="M604"/>
  <c r="N604" s="1"/>
  <c r="M605"/>
  <c r="N605" s="1"/>
  <c r="M606"/>
  <c r="N606" s="1"/>
  <c r="M607"/>
  <c r="N607" s="1"/>
  <c r="M608"/>
  <c r="N608" s="1"/>
  <c r="M609"/>
  <c r="N609" s="1"/>
  <c r="M610"/>
  <c r="N610" s="1"/>
  <c r="M611"/>
  <c r="N611" s="1"/>
  <c r="M612"/>
  <c r="N612" s="1"/>
  <c r="M613"/>
  <c r="N613" s="1"/>
  <c r="M614"/>
  <c r="N614" s="1"/>
  <c r="M615"/>
  <c r="N615" s="1"/>
  <c r="M616"/>
  <c r="N616" s="1"/>
  <c r="M617"/>
  <c r="N617" s="1"/>
  <c r="M618"/>
  <c r="N618" s="1"/>
  <c r="M619"/>
  <c r="N619" s="1"/>
  <c r="M620"/>
  <c r="N620" s="1"/>
  <c r="M621"/>
  <c r="N621" s="1"/>
  <c r="M622"/>
  <c r="N622" s="1"/>
  <c r="M623"/>
  <c r="N623" s="1"/>
  <c r="M624"/>
  <c r="N624" s="1"/>
  <c r="M625"/>
  <c r="N625" s="1"/>
  <c r="M626"/>
  <c r="N626" s="1"/>
  <c r="M627"/>
  <c r="N627" s="1"/>
  <c r="M628"/>
  <c r="N628" s="1"/>
  <c r="M629"/>
  <c r="N629" s="1"/>
  <c r="M630"/>
  <c r="N630" s="1"/>
  <c r="M631"/>
  <c r="N631" s="1"/>
  <c r="M632"/>
  <c r="N632" s="1"/>
  <c r="M633"/>
  <c r="N633" s="1"/>
  <c r="M634"/>
  <c r="N634" s="1"/>
  <c r="M635"/>
  <c r="N635" s="1"/>
  <c r="M636"/>
  <c r="N636" s="1"/>
  <c r="M637"/>
  <c r="N637" s="1"/>
  <c r="M638"/>
  <c r="N638" s="1"/>
  <c r="M639"/>
  <c r="N639" s="1"/>
  <c r="M640"/>
  <c r="N640" s="1"/>
  <c r="M641"/>
  <c r="N641" s="1"/>
  <c r="M642"/>
  <c r="N642" s="1"/>
  <c r="M643"/>
  <c r="N643" s="1"/>
  <c r="M644"/>
  <c r="N644" s="1"/>
  <c r="M645"/>
  <c r="N645" s="1"/>
  <c r="M646"/>
  <c r="N646" s="1"/>
  <c r="M647"/>
  <c r="N647" s="1"/>
  <c r="M648"/>
  <c r="N648" s="1"/>
  <c r="M649"/>
  <c r="N649" s="1"/>
  <c r="M650"/>
  <c r="N650" s="1"/>
  <c r="M651"/>
  <c r="N651" s="1"/>
  <c r="M652"/>
  <c r="N652" s="1"/>
  <c r="M653"/>
  <c r="N653" s="1"/>
  <c r="M654"/>
  <c r="N654" s="1"/>
  <c r="M655"/>
  <c r="N655" s="1"/>
  <c r="M656"/>
  <c r="N656" s="1"/>
  <c r="M657"/>
  <c r="N657" s="1"/>
  <c r="M658"/>
  <c r="N658" s="1"/>
  <c r="M659"/>
  <c r="N659" s="1"/>
  <c r="M660"/>
  <c r="N660" s="1"/>
  <c r="M661"/>
  <c r="N661" s="1"/>
  <c r="M662"/>
  <c r="N662" s="1"/>
  <c r="M663"/>
  <c r="N663" s="1"/>
  <c r="M664"/>
  <c r="N664" s="1"/>
  <c r="M665"/>
  <c r="N665" s="1"/>
  <c r="M666"/>
  <c r="N666" s="1"/>
  <c r="M667"/>
  <c r="N667" s="1"/>
  <c r="M668"/>
  <c r="N668" s="1"/>
  <c r="M669"/>
  <c r="N669" s="1"/>
  <c r="M670"/>
  <c r="N670" s="1"/>
  <c r="M671"/>
  <c r="N671" s="1"/>
  <c r="M672"/>
  <c r="N672" s="1"/>
  <c r="M673"/>
  <c r="N673" s="1"/>
  <c r="M674"/>
  <c r="N674" s="1"/>
  <c r="M675"/>
  <c r="N675" s="1"/>
  <c r="M676"/>
  <c r="N676" s="1"/>
  <c r="M677"/>
  <c r="N677" s="1"/>
  <c r="M678"/>
  <c r="N678" s="1"/>
  <c r="M679"/>
  <c r="N679" s="1"/>
  <c r="M680"/>
  <c r="N680" s="1"/>
  <c r="M681"/>
  <c r="N681" s="1"/>
  <c r="M682"/>
  <c r="N682" s="1"/>
  <c r="M683"/>
  <c r="N683" s="1"/>
  <c r="M684"/>
  <c r="N684" s="1"/>
  <c r="M685"/>
  <c r="N685" s="1"/>
  <c r="M686"/>
  <c r="N686" s="1"/>
  <c r="M687"/>
  <c r="N687" s="1"/>
  <c r="M688"/>
  <c r="N688" s="1"/>
  <c r="M689"/>
  <c r="N689" s="1"/>
  <c r="M690"/>
  <c r="N690" s="1"/>
  <c r="M691"/>
  <c r="N691" s="1"/>
  <c r="M692"/>
  <c r="N692" s="1"/>
  <c r="M693"/>
  <c r="N693" s="1"/>
  <c r="M694"/>
  <c r="N694" s="1"/>
  <c r="M695"/>
  <c r="N695" s="1"/>
  <c r="M696"/>
  <c r="N696" s="1"/>
  <c r="M697"/>
  <c r="N697" s="1"/>
  <c r="M698"/>
  <c r="N698" s="1"/>
  <c r="M699"/>
  <c r="N699" s="1"/>
  <c r="M700"/>
  <c r="N700" s="1"/>
  <c r="M701"/>
  <c r="N701" s="1"/>
  <c r="M702"/>
  <c r="N702" s="1"/>
  <c r="M703"/>
  <c r="N703" s="1"/>
  <c r="M704"/>
  <c r="N704" s="1"/>
  <c r="M705"/>
  <c r="N705" s="1"/>
  <c r="M706"/>
  <c r="N706" s="1"/>
  <c r="M707"/>
  <c r="N707" s="1"/>
  <c r="M708"/>
  <c r="N708" s="1"/>
  <c r="M709"/>
  <c r="N709" s="1"/>
  <c r="M710"/>
  <c r="N710" s="1"/>
  <c r="M711"/>
  <c r="N711" s="1"/>
  <c r="M712"/>
  <c r="N712" s="1"/>
  <c r="M713"/>
  <c r="N713" s="1"/>
  <c r="M714"/>
  <c r="N714" s="1"/>
  <c r="M715"/>
  <c r="N715" s="1"/>
  <c r="M716"/>
  <c r="N716" s="1"/>
  <c r="M717"/>
  <c r="N717" s="1"/>
  <c r="M718"/>
  <c r="N718" s="1"/>
  <c r="M719"/>
  <c r="N719" s="1"/>
  <c r="M720"/>
  <c r="N720" s="1"/>
  <c r="M721"/>
  <c r="N721" s="1"/>
  <c r="M722"/>
  <c r="N722" s="1"/>
  <c r="M723"/>
  <c r="N723" s="1"/>
  <c r="M724"/>
  <c r="N724" s="1"/>
  <c r="M725"/>
  <c r="N725" s="1"/>
  <c r="M726"/>
  <c r="N726" s="1"/>
  <c r="M727"/>
  <c r="N727" s="1"/>
  <c r="M728"/>
  <c r="N728" s="1"/>
  <c r="M729"/>
  <c r="N729" s="1"/>
  <c r="M730"/>
  <c r="N730" s="1"/>
  <c r="M731"/>
  <c r="N731" s="1"/>
  <c r="M732"/>
  <c r="N732" s="1"/>
  <c r="M733"/>
  <c r="N733" s="1"/>
  <c r="M734"/>
  <c r="N734" s="1"/>
  <c r="M735"/>
  <c r="N735" s="1"/>
  <c r="M736"/>
  <c r="N736" s="1"/>
  <c r="M737"/>
  <c r="N737" s="1"/>
  <c r="M738"/>
  <c r="N738" s="1"/>
  <c r="M739"/>
  <c r="N739" s="1"/>
  <c r="M740"/>
  <c r="N740" s="1"/>
  <c r="M741"/>
  <c r="N741" s="1"/>
  <c r="M742"/>
  <c r="N742" s="1"/>
  <c r="M743"/>
  <c r="N743" s="1"/>
  <c r="M744"/>
  <c r="N744" s="1"/>
  <c r="M745"/>
  <c r="N745" s="1"/>
  <c r="M746"/>
  <c r="N746" s="1"/>
  <c r="M747"/>
  <c r="N747" s="1"/>
  <c r="M748"/>
  <c r="N748" s="1"/>
  <c r="M749"/>
  <c r="N749" s="1"/>
  <c r="M750"/>
  <c r="N750" s="1"/>
  <c r="M751"/>
  <c r="N751" s="1"/>
  <c r="M752"/>
  <c r="N752" s="1"/>
  <c r="M753"/>
  <c r="N753" s="1"/>
  <c r="M754"/>
  <c r="N754" s="1"/>
  <c r="M755"/>
  <c r="N755" s="1"/>
  <c r="M756"/>
  <c r="N756" s="1"/>
  <c r="M757"/>
  <c r="N757" s="1"/>
  <c r="M758"/>
  <c r="N758" s="1"/>
  <c r="M759"/>
  <c r="N759" s="1"/>
  <c r="M760"/>
  <c r="N760" s="1"/>
  <c r="M761"/>
  <c r="N761" s="1"/>
  <c r="M762"/>
  <c r="N762" s="1"/>
  <c r="M763"/>
  <c r="N763" s="1"/>
  <c r="M764"/>
  <c r="N764" s="1"/>
  <c r="M765"/>
  <c r="N765" s="1"/>
  <c r="M766"/>
  <c r="N766" s="1"/>
  <c r="M767"/>
  <c r="N767" s="1"/>
  <c r="M768"/>
  <c r="N768" s="1"/>
  <c r="M769"/>
  <c r="N769" s="1"/>
  <c r="M770"/>
  <c r="N770" s="1"/>
  <c r="M771"/>
  <c r="N771" s="1"/>
  <c r="M772"/>
  <c r="N772" s="1"/>
  <c r="M773"/>
  <c r="N773" s="1"/>
  <c r="M774"/>
  <c r="N774" s="1"/>
  <c r="M775"/>
  <c r="N775" s="1"/>
  <c r="M776"/>
  <c r="N776" s="1"/>
  <c r="M777"/>
  <c r="N777" s="1"/>
  <c r="M778"/>
  <c r="N778" s="1"/>
  <c r="M779"/>
  <c r="N779" s="1"/>
  <c r="M780"/>
  <c r="N780" s="1"/>
  <c r="M781"/>
  <c r="N781" s="1"/>
  <c r="M782"/>
  <c r="N782" s="1"/>
  <c r="M783"/>
  <c r="N783" s="1"/>
  <c r="M784"/>
  <c r="N784" s="1"/>
  <c r="M785"/>
  <c r="N785" s="1"/>
  <c r="M786"/>
  <c r="N786" s="1"/>
  <c r="M787"/>
  <c r="N787" s="1"/>
  <c r="M788"/>
  <c r="N788" s="1"/>
  <c r="M789"/>
  <c r="N789" s="1"/>
  <c r="M790"/>
  <c r="N790" s="1"/>
  <c r="M791"/>
  <c r="N791" s="1"/>
  <c r="M792"/>
  <c r="N792" s="1"/>
  <c r="M793"/>
  <c r="N793" s="1"/>
  <c r="M794"/>
  <c r="N794" s="1"/>
  <c r="M795"/>
  <c r="N795" s="1"/>
  <c r="M796"/>
  <c r="N796" s="1"/>
  <c r="M797"/>
  <c r="N797" s="1"/>
  <c r="M798"/>
  <c r="N798" s="1"/>
  <c r="M799"/>
  <c r="N799" s="1"/>
  <c r="M800"/>
  <c r="N800" s="1"/>
  <c r="M801"/>
  <c r="N801" s="1"/>
  <c r="M802"/>
  <c r="N802" s="1"/>
  <c r="M803"/>
  <c r="N803" s="1"/>
  <c r="M804"/>
  <c r="N804" s="1"/>
  <c r="M805"/>
  <c r="N805" s="1"/>
  <c r="M806"/>
  <c r="N806" s="1"/>
  <c r="M807"/>
  <c r="N807" s="1"/>
  <c r="M808"/>
  <c r="N808" s="1"/>
  <c r="M809"/>
  <c r="N809" s="1"/>
  <c r="M810"/>
  <c r="N810" s="1"/>
  <c r="M811"/>
  <c r="N811" s="1"/>
  <c r="M812"/>
  <c r="N812" s="1"/>
  <c r="M813"/>
  <c r="N813" s="1"/>
  <c r="M814"/>
  <c r="N814" s="1"/>
  <c r="M815"/>
  <c r="N815" s="1"/>
  <c r="M816"/>
  <c r="N816" s="1"/>
  <c r="M817"/>
  <c r="N817" s="1"/>
  <c r="M818"/>
  <c r="N818" s="1"/>
  <c r="M819"/>
  <c r="N819" s="1"/>
  <c r="M820"/>
  <c r="N820" s="1"/>
  <c r="M821"/>
  <c r="N821" s="1"/>
  <c r="M822"/>
  <c r="N822" s="1"/>
  <c r="M823"/>
  <c r="N823" s="1"/>
  <c r="M824"/>
  <c r="N824" s="1"/>
  <c r="M825"/>
  <c r="N825" s="1"/>
  <c r="M826"/>
  <c r="N826" s="1"/>
  <c r="M827"/>
  <c r="N827" s="1"/>
  <c r="M828"/>
  <c r="N828" s="1"/>
  <c r="M829"/>
  <c r="N829" s="1"/>
  <c r="M830"/>
  <c r="N830" s="1"/>
  <c r="M831"/>
  <c r="N831" s="1"/>
  <c r="M832"/>
  <c r="N832" s="1"/>
  <c r="M833"/>
  <c r="N833" s="1"/>
  <c r="M834"/>
  <c r="N834" s="1"/>
  <c r="M835"/>
  <c r="N835" s="1"/>
  <c r="M836"/>
  <c r="N836" s="1"/>
  <c r="M837"/>
  <c r="N837" s="1"/>
  <c r="M838"/>
  <c r="N838" s="1"/>
  <c r="M839"/>
  <c r="N839" s="1"/>
  <c r="M840"/>
  <c r="N840" s="1"/>
  <c r="M841"/>
  <c r="N841" s="1"/>
  <c r="M842"/>
  <c r="N842" s="1"/>
  <c r="M843"/>
  <c r="N843" s="1"/>
  <c r="M844"/>
  <c r="N844" s="1"/>
  <c r="M845"/>
  <c r="N845" s="1"/>
  <c r="M846"/>
  <c r="N846" s="1"/>
  <c r="M847"/>
  <c r="N847" s="1"/>
  <c r="M848"/>
  <c r="N848" s="1"/>
  <c r="M849"/>
  <c r="N849" s="1"/>
  <c r="M850"/>
  <c r="N850" s="1"/>
  <c r="M851"/>
  <c r="N851" s="1"/>
  <c r="M852"/>
  <c r="N852" s="1"/>
  <c r="M853"/>
  <c r="N853" s="1"/>
  <c r="M854"/>
  <c r="N854" s="1"/>
  <c r="M855"/>
  <c r="N855" s="1"/>
  <c r="M856"/>
  <c r="N856" s="1"/>
  <c r="M857"/>
  <c r="N857" s="1"/>
  <c r="M858"/>
  <c r="N858" s="1"/>
  <c r="M859"/>
  <c r="N859" s="1"/>
  <c r="M860"/>
  <c r="N860" s="1"/>
  <c r="M861"/>
  <c r="N861" s="1"/>
  <c r="M862"/>
  <c r="N862" s="1"/>
  <c r="M863"/>
  <c r="N863" s="1"/>
  <c r="M864"/>
  <c r="N864" s="1"/>
  <c r="M865"/>
  <c r="N865" s="1"/>
  <c r="M866"/>
  <c r="N866" s="1"/>
  <c r="M867"/>
  <c r="N867" s="1"/>
  <c r="M868"/>
  <c r="N868" s="1"/>
  <c r="M869"/>
  <c r="N869" s="1"/>
  <c r="M870"/>
  <c r="N870" s="1"/>
  <c r="M871"/>
  <c r="N871" s="1"/>
  <c r="M872"/>
  <c r="N872" s="1"/>
  <c r="M873"/>
  <c r="N873" s="1"/>
  <c r="M874"/>
  <c r="N874" s="1"/>
  <c r="M875"/>
  <c r="N875" s="1"/>
  <c r="M876"/>
  <c r="N876" s="1"/>
  <c r="M877"/>
  <c r="N877" s="1"/>
  <c r="M878"/>
  <c r="N878" s="1"/>
  <c r="M879"/>
  <c r="N879" s="1"/>
  <c r="M880"/>
  <c r="N880" s="1"/>
  <c r="M881"/>
  <c r="N881" s="1"/>
  <c r="M882"/>
  <c r="N882" s="1"/>
  <c r="M883"/>
  <c r="N883" s="1"/>
  <c r="M884"/>
  <c r="N884" s="1"/>
  <c r="M885"/>
  <c r="N885" s="1"/>
  <c r="M886"/>
  <c r="N886" s="1"/>
  <c r="M887"/>
  <c r="N887" s="1"/>
  <c r="M888"/>
  <c r="N888" s="1"/>
  <c r="M889"/>
  <c r="N889" s="1"/>
  <c r="M890"/>
  <c r="N890" s="1"/>
  <c r="M891"/>
  <c r="N891" s="1"/>
  <c r="M892"/>
  <c r="N892" s="1"/>
  <c r="M893"/>
  <c r="N893" s="1"/>
  <c r="M894"/>
  <c r="N894" s="1"/>
  <c r="M895"/>
  <c r="N895" s="1"/>
  <c r="M896"/>
  <c r="N896" s="1"/>
  <c r="M897"/>
  <c r="N897" s="1"/>
  <c r="M898"/>
  <c r="N898" s="1"/>
  <c r="M899"/>
  <c r="N899" s="1"/>
  <c r="M900"/>
  <c r="N900" s="1"/>
  <c r="M901"/>
  <c r="N901" s="1"/>
  <c r="M902"/>
  <c r="N902" s="1"/>
  <c r="M903"/>
  <c r="N903" s="1"/>
  <c r="M904"/>
  <c r="N904" s="1"/>
  <c r="M905"/>
  <c r="N905" s="1"/>
  <c r="M906"/>
  <c r="N906" s="1"/>
  <c r="M907"/>
  <c r="N907" s="1"/>
  <c r="M908"/>
  <c r="N908" s="1"/>
  <c r="M909"/>
  <c r="N909" s="1"/>
  <c r="M910"/>
  <c r="N910" s="1"/>
  <c r="M911"/>
  <c r="N911" s="1"/>
  <c r="M912"/>
  <c r="N912" s="1"/>
  <c r="M913"/>
  <c r="N913" s="1"/>
  <c r="M914"/>
  <c r="N914" s="1"/>
  <c r="M915"/>
  <c r="N915" s="1"/>
  <c r="M916"/>
  <c r="N916" s="1"/>
  <c r="M917"/>
  <c r="N917" s="1"/>
  <c r="M918"/>
  <c r="N918" s="1"/>
  <c r="M919"/>
  <c r="N919" s="1"/>
  <c r="M920"/>
  <c r="N920" s="1"/>
  <c r="M921"/>
  <c r="N921" s="1"/>
  <c r="M922"/>
  <c r="N922" s="1"/>
  <c r="M923"/>
  <c r="N923" s="1"/>
  <c r="M924"/>
  <c r="N924" s="1"/>
  <c r="M925"/>
  <c r="N925" s="1"/>
  <c r="M926"/>
  <c r="N926" s="1"/>
  <c r="M927"/>
  <c r="N927" s="1"/>
  <c r="M928"/>
  <c r="N928" s="1"/>
  <c r="M929"/>
  <c r="N929" s="1"/>
  <c r="M930"/>
  <c r="N930" s="1"/>
  <c r="M931"/>
  <c r="N931" s="1"/>
  <c r="M932"/>
  <c r="N932" s="1"/>
  <c r="M933"/>
  <c r="N933" s="1"/>
  <c r="M934"/>
  <c r="N934" s="1"/>
  <c r="M935"/>
  <c r="N935" s="1"/>
  <c r="M936"/>
  <c r="N936" s="1"/>
  <c r="M937"/>
  <c r="N937" s="1"/>
  <c r="M938"/>
  <c r="N938" s="1"/>
  <c r="M939"/>
  <c r="N939" s="1"/>
  <c r="M940"/>
  <c r="N940" s="1"/>
  <c r="M941"/>
  <c r="N941" s="1"/>
  <c r="M942"/>
  <c r="N942" s="1"/>
  <c r="M943"/>
  <c r="N943" s="1"/>
  <c r="M944"/>
  <c r="N944" s="1"/>
  <c r="M945"/>
  <c r="N945" s="1"/>
  <c r="M946"/>
  <c r="N946" s="1"/>
  <c r="M947"/>
  <c r="N947" s="1"/>
  <c r="M948"/>
  <c r="N948" s="1"/>
  <c r="M949"/>
  <c r="N949" s="1"/>
  <c r="M950"/>
  <c r="N950" s="1"/>
  <c r="M951"/>
  <c r="N951" s="1"/>
  <c r="M952"/>
  <c r="N952" s="1"/>
  <c r="M953"/>
  <c r="N953" s="1"/>
  <c r="M954"/>
  <c r="N954" s="1"/>
  <c r="M955"/>
  <c r="N955" s="1"/>
  <c r="M956"/>
  <c r="N956" s="1"/>
  <c r="M957"/>
  <c r="N957" s="1"/>
  <c r="M958"/>
  <c r="N958" s="1"/>
  <c r="M959"/>
  <c r="N959" s="1"/>
  <c r="M960"/>
  <c r="N960" s="1"/>
  <c r="M961"/>
  <c r="N961" s="1"/>
  <c r="M962"/>
  <c r="N962" s="1"/>
  <c r="M963"/>
  <c r="N963" s="1"/>
  <c r="M964"/>
  <c r="N964" s="1"/>
  <c r="M965"/>
  <c r="N965" s="1"/>
  <c r="M966"/>
  <c r="N966" s="1"/>
  <c r="M967"/>
  <c r="N967" s="1"/>
  <c r="M968"/>
  <c r="N968" s="1"/>
  <c r="M969"/>
  <c r="N969" s="1"/>
  <c r="M970"/>
  <c r="N970" s="1"/>
  <c r="M971"/>
  <c r="N971" s="1"/>
  <c r="M972"/>
  <c r="N972" s="1"/>
  <c r="M973"/>
  <c r="N973" s="1"/>
  <c r="M974"/>
  <c r="N974" s="1"/>
  <c r="M975"/>
  <c r="N975" s="1"/>
  <c r="M976"/>
  <c r="N976" s="1"/>
  <c r="M977"/>
  <c r="N977" s="1"/>
  <c r="M978"/>
  <c r="N978" s="1"/>
  <c r="M979"/>
  <c r="N979" s="1"/>
  <c r="M980"/>
  <c r="N980" s="1"/>
  <c r="M981"/>
  <c r="N981" s="1"/>
  <c r="M982"/>
  <c r="N982" s="1"/>
  <c r="M983"/>
  <c r="N983" s="1"/>
  <c r="M984"/>
  <c r="N984" s="1"/>
  <c r="M985"/>
  <c r="N985" s="1"/>
  <c r="M986"/>
  <c r="N986" s="1"/>
  <c r="M987"/>
  <c r="N987" s="1"/>
  <c r="M988"/>
  <c r="N988" s="1"/>
  <c r="M989"/>
  <c r="N989" s="1"/>
  <c r="M990"/>
  <c r="N990" s="1"/>
  <c r="M991"/>
  <c r="N991" s="1"/>
  <c r="M992"/>
  <c r="N992" s="1"/>
  <c r="M993"/>
  <c r="N993" s="1"/>
  <c r="M994"/>
  <c r="N994" s="1"/>
  <c r="M995"/>
  <c r="N995" s="1"/>
  <c r="M996"/>
  <c r="N996" s="1"/>
  <c r="M997"/>
  <c r="N997" s="1"/>
  <c r="M998"/>
  <c r="N998" s="1"/>
  <c r="M999"/>
  <c r="N999" s="1"/>
  <c r="M1000"/>
  <c r="N1000" s="1"/>
  <c r="M1001"/>
  <c r="N1001" s="1"/>
  <c r="B15" i="2"/>
  <c r="B8"/>
  <c r="AT5" i="1"/>
  <c r="AT4"/>
  <c r="AT3"/>
  <c r="C5" i="2"/>
  <c r="I6" i="5" l="1"/>
  <c r="Q6"/>
  <c r="M39"/>
  <c r="M35"/>
  <c r="M38"/>
  <c r="AH7"/>
  <c r="M37"/>
  <c r="L22"/>
  <c r="L23"/>
  <c r="M7"/>
  <c r="X6"/>
  <c r="K46"/>
  <c r="K47" s="1"/>
  <c r="K49" s="1"/>
  <c r="K50" s="1"/>
  <c r="U47" i="1"/>
  <c r="V17"/>
  <c r="V11"/>
  <c r="V10"/>
  <c r="V12" s="1"/>
  <c r="V6"/>
  <c r="V5"/>
  <c r="V4"/>
  <c r="AG29"/>
  <c r="AF28"/>
  <c r="AF27"/>
  <c r="AF24"/>
  <c r="AF23"/>
  <c r="AF20"/>
  <c r="AF19"/>
  <c r="AF17"/>
  <c r="AF16"/>
  <c r="AH13"/>
  <c r="AO7"/>
  <c r="AO8"/>
  <c r="AO9"/>
  <c r="AO10"/>
  <c r="AO11"/>
  <c r="AO12"/>
  <c r="AO13"/>
  <c r="AO14"/>
  <c r="AO15"/>
  <c r="AO16"/>
  <c r="AO17"/>
  <c r="AO18"/>
  <c r="AO19"/>
  <c r="AO20"/>
  <c r="AO21"/>
  <c r="AO22"/>
  <c r="AO23"/>
  <c r="AO6"/>
  <c r="AO5"/>
  <c r="AO4"/>
  <c r="AL8"/>
  <c r="AL9"/>
  <c r="AL10"/>
  <c r="AL11"/>
  <c r="AL12"/>
  <c r="AL13"/>
  <c r="AL14"/>
  <c r="AL15"/>
  <c r="AL16"/>
  <c r="AL17"/>
  <c r="AL18"/>
  <c r="AL19"/>
  <c r="AL20"/>
  <c r="AL21"/>
  <c r="AL22"/>
  <c r="AL23"/>
  <c r="AL7"/>
  <c r="AL6"/>
  <c r="AL5"/>
  <c r="AL4"/>
  <c r="AI11"/>
  <c r="AH11"/>
  <c r="AH10"/>
  <c r="AI10"/>
  <c r="AC3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F5" i="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4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6"/>
  <c r="E5"/>
  <c r="E4"/>
  <c r="AF13" i="1"/>
  <c r="AG10"/>
  <c r="AF6"/>
  <c r="AF10"/>
  <c r="AF11"/>
  <c r="AF5"/>
  <c r="U16" a="1"/>
  <c r="AC2"/>
  <c r="AB2"/>
  <c r="AF7"/>
  <c r="AG11"/>
  <c r="AG13"/>
  <c r="U25" a="1"/>
  <c r="L30" i="5" l="1"/>
  <c r="L21"/>
  <c r="L31"/>
  <c r="L26"/>
  <c r="L25"/>
  <c r="L28"/>
  <c r="L27"/>
  <c r="L24"/>
  <c r="L29"/>
  <c r="U16" i="1"/>
  <c r="U25"/>
  <c r="AF29"/>
  <c r="V7"/>
  <c r="AG28"/>
  <c r="AH29"/>
  <c r="M18" i="5" l="1"/>
  <c r="M19"/>
  <c r="U39" i="1"/>
  <c r="V39" s="1"/>
  <c r="U38"/>
  <c r="V38" s="1"/>
  <c r="U37"/>
  <c r="V37" s="1"/>
  <c r="U36"/>
  <c r="V36" s="1"/>
  <c r="U35"/>
  <c r="V35" s="1"/>
  <c r="U34"/>
  <c r="V34" s="1"/>
  <c r="U33"/>
  <c r="V33" s="1"/>
  <c r="U32"/>
  <c r="V32" s="1"/>
  <c r="U31"/>
  <c r="V31" s="1"/>
  <c r="U30"/>
  <c r="V30" s="1"/>
  <c r="U29"/>
  <c r="V29" s="1"/>
  <c r="U28"/>
  <c r="V28" s="1"/>
  <c r="U27"/>
  <c r="V27" s="1"/>
  <c r="U26"/>
  <c r="V26" s="1"/>
  <c r="U21"/>
  <c r="U20"/>
  <c r="V20" s="1"/>
  <c r="U19"/>
  <c r="V19" s="1"/>
  <c r="U18"/>
  <c r="V18" s="1"/>
  <c r="U17"/>
  <c r="V21" l="1"/>
  <c r="V41"/>
  <c r="C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/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<sst xmlns="http://schemas.openxmlformats.org/spreadsheetml/2006/main" count="20147" uniqueCount="2146">
  <si>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</si>
  <si>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</si>
  <si>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</si>
  <si>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</si>
  <si>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</si>
  <si>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</si>
  <si>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</si>
  <si>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</si>
  <si>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</si>
  <si>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</si>
  <si>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</si>
  <si>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</si>
  <si>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</si>
  <si>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</si>
  <si>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</si>
  <si>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</si>
  <si>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</si>
  <si>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</si>
  <si>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</si>
  <si>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</si>
  <si>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</si>
  <si>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</si>
  <si>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</si>
  <si>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</si>
  <si>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</si>
  <si>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</si>
  <si>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</si>
  <si>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</si>
  <si>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</si>
  <si>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</si>
  <si>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</si>
  <si>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</si>
  <si>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</si>
  <si>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</si>
  <si>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</si>
  <si>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</si>
  <si>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</si>
  <si>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</si>
  <si>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</si>
  <si>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</si>
  <si>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</si>
  <si>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</si>
  <si>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</si>
  <si>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</si>
  <si>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</si>
  <si>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</si>
  <si>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</si>
  <si>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</si>
  <si>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</si>
  <si>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</si>
  <si>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</si>
  <si>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</si>
  <si>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</si>
  <si>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</si>
  <si>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</si>
  <si>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</si>
  <si>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</si>
  <si>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</si>
  <si>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</si>
  <si>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</si>
  <si>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</si>
  <si>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</si>
  <si>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</si>
  <si>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</si>
  <si>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</si>
  <si>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</si>
  <si>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</si>
  <si>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</si>
  <si>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</si>
  <si>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</si>
  <si>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</si>
  <si>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</si>
  <si>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</si>
  <si>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</si>
  <si>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</si>
  <si>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</si>
  <si>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</si>
  <si>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</si>
  <si>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</si>
  <si>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</si>
  <si>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</si>
  <si>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</si>
  <si>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</si>
  <si>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</si>
  <si>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</si>
  <si>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</si>
  <si>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</si>
  <si>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</si>
  <si>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</si>
  <si>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</si>
  <si>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</si>
  <si>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</si>
  <si>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</si>
  <si>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</si>
  <si>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</si>
  <si>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</si>
  <si>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</si>
  <si>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</si>
  <si>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</si>
  <si>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</si>
  <si>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</si>
  <si>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</si>
  <si>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</si>
  <si>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</si>
  <si>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</si>
  <si>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</si>
  <si>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</si>
  <si>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</si>
  <si>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</si>
  <si>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</si>
  <si>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</si>
  <si>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</si>
  <si>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</si>
  <si>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</si>
  <si>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</si>
  <si>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</si>
  <si>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</si>
  <si>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</si>
  <si>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</si>
  <si>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</si>
  <si>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</si>
  <si>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</si>
  <si>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</si>
  <si>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</si>
  <si>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</si>
  <si>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</si>
  <si>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</si>
  <si>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</si>
  <si>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</si>
  <si>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</si>
  <si>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</si>
  <si>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</si>
  <si>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</si>
  <si>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</si>
  <si>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</si>
  <si>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</si>
  <si>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</si>
  <si>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</si>
  <si>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</si>
  <si>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</si>
  <si>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</si>
  <si>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</si>
  <si>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</si>
  <si>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</si>
  <si>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</si>
  <si>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</si>
  <si>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</si>
  <si>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</si>
  <si>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</si>
  <si>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</si>
  <si>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</si>
  <si>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</si>
  <si>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</si>
  <si>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</si>
  <si>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</si>
  <si>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</si>
  <si>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</si>
  <si>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</si>
  <si>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</si>
  <si>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</si>
  <si>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</si>
  <si>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</si>
  <si>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</si>
  <si>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</si>
  <si>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</si>
  <si>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</si>
  <si>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</si>
  <si>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</si>
  <si>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</si>
  <si>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</si>
  <si>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</si>
  <si>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</si>
  <si>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</si>
  <si>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</si>
  <si>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</si>
  <si>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</si>
  <si>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</si>
  <si>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</si>
  <si>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</si>
  <si>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</si>
  <si>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</si>
  <si>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</si>
  <si>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</si>
  <si>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</si>
  <si>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</si>
  <si>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</si>
  <si>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</si>
  <si>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</si>
  <si>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</si>
  <si>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</si>
  <si>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</si>
  <si>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</si>
  <si>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</si>
  <si>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</si>
  <si>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</si>
  <si>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</si>
  <si>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</si>
  <si>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</si>
  <si>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</si>
  <si>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</si>
  <si>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</si>
  <si>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</si>
  <si>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</si>
  <si>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</si>
  <si>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</si>
  <si>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</si>
  <si>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</si>
  <si>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</si>
  <si>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</si>
  <si>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</si>
  <si>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</si>
  <si>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</si>
  <si>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</si>
  <si>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</si>
  <si>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</si>
  <si>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</si>
  <si>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</si>
  <si>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</si>
  <si>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</si>
  <si>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</si>
  <si>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</si>
  <si>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</si>
  <si>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</si>
  <si>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</si>
  <si>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</si>
  <si>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</si>
  <si>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</si>
  <si>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</si>
  <si>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</si>
  <si>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</si>
  <si>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</si>
  <si>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</si>
  <si>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</si>
  <si>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</si>
  <si>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</si>
  <si>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</si>
  <si>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</si>
  <si>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</si>
  <si>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</si>
  <si>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</si>
  <si>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</si>
  <si>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</si>
  <si>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</si>
  <si>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</si>
  <si>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</si>
  <si>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</si>
  <si>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</si>
  <si>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</si>
  <si>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</si>
  <si>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</si>
  <si>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</si>
  <si>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</si>
  <si>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</si>
  <si>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</si>
  <si>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</si>
  <si>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</si>
  <si>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</si>
  <si>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</si>
  <si>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</si>
  <si>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</si>
  <si>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</si>
  <si>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</si>
  <si>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</si>
  <si>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</si>
  <si>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</si>
  <si>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</si>
  <si>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</si>
  <si>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</si>
  <si>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</si>
  <si>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</si>
  <si>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</si>
  <si>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</si>
  <si>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</si>
  <si>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</si>
  <si>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</si>
  <si>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</si>
  <si>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</si>
  <si>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</si>
  <si>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</si>
  <si>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</si>
  <si>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</si>
  <si>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</si>
  <si>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</si>
  <si>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</si>
  <si>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</si>
  <si>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</si>
  <si>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</si>
  <si>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</si>
  <si>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</si>
  <si>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</si>
  <si>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</si>
  <si>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</si>
  <si>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</si>
  <si>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</si>
  <si>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</si>
  <si>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</si>
  <si>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</si>
  <si>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</si>
  <si>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</si>
  <si>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</si>
  <si>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</si>
  <si>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</si>
  <si>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</si>
  <si>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</si>
  <si>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</si>
  <si>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</si>
  <si>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</si>
  <si>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</si>
  <si>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</si>
  <si>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</si>
  <si>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</si>
  <si>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</si>
  <si>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</si>
  <si>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</si>
  <si>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</si>
  <si>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</si>
  <si>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</si>
  <si>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</si>
  <si>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</si>
  <si>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</si>
  <si>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</si>
  <si>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</si>
  <si>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</si>
  <si>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</si>
  <si>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</si>
  <si>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</si>
  <si>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</si>
  <si>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</si>
  <si>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</si>
  <si>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</si>
  <si>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</si>
  <si>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</si>
  <si>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</si>
  <si>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</si>
  <si>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</si>
  <si>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</si>
  <si>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</si>
  <si>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</si>
  <si>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</si>
  <si>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</si>
  <si>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</si>
  <si>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</si>
  <si>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</si>
  <si>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</si>
  <si>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</si>
  <si>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</si>
  <si>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</si>
  <si>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</si>
  <si>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</si>
  <si>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</si>
  <si>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</si>
  <si>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</si>
  <si>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</si>
  <si>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</si>
  <si>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</si>
  <si>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</si>
  <si>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</si>
  <si>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</si>
  <si>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</si>
  <si>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</si>
  <si>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</si>
  <si>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</si>
  <si>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</si>
  <si>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</si>
  <si>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</si>
  <si>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</si>
  <si>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</si>
  <si>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</si>
  <si>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</si>
  <si>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</si>
  <si>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</si>
  <si>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</si>
  <si>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</si>
  <si>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</si>
  <si>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</si>
  <si>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</si>
  <si>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</si>
  <si>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</si>
  <si>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</si>
  <si>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</si>
  <si>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</si>
  <si>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</si>
  <si>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</si>
  <si>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</si>
  <si>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</si>
  <si>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</si>
  <si>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</si>
  <si>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</si>
  <si>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</si>
  <si>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</si>
  <si>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</si>
  <si>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</si>
  <si>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</si>
  <si>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</si>
  <si>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</si>
  <si>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</si>
  <si>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</si>
  <si>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</si>
  <si>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</si>
  <si>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</si>
  <si>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</si>
  <si>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</si>
  <si>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</si>
  <si>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</si>
  <si>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</si>
  <si>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</si>
  <si>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</si>
  <si>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</si>
  <si>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</si>
  <si>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</si>
  <si>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</si>
  <si>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</si>
  <si>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</si>
  <si>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</si>
  <si>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</si>
  <si>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</si>
  <si>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</si>
  <si>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</si>
  <si>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</si>
  <si>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</si>
  <si>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</si>
  <si>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</si>
  <si>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</si>
  <si>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</si>
  <si>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</si>
  <si>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</si>
  <si>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</si>
  <si>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</si>
  <si>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</si>
  <si>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</si>
  <si>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</si>
  <si>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</si>
  <si>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</si>
  <si>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</si>
  <si>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</si>
  <si>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</si>
  <si>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</si>
  <si>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</si>
  <si>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</si>
  <si>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</si>
  <si>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</si>
  <si>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</si>
  <si>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</si>
  <si>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</si>
  <si>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</si>
  <si>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</si>
  <si>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</si>
  <si>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</si>
  <si>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</si>
  <si>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</si>
  <si>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</si>
  <si>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</si>
  <si>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</si>
  <si>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</si>
  <si>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</si>
  <si>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</si>
  <si>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</si>
  <si>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</si>
  <si>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</si>
  <si>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</si>
  <si>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</si>
  <si>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</si>
  <si>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</si>
  <si>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</si>
  <si>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</si>
  <si>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</si>
  <si>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</si>
  <si>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</si>
  <si>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</si>
  <si>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</si>
  <si>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</si>
  <si>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</si>
  <si>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</si>
  <si>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</si>
  <si>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</si>
  <si>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</si>
  <si>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</si>
  <si>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</si>
  <si>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</si>
  <si>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</si>
  <si>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</si>
  <si>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</si>
  <si>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</si>
  <si>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</si>
  <si>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</si>
  <si>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</si>
  <si>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</si>
  <si>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</si>
  <si>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</si>
  <si>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</si>
  <si>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</si>
  <si>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</si>
  <si>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</si>
  <si>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</si>
  <si>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</si>
  <si>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</si>
  <si>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</si>
  <si>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</si>
  <si>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</si>
  <si>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</si>
  <si>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</si>
  <si>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</si>
  <si>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</si>
  <si>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</si>
  <si>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</si>
  <si>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</si>
  <si>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</si>
  <si>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</si>
  <si>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</si>
  <si>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</si>
  <si>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</si>
  <si>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</si>
  <si>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</si>
  <si>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</si>
  <si>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</si>
  <si>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</si>
  <si>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</si>
  <si>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</si>
  <si>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</si>
  <si>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</si>
  <si>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</si>
  <si>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</si>
  <si>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</si>
  <si>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</si>
  <si>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</si>
  <si>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</si>
  <si>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</si>
  <si>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</si>
  <si>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</si>
  <si>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</si>
  <si>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</si>
  <si>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</si>
  <si>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</si>
  <si>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</si>
  <si>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</si>
  <si>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</si>
  <si>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</si>
  <si>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</si>
  <si>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</si>
  <si>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</si>
  <si>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</si>
  <si>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</si>
  <si>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</si>
  <si>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</si>
  <si>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</si>
  <si>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</si>
  <si>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</si>
  <si>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</si>
  <si>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</si>
  <si>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</si>
  <si>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</si>
  <si>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</si>
  <si>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</si>
  <si>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</si>
  <si>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</si>
  <si>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</si>
  <si>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</si>
  <si>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</si>
  <si>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</si>
  <si>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</si>
  <si>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</si>
  <si>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</si>
  <si>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</si>
  <si>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</si>
  <si>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</si>
  <si>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</si>
  <si>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</si>
  <si>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</si>
  <si>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</si>
  <si>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</si>
  <si>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</si>
  <si>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</si>
  <si>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</si>
  <si>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</si>
  <si>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</si>
  <si>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</si>
  <si>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</si>
  <si>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</si>
  <si>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</si>
  <si>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</si>
  <si>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</si>
  <si>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</si>
  <si>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</si>
  <si>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</si>
  <si>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</si>
  <si>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</si>
  <si>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</si>
  <si>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</si>
  <si>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</si>
  <si>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</si>
  <si>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</si>
  <si>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</si>
  <si>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</si>
  <si>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</si>
  <si>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</si>
  <si>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</si>
  <si>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</si>
  <si>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</si>
  <si>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</si>
  <si>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</si>
  <si>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</si>
  <si>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</si>
  <si>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</si>
  <si>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</si>
  <si>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</si>
  <si>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</si>
  <si>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</si>
  <si>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</si>
  <si>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</si>
  <si>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</si>
  <si>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</si>
  <si>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</si>
  <si>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</si>
  <si>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</si>
  <si>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</si>
  <si>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</si>
  <si>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</si>
  <si>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</si>
  <si>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</si>
  <si>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</si>
  <si>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</si>
  <si>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</si>
  <si>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</si>
  <si>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</si>
  <si>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</si>
  <si>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</si>
  <si>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</si>
  <si>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</si>
  <si>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</si>
  <si>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</si>
  <si>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</si>
  <si>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</si>
  <si>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</si>
  <si>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</si>
  <si>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</si>
  <si>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</si>
  <si>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</si>
  <si>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</si>
  <si>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</si>
  <si>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</si>
  <si>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</si>
  <si>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</si>
  <si>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</si>
  <si>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</si>
  <si>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</si>
  <si>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</si>
  <si>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</si>
  <si>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</si>
  <si>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</si>
  <si>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</si>
  <si>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</si>
  <si>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</si>
  <si>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</si>
  <si>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</si>
  <si>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</si>
  <si>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</si>
  <si>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</si>
  <si>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</si>
  <si>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</si>
  <si>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</si>
  <si>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</si>
  <si>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</si>
  <si>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</si>
  <si>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</si>
  <si>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</si>
  <si>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</si>
  <si>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</si>
  <si>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</si>
  <si>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</si>
  <si>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</si>
  <si>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</si>
  <si>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</si>
  <si>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</si>
  <si>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</si>
  <si>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</si>
  <si>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</si>
  <si>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</si>
  <si>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</si>
  <si>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</si>
  <si>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</si>
  <si>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</si>
  <si>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</si>
  <si>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</si>
  <si>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</si>
  <si>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</si>
  <si>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</si>
  <si>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</si>
  <si>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</si>
  <si>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</si>
  <si>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</si>
  <si>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</si>
  <si>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</si>
  <si>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</si>
  <si>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</si>
  <si>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</si>
  <si>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</si>
  <si>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</si>
  <si>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</si>
  <si>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</si>
  <si>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</si>
  <si>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</si>
  <si>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</si>
  <si>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</si>
  <si>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</si>
  <si>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</si>
  <si>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</si>
  <si>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</si>
  <si>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</si>
  <si>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</si>
  <si>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</si>
  <si>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</si>
  <si>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</si>
  <si>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</si>
  <si>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</si>
  <si>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</si>
  <si>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</si>
  <si>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</si>
  <si>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</si>
  <si>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</si>
  <si>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</si>
  <si>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</si>
  <si>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</si>
  <si>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</si>
  <si>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</si>
  <si>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</si>
  <si>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</si>
  <si>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</si>
  <si>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</si>
  <si>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</si>
  <si>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</si>
  <si>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</si>
  <si>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</si>
  <si>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</si>
  <si>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</si>
  <si>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</si>
  <si>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</si>
  <si>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</si>
  <si>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</si>
  <si>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</si>
  <si>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</si>
  <si>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</si>
  <si>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</si>
  <si>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</si>
  <si>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</si>
  <si>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</si>
  <si>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</si>
  <si>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</si>
  <si>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</si>
  <si>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</si>
  <si>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</si>
  <si>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</si>
  <si>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</si>
  <si>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</si>
  <si>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</si>
  <si>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</si>
  <si>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</si>
  <si>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</si>
  <si>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</si>
  <si>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</si>
  <si>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</si>
  <si>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</si>
  <si>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</si>
  <si>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</si>
  <si>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</si>
  <si>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</si>
  <si>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</si>
  <si>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</si>
  <si>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</si>
  <si>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</si>
  <si>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</si>
  <si>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</si>
  <si>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</si>
  <si>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</si>
  <si>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</si>
  <si>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</si>
  <si>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</si>
  <si>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</si>
  <si>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</si>
  <si>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</si>
  <si>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</si>
  <si>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</si>
  <si>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</si>
  <si>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</si>
  <si>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</si>
  <si>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</si>
  <si>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</si>
  <si>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</si>
  <si>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</si>
  <si>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</si>
  <si>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</si>
  <si>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</si>
  <si>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</si>
  <si>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</si>
  <si>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</si>
  <si>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</si>
  <si>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</si>
  <si>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</si>
  <si>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</si>
  <si>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</si>
  <si>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</si>
  <si>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</si>
  <si>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</si>
  <si>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</si>
  <si>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</si>
  <si>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</si>
  <si>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</si>
  <si>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</si>
  <si>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</si>
  <si>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</si>
  <si>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</si>
  <si>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</si>
  <si>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</si>
  <si>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</si>
  <si>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</si>
  <si>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</si>
  <si>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</si>
  <si>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</si>
  <si>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</si>
  <si>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</si>
  <si>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</si>
  <si>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</si>
  <si>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</si>
  <si>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</si>
  <si>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</si>
  <si>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</si>
  <si>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</si>
  <si>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</si>
  <si>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</si>
  <si>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</si>
  <si>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</si>
  <si>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</si>
  <si>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</si>
  <si>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</si>
  <si>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</si>
  <si>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</si>
  <si>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</si>
  <si>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</si>
  <si>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</si>
  <si>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</si>
  <si>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</si>
  <si>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</si>
  <si>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</si>
  <si>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</si>
  <si>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</si>
  <si>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</si>
  <si>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</si>
  <si>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</si>
  <si>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</si>
  <si>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</si>
  <si>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</si>
  <si>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</si>
  <si>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</si>
  <si>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</si>
  <si>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</si>
  <si>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</si>
  <si>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</si>
  <si>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</si>
  <si>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</si>
  <si>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</si>
  <si>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</si>
  <si>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</si>
  <si>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</si>
  <si>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</si>
  <si>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</si>
  <si>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</si>
  <si>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</si>
  <si>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</si>
  <si>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</si>
  <si>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</si>
  <si>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</si>
  <si>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</si>
  <si>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</si>
  <si>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</si>
  <si>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</si>
  <si>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</si>
  <si>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</si>
  <si>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</si>
  <si>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</si>
  <si>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</si>
  <si>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</si>
  <si>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</si>
  <si>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</si>
  <si>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</si>
  <si>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</si>
  <si>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</si>
  <si>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</si>
  <si>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</si>
  <si>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</si>
  <si>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</si>
  <si>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</si>
  <si>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</si>
  <si>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</si>
  <si>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</si>
  <si>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</si>
  <si>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</si>
  <si>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</si>
  <si>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</si>
  <si>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</si>
  <si>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</si>
  <si>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</si>
  <si>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</si>
  <si>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</si>
  <si>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</si>
  <si>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</si>
  <si>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</si>
  <si>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</si>
  <si>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</si>
  <si>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</si>
  <si>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</si>
  <si>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</si>
  <si>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</si>
  <si>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</si>
  <si>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</si>
  <si>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</si>
  <si>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</si>
  <si>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</si>
  <si>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</si>
  <si>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</si>
  <si>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</si>
  <si>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</si>
  <si>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</si>
  <si>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</si>
  <si>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</si>
  <si>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</si>
  <si>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</si>
  <si>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</si>
  <si>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</si>
  <si>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</si>
  <si>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</si>
  <si>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</si>
  <si>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</si>
  <si>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</si>
  <si>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</si>
  <si>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</si>
  <si>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</si>
  <si>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</si>
  <si>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</si>
  <si>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</si>
  <si>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</si>
  <si>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</si>
  <si>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</si>
  <si>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</si>
  <si>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</si>
  <si>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</si>
  <si>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</si>
  <si>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</si>
  <si>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</si>
  <si>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</si>
  <si>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</si>
  <si>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</si>
  <si>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</si>
  <si>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</si>
  <si>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</si>
  <si>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</si>
  <si>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</si>
  <si>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</si>
  <si>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</si>
  <si>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</si>
  <si>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</si>
  <si>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</si>
  <si>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</si>
  <si>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</si>
  <si>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</si>
  <si>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</si>
  <si>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</si>
  <si>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</si>
  <si>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</si>
  <si>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</si>
  <si>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</si>
  <si>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</si>
  <si>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</si>
  <si>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</si>
  <si>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</si>
  <si>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</si>
  <si>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</si>
  <si>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</si>
  <si>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</si>
  <si>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</si>
  <si>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</si>
  <si>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</si>
  <si>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</si>
  <si>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</si>
  <si>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</si>
  <si>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</si>
  <si>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</si>
  <si>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</si>
  <si>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</si>
  <si>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</si>
  <si>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</si>
  <si>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</si>
  <si>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</si>
  <si>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</si>
  <si>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</si>
  <si>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</si>
  <si>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</si>
  <si>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</si>
  <si>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</si>
  <si>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</si>
  <si>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</si>
  <si>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</si>
  <si>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</si>
  <si>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</si>
  <si>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</si>
  <si>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</si>
  <si>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</si>
  <si>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</si>
  <si>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</si>
  <si>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</si>
  <si>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</si>
  <si>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</si>
  <si>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</si>
  <si>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</si>
  <si>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</si>
  <si>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</si>
  <si>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</si>
  <si>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</si>
  <si>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</si>
  <si>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</si>
  <si>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</si>
  <si>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</si>
  <si>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</si>
  <si>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</si>
  <si>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</si>
  <si>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</si>
  <si>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</si>
  <si>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</si>
  <si>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</si>
  <si>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</si>
  <si>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</si>
  <si>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</si>
  <si>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</si>
  <si>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</si>
  <si>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</si>
  <si>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</si>
  <si>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</si>
  <si>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</si>
  <si>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</si>
  <si>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</si>
  <si>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</si>
  <si>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</si>
  <si>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</si>
  <si>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</si>
  <si>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</si>
  <si>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</si>
  <si>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</si>
  <si>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</si>
  <si>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</si>
  <si>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</si>
  <si>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</si>
  <si>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</si>
  <si>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</si>
  <si>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</si>
  <si>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</si>
  <si>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</si>
  <si>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</si>
  <si>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</si>
  <si>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</si>
  <si>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</si>
  <si>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</si>
  <si>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</si>
  <si>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</si>
  <si>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</si>
  <si>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</si>
  <si>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</si>
  <si>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</si>
  <si>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</si>
  <si>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</si>
  <si>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</si>
  <si>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</si>
  <si>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</si>
  <si>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</si>
  <si>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</si>
  <si>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</si>
  <si>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</si>
  <si>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</si>
  <si>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</si>
  <si>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</si>
  <si>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</si>
  <si>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</si>
  <si>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</si>
  <si>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</si>
  <si>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</si>
  <si>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</si>
  <si>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</si>
  <si>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</si>
  <si>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</si>
  <si>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</si>
  <si>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</si>
  <si>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</si>
  <si>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</si>
  <si>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</si>
  <si>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</si>
  <si>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</si>
  <si>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</si>
  <si>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</si>
  <si>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</si>
  <si>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</si>
  <si>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</si>
  <si>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</si>
  <si>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</si>
  <si>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</si>
  <si>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</si>
  <si>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</si>
  <si>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</si>
  <si>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</si>
  <si>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</si>
  <si>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</si>
  <si>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</si>
  <si>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</si>
  <si>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</si>
  <si>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</si>
  <si>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</si>
  <si>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</si>
  <si>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</si>
  <si>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</si>
  <si>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</si>
  <si>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</si>
  <si>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</si>
  <si>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</si>
  <si>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</si>
  <si>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</si>
  <si>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</si>
  <si>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</si>
  <si>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</si>
  <si>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</si>
  <si>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</si>
  <si>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</si>
  <si>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</si>
  <si>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</si>
  <si>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</si>
  <si>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</si>
  <si>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</si>
  <si>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</si>
  <si>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</si>
  <si>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</si>
  <si>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</si>
  <si>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</si>
  <si>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</si>
  <si>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</si>
  <si>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</si>
  <si>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</si>
  <si>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</si>
  <si>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</si>
  <si>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</si>
  <si>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</si>
  <si>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</si>
  <si>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</si>
  <si>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</si>
  <si>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</si>
  <si>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</si>
  <si>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</si>
  <si>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</si>
  <si>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</si>
  <si>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</si>
  <si>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</si>
  <si>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</si>
  <si>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</si>
  <si>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</si>
  <si>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</si>
  <si>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</si>
  <si>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</si>
  <si>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</si>
  <si>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</si>
  <si>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</si>
  <si>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</si>
  <si>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</si>
  <si>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</si>
  <si>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</si>
  <si>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</si>
  <si>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</si>
  <si>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</si>
  <si>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</si>
  <si>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</si>
  <si>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</si>
  <si>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</si>
  <si>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</si>
  <si>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</si>
  <si>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</si>
  <si>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</si>
  <si>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</si>
  <si>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</si>
  <si>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</si>
  <si>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</si>
  <si>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</si>
  <si>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</si>
  <si>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</si>
  <si>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</si>
  <si>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</si>
  <si>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</si>
  <si>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</si>
  <si>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</si>
  <si>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</si>
  <si>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</si>
  <si>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</si>
  <si>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</si>
  <si>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</si>
  <si>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</si>
  <si>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</si>
  <si>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</si>
  <si>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</si>
  <si>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</si>
  <si>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</si>
  <si>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</si>
  <si>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</si>
  <si>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</si>
  <si>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</si>
  <si>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</si>
  <si>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</si>
  <si>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</si>
  <si>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</si>
  <si>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</si>
  <si>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</si>
  <si>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</si>
  <si>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</si>
  <si>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</si>
  <si>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</si>
  <si>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</si>
  <si>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</si>
  <si>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</si>
  <si>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</si>
  <si>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</si>
  <si>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</si>
  <si>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</si>
  <si>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</si>
  <si>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</si>
  <si>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</si>
  <si>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</si>
  <si>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</si>
  <si>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</si>
  <si>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</si>
  <si>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</si>
  <si>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</si>
  <si>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</si>
  <si>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</si>
  <si>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</si>
  <si>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</si>
  <si>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</si>
  <si>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</si>
  <si>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</si>
  <si>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</si>
  <si>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</si>
  <si>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</si>
  <si>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</si>
  <si>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</si>
  <si>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</si>
  <si>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</si>
  <si>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</si>
  <si>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</si>
  <si>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</si>
  <si>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</si>
  <si>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</si>
  <si>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</si>
  <si>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</si>
  <si>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</si>
  <si>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</si>
  <si>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</si>
  <si>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</si>
  <si>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</si>
  <si>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</si>
  <si>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</si>
  <si>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</si>
  <si>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</si>
  <si>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</si>
  <si>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</si>
  <si>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</si>
  <si>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</si>
  <si>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</si>
  <si>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</si>
  <si>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</si>
  <si>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</si>
  <si>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</si>
  <si>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</si>
  <si>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</si>
  <si>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</si>
  <si>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</si>
  <si>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</si>
  <si>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</si>
  <si>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</si>
  <si>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</si>
  <si>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</si>
  <si>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</si>
  <si>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</si>
  <si>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</si>
  <si>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</si>
  <si>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</si>
  <si>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</si>
  <si>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</si>
  <si>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</si>
  <si>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</si>
  <si>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</si>
  <si>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</si>
  <si>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</si>
  <si>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</si>
  <si>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</si>
  <si>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</si>
  <si>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</si>
  <si>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</si>
  <si>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</si>
  <si>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</si>
  <si>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</si>
  <si>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</si>
  <si>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</si>
  <si>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</si>
  <si>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</si>
  <si>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</si>
  <si>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</si>
  <si>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</si>
  <si>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</si>
  <si>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</si>
  <si>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</si>
  <si>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</si>
  <si>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</si>
  <si>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</si>
  <si>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</si>
  <si>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</si>
  <si>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</si>
  <si>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</si>
  <si>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</si>
  <si>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</si>
  <si>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</si>
  <si>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</si>
  <si>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</si>
  <si>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</si>
  <si>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</si>
  <si>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</si>
  <si>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</si>
  <si>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</si>
  <si>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</si>
  <si>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</si>
  <si>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</si>
  <si>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</si>
  <si>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</si>
  <si>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</si>
  <si>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</si>
  <si>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</si>
  <si>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</si>
  <si>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</si>
  <si>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</si>
  <si>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</si>
  <si>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</si>
  <si>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</si>
  <si>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</si>
  <si>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</si>
  <si>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</si>
  <si>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</si>
  <si>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</si>
  <si>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</si>
  <si>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</si>
  <si>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</si>
  <si>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</si>
  <si>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</si>
  <si>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</si>
  <si>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</si>
  <si>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</si>
  <si>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</si>
  <si>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</si>
  <si>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</si>
  <si>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</si>
  <si>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</si>
  <si>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</si>
  <si>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</si>
  <si>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</si>
  <si>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</si>
  <si>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</si>
  <si>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</si>
  <si>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</si>
  <si>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</si>
  <si>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</si>
  <si>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</si>
  <si>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</si>
  <si>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</si>
  <si>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</si>
  <si>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</si>
  <si>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</si>
  <si>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</si>
  <si>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</si>
  <si>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</si>
  <si>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</si>
  <si>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</si>
  <si>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</si>
  <si>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</si>
  <si>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</si>
  <si>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</si>
  <si>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</si>
  <si>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</si>
  <si>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</si>
  <si>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</si>
  <si>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</si>
  <si>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</si>
  <si>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</si>
  <si>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</si>
  <si>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</si>
  <si>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</si>
  <si>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</si>
  <si>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</si>
  <si>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</si>
  <si>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</si>
  <si>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</si>
  <si>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</si>
  <si>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</si>
  <si>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</si>
  <si>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</si>
  <si>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</si>
  <si>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</si>
  <si>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</si>
  <si>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</si>
  <si>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</si>
  <si>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</si>
  <si>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</si>
  <si>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</si>
  <si>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</si>
  <si>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</si>
  <si>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</si>
  <si>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</si>
  <si>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</si>
  <si>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</si>
  <si>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</si>
  <si>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</si>
  <si>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</si>
  <si>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</si>
  <si>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</si>
  <si>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</si>
  <si>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</si>
  <si>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</si>
  <si>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</si>
  <si>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</si>
  <si>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</si>
  <si>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</si>
  <si>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</si>
  <si>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</si>
  <si>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</si>
  <si>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</si>
  <si>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</si>
  <si>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</si>
  <si>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</si>
  <si>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</si>
  <si>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</si>
  <si>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</si>
  <si>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</si>
  <si>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</si>
  <si>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</si>
  <si>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</si>
  <si>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</si>
  <si>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</si>
  <si>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</si>
  <si>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</si>
  <si>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</si>
  <si>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</si>
  <si>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</si>
  <si>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</si>
  <si>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</si>
  <si>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</si>
  <si>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</si>
  <si>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</si>
  <si>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</si>
  <si>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</si>
  <si>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</si>
  <si>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</si>
  <si>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</si>
  <si>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</si>
  <si>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</si>
  <si>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</si>
  <si>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</si>
  <si>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</si>
  <si>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</si>
  <si>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</si>
  <si>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</si>
  <si>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</si>
  <si>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</si>
  <si>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</si>
  <si>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</si>
  <si>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</si>
  <si>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</si>
  <si>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</si>
  <si>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</si>
  <si>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</si>
  <si>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</si>
  <si>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</si>
  <si>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</si>
  <si>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</si>
  <si>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</si>
  <si>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</si>
  <si>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</si>
  <si>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</si>
  <si>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</si>
  <si>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</si>
  <si>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</si>
  <si>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</si>
  <si>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</si>
  <si>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</si>
  <si>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</si>
  <si>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</si>
  <si>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</si>
  <si>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</si>
  <si>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</si>
  <si>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</si>
  <si>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</si>
  <si>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</si>
  <si>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</si>
  <si>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</si>
  <si>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</si>
  <si>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</si>
  <si>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</si>
  <si>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</si>
  <si>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</si>
  <si>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</si>
  <si>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</si>
  <si>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</si>
  <si>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</si>
  <si>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</si>
  <si>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</si>
  <si>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</si>
  <si>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</si>
  <si>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</si>
  <si>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</si>
  <si>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</si>
  <si>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</si>
  <si>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</si>
  <si>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</si>
  <si>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</si>
  <si>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</si>
  <si>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</si>
  <si>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</si>
  <si>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</si>
  <si>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</si>
  <si>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</si>
  <si>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</si>
  <si>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</si>
  <si>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</si>
  <si>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</si>
  <si>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</si>
  <si>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</si>
  <si>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</si>
  <si>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</si>
  <si>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</si>
  <si>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</si>
  <si>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</si>
  <si>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</si>
  <si>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</si>
  <si>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</si>
  <si>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</si>
  <si>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</si>
  <si>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</si>
  <si>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</si>
  <si>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</si>
  <si>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</si>
  <si>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</si>
  <si>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</si>
  <si>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</si>
  <si>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</si>
  <si>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</si>
  <si>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</si>
  <si>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</si>
  <si>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</si>
  <si>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</si>
  <si>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</si>
  <si>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</si>
  <si>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</si>
  <si>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</si>
  <si>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</si>
  <si>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</si>
  <si>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</si>
  <si>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</si>
  <si>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</si>
  <si>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</si>
  <si>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</si>
  <si>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</si>
  <si>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</si>
  <si>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</si>
  <si>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</si>
  <si>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</si>
  <si>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</si>
  <si>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</si>
  <si>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</si>
  <si>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</si>
  <si>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</si>
  <si>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</si>
  <si>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</si>
  <si>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</si>
  <si>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</si>
  <si>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</si>
  <si>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</si>
  <si>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</si>
  <si>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</si>
  <si>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</si>
  <si>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</si>
  <si>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</si>
  <si>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</si>
  <si>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</si>
  <si>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</si>
  <si>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</si>
  <si>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</si>
  <si>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</si>
  <si>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</si>
  <si>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</si>
  <si>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</si>
  <si>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</si>
  <si>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</si>
  <si>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</si>
  <si>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</si>
  <si>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</si>
  <si>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</si>
  <si>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</si>
  <si>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</si>
  <si>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</si>
  <si>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</si>
  <si>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</si>
  <si>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</si>
  <si>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</si>
  <si>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</si>
  <si>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</si>
  <si>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</si>
  <si>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</si>
  <si>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</si>
  <si>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</si>
  <si>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</si>
  <si>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</si>
  <si>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</si>
  <si>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</si>
  <si>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</si>
  <si>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</si>
  <si>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</si>
  <si>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</si>
  <si>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</si>
  <si>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</si>
  <si>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</si>
  <si>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</si>
  <si>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</si>
  <si>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</si>
  <si>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</si>
  <si>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</si>
  <si>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</si>
  <si>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</si>
  <si>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</si>
  <si>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</si>
  <si>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</si>
  <si>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</si>
  <si>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</si>
  <si>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</si>
  <si>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</si>
  <si>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</si>
  <si>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</si>
  <si>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</si>
  <si>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</si>
  <si>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</si>
  <si>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</si>
  <si>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</si>
  <si>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</si>
  <si>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</si>
  <si>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</si>
  <si>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</si>
  <si>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</si>
  <si>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</si>
  <si>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</si>
  <si>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</si>
  <si>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</si>
  <si>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</si>
  <si>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</si>
  <si>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</si>
  <si>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</si>
  <si>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</si>
  <si>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</si>
  <si>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</si>
  <si>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</si>
  <si>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</si>
  <si>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</si>
  <si>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</si>
  <si>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</si>
  <si>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</si>
  <si>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</si>
  <si>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</si>
  <si>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</si>
  <si>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</si>
  <si>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</si>
  <si>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</si>
  <si>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</si>
  <si>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</si>
  <si>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</si>
  <si>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</si>
  <si>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</si>
  <si>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</si>
  <si>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</si>
  <si>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</si>
  <si>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</si>
  <si>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</si>
  <si>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</si>
  <si>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</si>
  <si>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</si>
  <si>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</si>
  <si>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</si>
  <si>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</si>
  <si>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</si>
  <si>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</si>
  <si>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</si>
  <si>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</si>
  <si>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</si>
  <si>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</si>
  <si>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</si>
  <si>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</si>
  <si>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</si>
  <si>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</si>
  <si>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</si>
  <si>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</si>
  <si>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</si>
  <si>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</si>
  <si>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</si>
  <si>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</si>
  <si>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</si>
  <si>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</si>
  <si>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</si>
  <si>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</si>
  <si>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</si>
  <si>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</si>
  <si>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</si>
  <si>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</si>
  <si>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</si>
  <si>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</si>
  <si>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</si>
  <si>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</si>
  <si>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</si>
  <si>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</si>
  <si>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</si>
  <si>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</si>
  <si>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</si>
  <si>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</si>
  <si>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</si>
  <si>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</si>
  <si>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</si>
  <si>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</si>
  <si>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</si>
  <si>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</si>
  <si>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</si>
  <si>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</si>
  <si>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</si>
  <si>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</si>
  <si>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</si>
  <si>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</si>
  <si>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</si>
  <si>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</si>
  <si>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</si>
  <si>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</si>
  <si>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</si>
  <si>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</si>
  <si>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</si>
  <si>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</si>
  <si>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</si>
  <si>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</si>
  <si>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</si>
  <si>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</si>
  <si>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</si>
  <si>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</si>
  <si>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</si>
  <si>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</si>
  <si>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</si>
  <si>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</si>
  <si>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</si>
  <si>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</si>
  <si>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</si>
  <si>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</si>
  <si>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</si>
  <si>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</si>
  <si>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</si>
  <si>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</si>
  <si>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</si>
  <si>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</si>
  <si>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</si>
  <si>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</si>
  <si>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</si>
  <si>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</si>
  <si>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</si>
  <si>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</si>
  <si>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</si>
  <si>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</si>
  <si>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</si>
  <si>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</si>
  <si>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</si>
  <si>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</si>
  <si>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</si>
  <si>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</si>
  <si>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</si>
  <si>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</si>
  <si>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</si>
  <si>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</si>
  <si>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</si>
  <si>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</si>
  <si>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</si>
  <si>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</si>
  <si>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</si>
  <si>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</si>
  <si>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</si>
  <si>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</si>
  <si>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</si>
  <si>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</si>
  <si>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</si>
  <si>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</si>
  <si>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</si>
  <si>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</si>
  <si>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</si>
  <si>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</si>
  <si>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</si>
  <si>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</si>
  <si>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</si>
  <si>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</si>
  <si>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</si>
  <si>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</si>
  <si>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</si>
  <si>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</si>
  <si>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</si>
  <si>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</si>
  <si>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</si>
  <si>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</si>
  <si>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</si>
  <si>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</si>
  <si>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</si>
  <si>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</si>
  <si>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</si>
  <si>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</si>
  <si>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</si>
  <si>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</si>
  <si>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</si>
  <si>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</si>
  <si>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</si>
  <si>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</si>
  <si>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</si>
  <si>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</si>
  <si>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</si>
  <si>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</si>
  <si>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</si>
  <si>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</si>
  <si>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</si>
  <si>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</si>
  <si>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</si>
  <si>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</si>
  <si>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</si>
  <si>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</si>
  <si>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</si>
  <si>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</si>
  <si>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</si>
  <si>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</si>
  <si>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</si>
  <si>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</si>
  <si>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</si>
  <si>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</si>
  <si>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</si>
  <si>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</si>
  <si>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</si>
  <si>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</si>
  <si>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</si>
  <si>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</si>
  <si>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</si>
  <si>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</si>
  <si>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</si>
  <si>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</si>
  <si>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</si>
  <si>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</si>
  <si>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</si>
  <si>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</si>
  <si>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</si>
  <si>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</si>
  <si>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</si>
  <si>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</si>
  <si>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</si>
  <si>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</si>
  <si>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</si>
  <si>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</si>
  <si>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</si>
  <si>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</si>
  <si>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</si>
  <si>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</si>
  <si>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</si>
  <si>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</si>
  <si>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</si>
  <si>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</si>
  <si>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</si>
  <si>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</si>
  <si>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</si>
  <si>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</si>
  <si>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</si>
  <si>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</si>
  <si>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</si>
  <si>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</si>
  <si>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</si>
  <si>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</si>
  <si>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</si>
  <si>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</si>
  <si>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</si>
  <si>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</si>
  <si>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</si>
  <si>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</si>
  <si>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</si>
  <si>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</si>
  <si>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</si>
  <si>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</si>
  <si>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</si>
  <si>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</si>
  <si>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</si>
  <si>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</si>
  <si>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</si>
  <si>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</si>
  <si>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</si>
  <si>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</si>
  <si>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</si>
  <si>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</si>
  <si>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</si>
  <si>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</si>
  <si>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</si>
  <si>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</si>
  <si>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</si>
  <si>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</si>
  <si>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</si>
  <si>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</si>
  <si>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</si>
  <si>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</si>
  <si>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</si>
  <si>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</si>
  <si>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</si>
  <si>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</si>
  <si>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</si>
  <si>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</si>
  <si>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</si>
  <si>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</si>
  <si>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</si>
  <si>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</si>
  <si>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</si>
  <si>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</si>
  <si>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</si>
  <si>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</si>
  <si>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</si>
  <si>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</si>
  <si>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</si>
  <si>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</si>
  <si>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</si>
  <si>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</si>
  <si>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</si>
  <si>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</si>
  <si>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</si>
  <si>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</si>
  <si>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</si>
  <si>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</si>
  <si>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</si>
  <si>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</si>
  <si>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</si>
  <si>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</si>
  <si>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</si>
  <si>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</si>
  <si>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</si>
  <si>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</si>
  <si>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</si>
  <si>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</si>
  <si>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</si>
  <si>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</si>
  <si>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</si>
  <si>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</si>
  <si>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</si>
  <si>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</si>
  <si>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</si>
  <si>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</si>
  <si>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</si>
  <si>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</si>
  <si>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</si>
  <si>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</si>
  <si>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</si>
  <si>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</si>
  <si>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</si>
  <si>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</si>
  <si>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</si>
  <si>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</si>
  <si>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</si>
  <si>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</si>
  <si>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</si>
  <si>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</si>
  <si>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</si>
  <si>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</si>
  <si>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</si>
  <si>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</si>
  <si>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</si>
  <si>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</si>
  <si>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</si>
  <si>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</si>
  <si>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</si>
  <si>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</si>
  <si>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</si>
  <si>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</si>
  <si>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Number of managers in the company?</t>
  </si>
  <si>
    <t>Number of Sr. Managers in the company?</t>
  </si>
  <si>
    <t>Calculate the total Budget allocated for salary of all the employees?</t>
  </si>
  <si>
    <t>Calculate the Final salary after the Bonus for every employee?( Create a new column for this)</t>
  </si>
  <si>
    <t>Find the maximum salary drawn by any of the employees?</t>
  </si>
  <si>
    <t>Find the minimum salary drawn ?</t>
  </si>
  <si>
    <t>Find the Second highest salary drawn in the organization?</t>
  </si>
  <si>
    <t>Find the third highest salary drawn in the organization?</t>
  </si>
  <si>
    <t>Find the 10th highest salary drawn in the organization?</t>
  </si>
  <si>
    <t>Find the second lowest salary drawn in the organization?</t>
  </si>
  <si>
    <t>Find the third lowest salary drawn in the organization?</t>
  </si>
  <si>
    <t>Find the 13th lowest salary drawn in the organization?</t>
  </si>
  <si>
    <t>Find the number of Dirrectors in the organization?</t>
  </si>
  <si>
    <t>Find the number of Analysts in the organization?</t>
  </si>
  <si>
    <t>Find the number of Sr. Analysts in the organization?</t>
  </si>
  <si>
    <t>Find the number of employees those are leaving the organization(exit date)?</t>
  </si>
  <si>
    <t>Find the number of employees working in the IT department?</t>
  </si>
  <si>
    <t>Find the number of Asian emplloyees living in the US?</t>
  </si>
  <si>
    <t>Find the number of Female Employees living in Chicago?</t>
  </si>
  <si>
    <t>Find the number of Caucasians living in United States?</t>
  </si>
  <si>
    <t>Find the number of employees whose salary is more than $99,999?</t>
  </si>
  <si>
    <t>Find the number of employees who are either living in China or are Asian?</t>
  </si>
  <si>
    <t>Find the number of employees who are either from "Research &amp; Development" or "Corporate" Business unit?</t>
  </si>
  <si>
    <t>Find the number of Managers in the Engineering Department?</t>
  </si>
  <si>
    <t>Find the number of Female Asian Employees working in the organization?</t>
  </si>
  <si>
    <t>Find the number of Employees working in the Research &amp; Development unit of the IT Department?</t>
  </si>
  <si>
    <t>Find the number of Employeees that do not have an exit date?</t>
  </si>
  <si>
    <t>Find the oldest Employee working in the orgnization?</t>
  </si>
  <si>
    <t>Find the Youngest Employee in the Organization?</t>
  </si>
  <si>
    <t>Find the Number of employees who are younger than 30 years of age?</t>
  </si>
  <si>
    <t>Find the number of Employees who are elder than 50 Years?</t>
  </si>
  <si>
    <t>Find the number of Managers in the Engineering Department whose age is less than 35?</t>
  </si>
  <si>
    <t>Find the number of Male Directors in the  Human Resource Department who are elder than 50 years of the age?</t>
  </si>
  <si>
    <t>Find the number of Asian Females working in the Engineering department who are younger than 35 years of age?</t>
  </si>
  <si>
    <t>Find the date of hiring of the employee who was first hired by the organization?</t>
  </si>
  <si>
    <t>Find the date of the most recent hiring in the organization?</t>
  </si>
  <si>
    <t>Find the date of hiring of the second hired employee in the organization?</t>
  </si>
  <si>
    <t>Find the date of hiring of the third hired employee in the organization?</t>
  </si>
  <si>
    <t>Find the number of IT Coordinators in the organization?</t>
  </si>
  <si>
    <t>Create a new column (IT Female) and Fill "Yes" if the employee is female and from IT department else fill "NO"?</t>
  </si>
  <si>
    <t>Find the Number of Black feamles working in the organization?</t>
  </si>
  <si>
    <t>Find the number of Female Directors in the organization?</t>
  </si>
  <si>
    <t>Find the number of Female Managers in the Sales?</t>
  </si>
  <si>
    <t>percentiles</t>
  </si>
  <si>
    <t>values</t>
  </si>
  <si>
    <t>exlusive</t>
  </si>
  <si>
    <t>inclusive</t>
  </si>
  <si>
    <t>exclusive</t>
  </si>
  <si>
    <t>Quartiles</t>
  </si>
  <si>
    <t>min</t>
  </si>
  <si>
    <t>max</t>
  </si>
  <si>
    <t>kth largest salary</t>
  </si>
  <si>
    <t>kth smallest salary</t>
  </si>
  <si>
    <t>Median</t>
  </si>
  <si>
    <t>Minimum bonus</t>
  </si>
  <si>
    <t>Maximum bonus</t>
  </si>
  <si>
    <t>First employee</t>
  </si>
  <si>
    <t>Latest employee</t>
  </si>
  <si>
    <t>recent left</t>
  </si>
  <si>
    <t>how many emplyees hired</t>
  </si>
  <si>
    <t>How many left the organization</t>
  </si>
  <si>
    <t>How many retained</t>
  </si>
  <si>
    <t>Nation</t>
  </si>
  <si>
    <t>Employees</t>
  </si>
  <si>
    <t>Countif</t>
  </si>
  <si>
    <t>Asian/US/Female/&lt;40</t>
  </si>
  <si>
    <t>SOLUATION</t>
  </si>
  <si>
    <t>QUESTION</t>
  </si>
  <si>
    <t>NO OF MANAGER</t>
  </si>
  <si>
    <t>SR. MANGER</t>
  </si>
  <si>
    <t>total salary</t>
  </si>
  <si>
    <t>TOTAL SALARY</t>
  </si>
  <si>
    <t>TOTAL BONUS</t>
  </si>
  <si>
    <t>M column</t>
  </si>
  <si>
    <t xml:space="preserve">complete salary </t>
  </si>
  <si>
    <t>??????????</t>
  </si>
  <si>
    <t>???????</t>
  </si>
  <si>
    <t>I can highlight only</t>
  </si>
  <si>
    <t>????</t>
  </si>
  <si>
    <t>???</t>
  </si>
  <si>
    <t>IT FEMALE</t>
  </si>
  <si>
    <t>variance</t>
  </si>
  <si>
    <t>S.D.</t>
  </si>
  <si>
    <t>data</t>
  </si>
  <si>
    <t>find the value of SD</t>
  </si>
  <si>
    <t>mean</t>
  </si>
  <si>
    <t>S.D</t>
  </si>
  <si>
    <t>QUESTION 1</t>
  </si>
  <si>
    <t>DATA</t>
  </si>
  <si>
    <t>coficient of SD</t>
  </si>
  <si>
    <t>mean (average)</t>
  </si>
  <si>
    <t>QUESTION 3 of SD</t>
  </si>
  <si>
    <t>QUESTION EG</t>
  </si>
  <si>
    <t xml:space="preserve">interquartile range </t>
  </si>
  <si>
    <t>IQR</t>
  </si>
  <si>
    <t>q1</t>
  </si>
  <si>
    <t>q2</t>
  </si>
  <si>
    <t>QUESTION 3</t>
  </si>
  <si>
    <t>Q1</t>
  </si>
  <si>
    <t>Q3</t>
  </si>
  <si>
    <t>question 4</t>
  </si>
  <si>
    <t>Median= 45, IQR = 35, UQ=65.</t>
  </si>
  <si>
    <t xml:space="preserve">meadian </t>
  </si>
  <si>
    <t>UQ</t>
  </si>
  <si>
    <t>LOWER Q ?</t>
  </si>
  <si>
    <t>Q2</t>
  </si>
  <si>
    <t>MEDIAN</t>
  </si>
  <si>
    <t xml:space="preserve">PERCENTAILE SCORE </t>
  </si>
  <si>
    <t>QUESTION 5</t>
  </si>
  <si>
    <t>VALUE</t>
  </si>
  <si>
    <t>QUESTION 6</t>
  </si>
  <si>
    <t>PLANTS HIGHT</t>
  </si>
  <si>
    <t>UPER Q</t>
  </si>
  <si>
    <t>QUESTION 7</t>
  </si>
  <si>
    <t>FIRST 10 PRIM NUMBER</t>
  </si>
  <si>
    <t>QUESTION 8</t>
  </si>
  <si>
    <t>2,1,,9,0,2,3,5,6</t>
  </si>
  <si>
    <t>sd</t>
  </si>
  <si>
    <t>QUESTION 2</t>
  </si>
  <si>
    <t xml:space="preserve"> </t>
  </si>
  <si>
    <t>??????</t>
  </si>
  <si>
    <t>QUESTION 4</t>
  </si>
  <si>
    <t>VARIANCE</t>
  </si>
  <si>
    <t>SD</t>
  </si>
  <si>
    <t>question 3</t>
  </si>
  <si>
    <t>average</t>
  </si>
  <si>
    <t xml:space="preserve">coficient sd </t>
  </si>
  <si>
    <t xml:space="preserve">CENTER VARIANCE </t>
  </si>
  <si>
    <t xml:space="preserve">SD </t>
  </si>
  <si>
    <t xml:space="preserve">STANDERD DEVIATION </t>
  </si>
  <si>
    <t>FIRST 5 POSITIVE INGEGER</t>
  </si>
  <si>
    <t xml:space="preserve">mean </t>
  </si>
  <si>
    <t>question 9</t>
  </si>
  <si>
    <t>question 10</t>
  </si>
  <si>
    <t>FIVE NUMBER SUMMARY</t>
  </si>
  <si>
    <t>MIN (Q0)</t>
  </si>
  <si>
    <t>MEDIAN (Q2)</t>
  </si>
  <si>
    <t>MAX (Q4)</t>
  </si>
  <si>
    <t>QUESTION 9</t>
  </si>
  <si>
    <t>odd numbers between ( 20 – 30).</t>
  </si>
  <si>
    <t xml:space="preserve">DATA </t>
  </si>
  <si>
    <t>MEAN</t>
  </si>
  <si>
    <t>VARI</t>
  </si>
  <si>
    <t>QUSTION 10</t>
  </si>
  <si>
    <t>VARIAN</t>
  </si>
  <si>
    <t>SQRT</t>
  </si>
  <si>
    <t>VAR</t>
  </si>
  <si>
    <t>ungroupd data</t>
  </si>
  <si>
    <t>var</t>
  </si>
  <si>
    <t xml:space="preserve">first five positive ingegers </t>
  </si>
  <si>
    <t xml:space="preserve">10 first FIBONACCI NUMBER </t>
  </si>
  <si>
    <t>vari</t>
  </si>
  <si>
    <t>10 ODD NUMBER</t>
  </si>
  <si>
    <t>QUESTION  8</t>
  </si>
  <si>
    <t>QUESTION 10</t>
  </si>
  <si>
    <t>RUN IN 10 MATCH</t>
  </si>
  <si>
    <t>female_black</t>
  </si>
  <si>
    <t>IT Female</t>
  </si>
  <si>
    <t>Final_salary</t>
  </si>
  <si>
    <t>Check the new column (IT_Female) - total 119 (Yes)</t>
  </si>
  <si>
    <t>Check the new column (final_salary)</t>
  </si>
  <si>
    <t>Solutions</t>
  </si>
  <si>
    <t>Questions</t>
  </si>
</sst>
</file>

<file path=xl/styles.xml><?xml version="1.0" encoding="utf-8"?>
<styleSheet xmlns="http://schemas.openxmlformats.org/spreadsheetml/2006/main">
  <numFmts count="7">
    <numFmt numFmtId="44" formatCode="_ &quot;₹&quot;\ * #,##0.00_ ;_ &quot;₹&quot;\ * \-#,##0.00_ ;_ &quot;₹&quot;\ * &quot;-&quot;??_ ;_ @_ "/>
    <numFmt numFmtId="164" formatCode="#,##0%_);\(#,##0%\);0%_)"/>
    <numFmt numFmtId="165" formatCode="[$-F800]dddd\,\ mmmm\ dd\,\ yyyy"/>
    <numFmt numFmtId="166" formatCode="&quot;$&quot;#,##0.00"/>
    <numFmt numFmtId="167" formatCode="0.0%"/>
    <numFmt numFmtId="168" formatCode="&quot;₹&quot;\ #,##0.00"/>
    <numFmt numFmtId="170" formatCode="&quot;$&quot;#,##0_);\(&quot;$&quot;#,##0\);&quot;$&quot;0_)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1" fillId="2" borderId="2" xfId="0" applyNumberFormat="1" applyFont="1" applyFill="1" applyBorder="1" applyAlignment="1">
      <alignment horizontal="left"/>
    </xf>
    <xf numFmtId="165" fontId="0" fillId="0" borderId="0" xfId="0" applyNumberFormat="1"/>
    <xf numFmtId="165" fontId="1" fillId="2" borderId="3" xfId="0" applyNumberFormat="1" applyFont="1" applyFill="1" applyBorder="1" applyAlignment="1">
      <alignment horizontal="left"/>
    </xf>
    <xf numFmtId="166" fontId="0" fillId="0" borderId="0" xfId="0" applyNumberFormat="1"/>
    <xf numFmtId="166" fontId="1" fillId="2" borderId="2" xfId="0" applyNumberFormat="1" applyFont="1" applyFill="1" applyBorder="1" applyAlignment="1">
      <alignment horizontal="left"/>
    </xf>
    <xf numFmtId="9" fontId="0" fillId="0" borderId="0" xfId="1" applyFont="1"/>
    <xf numFmtId="167" fontId="0" fillId="0" borderId="0" xfId="1" applyNumberFormat="1" applyFont="1"/>
    <xf numFmtId="0" fontId="3" fillId="0" borderId="0" xfId="0" applyFont="1"/>
    <xf numFmtId="0" fontId="4" fillId="3" borderId="0" xfId="0" applyFont="1" applyFill="1" applyAlignment="1">
      <alignment horizontal="left"/>
    </xf>
    <xf numFmtId="166" fontId="1" fillId="4" borderId="2" xfId="0" applyNumberFormat="1" applyFont="1" applyFill="1" applyBorder="1" applyAlignment="1">
      <alignment horizontal="left"/>
    </xf>
    <xf numFmtId="166" fontId="0" fillId="0" borderId="0" xfId="0" applyNumberFormat="1" applyAlignment="1">
      <alignment horizontal="left"/>
    </xf>
    <xf numFmtId="44" fontId="0" fillId="0" borderId="0" xfId="0" applyNumberFormat="1"/>
    <xf numFmtId="0" fontId="0" fillId="0" borderId="0" xfId="0" applyNumberFormat="1"/>
    <xf numFmtId="0" fontId="0" fillId="0" borderId="0" xfId="0" applyBorder="1"/>
    <xf numFmtId="165" fontId="0" fillId="0" borderId="0" xfId="0" applyNumberFormat="1" applyBorder="1"/>
    <xf numFmtId="166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Border="1"/>
    <xf numFmtId="16" fontId="0" fillId="0" borderId="0" xfId="0" applyNumberFormat="1"/>
    <xf numFmtId="2" fontId="0" fillId="0" borderId="0" xfId="0" applyNumberFormat="1"/>
    <xf numFmtId="0" fontId="5" fillId="0" borderId="0" xfId="0" applyFont="1"/>
    <xf numFmtId="14" fontId="0" fillId="0" borderId="0" xfId="0" applyNumberFormat="1"/>
    <xf numFmtId="0" fontId="0" fillId="5" borderId="0" xfId="0" applyFill="1"/>
    <xf numFmtId="168" fontId="0" fillId="0" borderId="0" xfId="0" applyNumberFormat="1"/>
    <xf numFmtId="0" fontId="0" fillId="0" borderId="0" xfId="0" applyAlignment="1">
      <alignment horizontal="center"/>
    </xf>
    <xf numFmtId="0" fontId="5" fillId="3" borderId="0" xfId="0" applyFont="1" applyFill="1"/>
    <xf numFmtId="0" fontId="0" fillId="3" borderId="0" xfId="0" applyFill="1"/>
    <xf numFmtId="0" fontId="0" fillId="6" borderId="0" xfId="0" applyFill="1"/>
    <xf numFmtId="168" fontId="0" fillId="6" borderId="0" xfId="0" applyNumberFormat="1" applyFill="1"/>
    <xf numFmtId="0" fontId="6" fillId="6" borderId="0" xfId="0" applyFont="1" applyFill="1"/>
    <xf numFmtId="0" fontId="7" fillId="6" borderId="0" xfId="0" applyFont="1" applyFill="1"/>
    <xf numFmtId="168" fontId="6" fillId="6" borderId="0" xfId="0" applyNumberFormat="1" applyFont="1" applyFill="1"/>
    <xf numFmtId="0" fontId="6" fillId="6" borderId="0" xfId="0" applyFont="1" applyFill="1" applyAlignment="1"/>
    <xf numFmtId="0" fontId="0" fillId="0" borderId="0" xfId="0" applyAlignment="1"/>
    <xf numFmtId="0" fontId="0" fillId="6" borderId="0" xfId="0" applyFill="1" applyAlignment="1"/>
    <xf numFmtId="0" fontId="0" fillId="3" borderId="0" xfId="0" applyFill="1" applyAlignment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center"/>
    </xf>
    <xf numFmtId="0" fontId="0" fillId="4" borderId="0" xfId="0" applyFill="1"/>
    <xf numFmtId="0" fontId="8" fillId="4" borderId="0" xfId="0" applyFont="1" applyFill="1" applyAlignment="1"/>
    <xf numFmtId="0" fontId="0" fillId="7" borderId="0" xfId="0" applyFill="1"/>
    <xf numFmtId="0" fontId="0" fillId="8" borderId="0" xfId="0" applyFill="1"/>
    <xf numFmtId="17" fontId="0" fillId="0" borderId="0" xfId="0" applyNumberFormat="1"/>
    <xf numFmtId="17" fontId="0" fillId="0" borderId="5" xfId="0" applyNumberFormat="1" applyBorder="1" applyAlignment="1">
      <alignment vertical="top" wrapText="1"/>
    </xf>
    <xf numFmtId="0" fontId="0" fillId="0" borderId="0" xfId="0" applyAlignment="1">
      <alignment horizontal="center"/>
    </xf>
    <xf numFmtId="0" fontId="8" fillId="4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170" fontId="0" fillId="0" borderId="0" xfId="0" applyNumberFormat="1"/>
  </cellXfs>
  <cellStyles count="2">
    <cellStyle name="Normal" xfId="0" builtinId="0"/>
    <cellStyle name="Percent" xfId="1" builtinId="5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0" formatCode="General"/>
    </dxf>
    <dxf>
      <numFmt numFmtId="0" formatCode="General"/>
    </dxf>
    <dxf>
      <numFmt numFmtId="170" formatCode="&quot;$&quot;#,##0_);\(&quot;$&quot;#,##0\);&quot;$&quot;0_)"/>
    </dxf>
    <dxf>
      <numFmt numFmtId="165" formatCode="[$-F800]dddd\,\ mmmm\ dd\,\ yyyy"/>
    </dxf>
    <dxf>
      <numFmt numFmtId="164" formatCode="#,##0%_);\(#,##0%\);0%_)"/>
    </dxf>
    <dxf>
      <numFmt numFmtId="170" formatCode="&quot;$&quot;#,##0_);\(&quot;$&quot;#,##0\);&quot;$&quot;0_)"/>
    </dxf>
    <dxf>
      <numFmt numFmtId="165" formatCode="[$-F800]dddd\,\ mmmm\ dd\,\ yyyy"/>
    </dxf>
    <dxf>
      <numFmt numFmtId="165" formatCode="[$-F800]dddd\,\ mmmm\ dd\,\ yyyy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4" formatCode="#,##0%_);\(#,##0%\);0%_)"/>
    </dxf>
    <dxf>
      <numFmt numFmtId="166" formatCode="&quot;$&quot;#,##0.00"/>
    </dxf>
    <dxf>
      <numFmt numFmtId="165" formatCode="[$-F800]dddd\,\ mmmm\ dd\,\ 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886320</xdr:colOff>
      <xdr:row>8</xdr:row>
      <xdr:rowOff>2520</xdr:rowOff>
    </xdr:from>
    <xdr:to>
      <xdr:col>17</xdr:col>
      <xdr:colOff>905760</xdr:colOff>
      <xdr:row>8</xdr:row>
      <xdr:rowOff>23400</xdr:rowOff>
    </xdr:to>
    <xdr:pic>
      <xdr:nvPicPr>
        <xdr:cNvPr id="2" name="Ink 1">
          <a:extLst>
            <a:ext uri="{FF2B5EF4-FFF2-40B4-BE49-F238E27FC236}">
              <a16:creationId xmlns:a16="http://schemas.microsoft.com/office/drawing/2014/main" xmlns:mc="http://schemas.openxmlformats.org/markup-compatibility/2006" xmlns="" id="{C3EE625C-F909-403F-E0E6-B5754663159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9380" y="1456920"/>
          <a:ext cx="37080" cy="38520"/>
        </a:xfrm>
        <a:prstGeom prst="rect">
          <a:avLst/>
        </a:prstGeom>
      </xdr:spPr>
    </xdr:pic>
    <xdr:clientData/>
  </xdr:twoCellAnchor>
  <xdr:twoCellAnchor editAs="oneCell">
    <xdr:from>
      <xdr:col>27</xdr:col>
      <xdr:colOff>363480</xdr:colOff>
      <xdr:row>3</xdr:row>
      <xdr:rowOff>51480</xdr:rowOff>
    </xdr:from>
    <xdr:to>
      <xdr:col>27</xdr:col>
      <xdr:colOff>366720</xdr:colOff>
      <xdr:row>3</xdr:row>
      <xdr:rowOff>60480</xdr:rowOff>
    </xdr:to>
    <xdr:pic>
      <xdr:nvPicPr>
        <xdr:cNvPr id="3" name="Ink 2">
          <a:extLst>
            <a:ext uri="{FF2B5EF4-FFF2-40B4-BE49-F238E27FC236}">
              <a16:creationId xmlns:a16="http://schemas.microsoft.com/office/drawing/2014/main" xmlns:mc="http://schemas.openxmlformats.org/markup-compatibility/2006" xmlns="" id="{AD7B9039-9163-13D0-AE77-6B63219A9EBC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36540" y="591120"/>
          <a:ext cx="20880" cy="26640"/>
        </a:xfrm>
        <a:prstGeom prst="rect">
          <a:avLst/>
        </a:prstGeom>
      </xdr:spPr>
    </xdr:pic>
    <xdr:clientData/>
  </xdr:twoCellAnchor>
  <xdr:twoCellAnchor editAs="oneCell">
    <xdr:from>
      <xdr:col>34</xdr:col>
      <xdr:colOff>163260</xdr:colOff>
      <xdr:row>9</xdr:row>
      <xdr:rowOff>69840</xdr:rowOff>
    </xdr:from>
    <xdr:to>
      <xdr:col>34</xdr:col>
      <xdr:colOff>163620</xdr:colOff>
      <xdr:row>9</xdr:row>
      <xdr:rowOff>69840</xdr:rowOff>
    </xdr:to>
    <xdr:pic>
      <xdr:nvPicPr>
        <xdr:cNvPr id="7" name="Ink 6">
          <a:extLst>
            <a:ext uri="{FF2B5EF4-FFF2-40B4-BE49-F238E27FC236}">
              <a16:creationId xmlns:a16="http://schemas.microsoft.com/office/drawing/2014/main" xmlns:mc="http://schemas.openxmlformats.org/markup-compatibility/2006" xmlns="" id="{7399E796-D0FE-4208-1181-B4938EDC904C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03980" y="1706760"/>
          <a:ext cx="18000" cy="18000"/>
        </a:xfrm>
        <a:prstGeom prst="rect">
          <a:avLst/>
        </a:prstGeom>
      </xdr:spPr>
    </xdr:pic>
    <xdr:clientData/>
  </xdr:twoCellAnchor>
  <xdr:twoCellAnchor editAs="oneCell">
    <xdr:from>
      <xdr:col>34</xdr:col>
      <xdr:colOff>442260</xdr:colOff>
      <xdr:row>9</xdr:row>
      <xdr:rowOff>41040</xdr:rowOff>
    </xdr:from>
    <xdr:to>
      <xdr:col>34</xdr:col>
      <xdr:colOff>446220</xdr:colOff>
      <xdr:row>9</xdr:row>
      <xdr:rowOff>41040</xdr:rowOff>
    </xdr:to>
    <xdr:pic>
      <xdr:nvPicPr>
        <xdr:cNvPr id="8" name="Ink 7">
          <a:extLst>
            <a:ext uri="{FF2B5EF4-FFF2-40B4-BE49-F238E27FC236}">
              <a16:creationId xmlns:a16="http://schemas.microsoft.com/office/drawing/2014/main" xmlns:mc="http://schemas.openxmlformats.org/markup-compatibility/2006" xmlns="" id="{3961759B-D4B8-0A51-4D0A-2C81868C34DA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82620" y="1678320"/>
          <a:ext cx="21600" cy="20520"/>
        </a:xfrm>
        <a:prstGeom prst="rect">
          <a:avLst/>
        </a:prstGeom>
      </xdr:spPr>
    </xdr:pic>
    <xdr:clientData/>
  </xdr:twoCellAnchor>
  <xdr:twoCellAnchor editAs="oneCell">
    <xdr:from>
      <xdr:col>33</xdr:col>
      <xdr:colOff>265500</xdr:colOff>
      <xdr:row>9</xdr:row>
      <xdr:rowOff>131400</xdr:rowOff>
    </xdr:from>
    <xdr:to>
      <xdr:col>33</xdr:col>
      <xdr:colOff>287820</xdr:colOff>
      <xdr:row>9</xdr:row>
      <xdr:rowOff>131400</xdr:rowOff>
    </xdr:to>
    <xdr:pic>
      <xdr:nvPicPr>
        <xdr:cNvPr id="9" name="Ink 8">
          <a:extLst>
            <a:ext uri="{FF2B5EF4-FFF2-40B4-BE49-F238E27FC236}">
              <a16:creationId xmlns:a16="http://schemas.microsoft.com/office/drawing/2014/main" xmlns:mc="http://schemas.openxmlformats.org/markup-compatibility/2006" xmlns="" id="{562CF10C-EA21-6ABF-A782-9A17209F613B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120420" y="1768320"/>
          <a:ext cx="39960" cy="18720"/>
        </a:xfrm>
        <a:prstGeom prst="rect">
          <a:avLst/>
        </a:prstGeom>
      </xdr:spPr>
    </xdr:pic>
    <xdr:clientData/>
  </xdr:twoCellAnchor>
  <xdr:twoCellAnchor editAs="oneCell">
    <xdr:from>
      <xdr:col>34</xdr:col>
      <xdr:colOff>312660</xdr:colOff>
      <xdr:row>9</xdr:row>
      <xdr:rowOff>90720</xdr:rowOff>
    </xdr:from>
    <xdr:to>
      <xdr:col>34</xdr:col>
      <xdr:colOff>349740</xdr:colOff>
      <xdr:row>9</xdr:row>
      <xdr:rowOff>90720</xdr:rowOff>
    </xdr:to>
    <xdr:pic>
      <xdr:nvPicPr>
        <xdr:cNvPr id="10" name="Ink 9">
          <a:extLst>
            <a:ext uri="{FF2B5EF4-FFF2-40B4-BE49-F238E27FC236}">
              <a16:creationId xmlns:a16="http://schemas.microsoft.com/office/drawing/2014/main" xmlns:mc="http://schemas.openxmlformats.org/markup-compatibility/2006" xmlns="" id="{1E2ED655-F6D9-F7AE-5488-63F5B17F1DF4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853020" y="1728000"/>
          <a:ext cx="54720" cy="194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3</xdr:row>
      <xdr:rowOff>7620</xdr:rowOff>
    </xdr:from>
    <xdr:to>
      <xdr:col>5</xdr:col>
      <xdr:colOff>198120</xdr:colOff>
      <xdr:row>17</xdr:row>
      <xdr:rowOff>106680</xdr:rowOff>
    </xdr:to>
    <xdr:sp macro="" textlink="">
      <xdr:nvSpPr>
        <xdr:cNvPr id="2" name="Oval 1"/>
        <xdr:cNvSpPr/>
      </xdr:nvSpPr>
      <xdr:spPr>
        <a:xfrm>
          <a:off x="586740" y="838200"/>
          <a:ext cx="2941320" cy="2659380"/>
        </a:xfrm>
        <a:prstGeom prst="ellipse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BL_Employees" displayName="TBL_Employees" ref="A1:R1002" totalsRowShown="0" headerRowDxfId="16">
  <autoFilter ref="A1:R1002">
    <filterColumn colId="7"/>
  </autoFilter>
  <tableColumns count="18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18" name="IT FEMALE" dataDxfId="15"/>
    <tableColumn id="8" name="Age"/>
    <tableColumn id="9" name="Hire Date" dataDxfId="14"/>
    <tableColumn id="10" name="Annual Salary" dataDxfId="13"/>
    <tableColumn id="11" name="Bonus %" dataDxfId="12"/>
    <tableColumn id="15" name="TOTAL BONUS" dataDxfId="11">
      <calculatedColumnFormula>TBL_Employees[[#This Row],[Annual Salary]]*TBL_Employees[[#This Row],[Bonus %]]</calculatedColumnFormula>
    </tableColumn>
    <tableColumn id="16" name="TOTAL SALARY" dataDxfId="10">
      <calculatedColumnFormula>SUM(TBL_Employees[[#This Row],[Annual Salary]],TBL_Employees[[#This Row],[TOTAL BONUS]])</calculatedColumnFormula>
    </tableColumn>
    <tableColumn id="17" name="complete salary " dataDxfId="9">
      <calculatedColumnFormula>TBL_Employees[[#This Row],[Annual Salary]]*TBL_Employees[[#This Row],[Bonus %]]/100+TBL_Employees[[#This Row],[Annual Salary]]</calculatedColumnFormula>
    </tableColumn>
    <tableColumn id="12" name="Country"/>
    <tableColumn id="13" name="City"/>
    <tableColumn id="14" name="Exit Date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BL_Employees3" displayName="TBL_Employees3" ref="A1:Q1001" totalsRowShown="0" headerRowDxfId="0">
  <autoFilter ref="A1:Q1001"/>
  <tableColumns count="17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7"/>
    <tableColumn id="10" name="Annual Salary" dataDxfId="6"/>
    <tableColumn id="11" name="Bonus %" dataDxfId="5"/>
    <tableColumn id="12" name="Country"/>
    <tableColumn id="13" name="City"/>
    <tableColumn id="14" name="Exit Date" dataDxfId="4"/>
    <tableColumn id="15" name="Final_salary" dataDxfId="3">
      <calculatedColumnFormula>TBL_Employees3[[#This Row],[Annual Salary]]+TBL_Employees3[[#This Row],[Bonus %]]*TBL_Employees3[[#This Row],[Annual Salary]]</calculatedColumnFormula>
    </tableColumn>
    <tableColumn id="16" name="IT Female" dataDxfId="2">
      <calculatedColumnFormula>IF(AND(TBL_Employees3[[#This Row],[Department]]="IT",TBL_Employees3[[#This Row],[Gender]]="Female"),"Yes","No")</calculatedColumnFormula>
    </tableColumn>
    <tableColumn id="17" name="female_black" dataDxfId="1">
      <calculatedColumnFormula>IF(AND(TBL_Employees3[[#This Row],[Gender]]="Female",TBL_Employees3[[#This Row],[Ethnicity]]="Black"), "Female_Black", "Others")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02"/>
  <sheetViews>
    <sheetView topLeftCell="AF7" workbookViewId="0">
      <selection activeCell="AU1" sqref="AU1"/>
    </sheetView>
  </sheetViews>
  <sheetFormatPr defaultRowHeight="14.4"/>
  <cols>
    <col min="1" max="1" width="7.109375" bestFit="1" customWidth="1"/>
    <col min="2" max="2" width="14.33203125" customWidth="1"/>
    <col min="3" max="3" width="17.88671875" customWidth="1"/>
    <col min="4" max="4" width="16.88671875" bestFit="1" customWidth="1"/>
    <col min="5" max="5" width="23.88671875" bestFit="1" customWidth="1"/>
    <col min="6" max="6" width="10" bestFit="1" customWidth="1"/>
    <col min="7" max="7" width="10.33203125" customWidth="1"/>
    <col min="8" max="8" width="12.77734375" customWidth="1"/>
    <col min="9" max="9" width="6.6640625" bestFit="1" customWidth="1"/>
    <col min="10" max="10" width="27.88671875" style="6" bestFit="1" customWidth="1"/>
    <col min="11" max="11" width="15.44140625" style="8" bestFit="1" customWidth="1"/>
    <col min="12" max="12" width="10.33203125" bestFit="1" customWidth="1"/>
    <col min="13" max="15" width="19.44140625" style="8" customWidth="1"/>
    <col min="16" max="16" width="12.88671875" bestFit="1" customWidth="1"/>
    <col min="17" max="17" width="13.5546875" bestFit="1" customWidth="1"/>
    <col min="18" max="18" width="27.6640625" style="6" bestFit="1" customWidth="1"/>
    <col min="20" max="20" width="19" style="8" bestFit="1" customWidth="1"/>
    <col min="21" max="21" width="11.88671875" bestFit="1" customWidth="1"/>
    <col min="28" max="28" width="11.77734375" customWidth="1"/>
    <col min="30" max="30" width="8.88671875" customWidth="1"/>
    <col min="31" max="31" width="22.33203125" customWidth="1"/>
    <col min="32" max="32" width="24.44140625" bestFit="1" customWidth="1"/>
    <col min="34" max="34" width="20.33203125" customWidth="1"/>
    <col min="37" max="37" width="14.77734375" bestFit="1" customWidth="1"/>
    <col min="44" max="44" width="16.33203125" bestFit="1" customWidth="1"/>
    <col min="46" max="46" width="21.5546875" customWidth="1"/>
  </cols>
  <sheetData>
    <row r="1" spans="1:46" s="4" customFormat="1" ht="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2063</v>
      </c>
      <c r="I1" s="3" t="s">
        <v>7</v>
      </c>
      <c r="J1" s="5" t="s">
        <v>8</v>
      </c>
      <c r="K1" s="9" t="s">
        <v>9</v>
      </c>
      <c r="L1" s="3" t="s">
        <v>10</v>
      </c>
      <c r="M1" s="14" t="s">
        <v>2055</v>
      </c>
      <c r="N1" s="14" t="s">
        <v>2054</v>
      </c>
      <c r="O1" s="14" t="s">
        <v>2057</v>
      </c>
      <c r="P1" s="3" t="s">
        <v>11</v>
      </c>
      <c r="Q1" s="3" t="s">
        <v>12</v>
      </c>
      <c r="R1" s="7" t="s">
        <v>13</v>
      </c>
      <c r="T1" s="15"/>
      <c r="U1" s="50" t="s">
        <v>2047</v>
      </c>
      <c r="V1" s="50"/>
      <c r="W1" s="50"/>
      <c r="AA1" t="s">
        <v>2026</v>
      </c>
      <c r="AB1" s="4" t="s">
        <v>2030</v>
      </c>
      <c r="AC1" s="4" t="s">
        <v>2029</v>
      </c>
      <c r="AQ1" s="13" t="s">
        <v>2049</v>
      </c>
      <c r="AR1" s="13"/>
    </row>
    <row r="2" spans="1:46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 s="17"/>
      <c r="I2">
        <v>55</v>
      </c>
      <c r="J2" s="6">
        <v>42468</v>
      </c>
      <c r="K2" s="8">
        <v>141604</v>
      </c>
      <c r="L2" s="1">
        <v>0.15</v>
      </c>
      <c r="M2" s="8">
        <f>TBL_Employees[[#This Row],[Annual Salary]]*TBL_Employees[[#This Row],[Bonus %]]</f>
        <v>21240.6</v>
      </c>
      <c r="N2" s="8">
        <f>SUM(TBL_Employees[[#This Row],[Annual Salary]],TBL_Employees[[#This Row],[TOTAL BONUS]])</f>
        <v>162844.6</v>
      </c>
      <c r="O2" s="8">
        <f>TBL_Employees[[#This Row],[Annual Salary]]*TBL_Employees[[#This Row],[Bonus %]]/100+TBL_Employees[[#This Row],[Annual Salary]]</f>
        <v>141816.40599999999</v>
      </c>
      <c r="P2" t="s">
        <v>19</v>
      </c>
      <c r="Q2" t="s">
        <v>63</v>
      </c>
      <c r="R2" s="6">
        <v>44485</v>
      </c>
      <c r="T2" s="8">
        <f>TBL_Employees[[#This Row],[Annual Salary]]*TBL_Employees[[#This Row],[Bonus %]]/100+TBL_Employees[[#This Row],[Annual Salary]]</f>
        <v>141816.40599999999</v>
      </c>
      <c r="AA2">
        <v>0</v>
      </c>
      <c r="AB2" t="e">
        <f ca="1">_xlfn.PERCENTILE.EXC(K:K,AA2/100)</f>
        <v>#NAME?</v>
      </c>
      <c r="AC2" t="e">
        <f ca="1">_xlfn.PERCENTILE.INC(K:K,AA2/100)</f>
        <v>#NAME?</v>
      </c>
      <c r="AQ2" t="s">
        <v>2050</v>
      </c>
    </row>
    <row r="3" spans="1:46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 s="17"/>
      <c r="I3">
        <v>59</v>
      </c>
      <c r="J3" s="6">
        <v>35763</v>
      </c>
      <c r="K3" s="8">
        <v>99975</v>
      </c>
      <c r="L3" s="1">
        <v>0</v>
      </c>
      <c r="M3" s="8">
        <f>TBL_Employees[[#This Row],[Annual Salary]]*TBL_Employees[[#This Row],[Bonus %]]</f>
        <v>0</v>
      </c>
      <c r="N3" s="8">
        <f>SUM(TBL_Employees[[#This Row],[Annual Salary]],TBL_Employees[[#This Row],[TOTAL BONUS]])</f>
        <v>99975</v>
      </c>
      <c r="O3" s="8">
        <f>TBL_Employees[[#This Row],[Annual Salary]]*TBL_Employees[[#This Row],[Bonus %]]/100+TBL_Employees[[#This Row],[Annual Salary]]</f>
        <v>99975</v>
      </c>
      <c r="P3" t="s">
        <v>33</v>
      </c>
      <c r="Q3" t="s">
        <v>80</v>
      </c>
      <c r="R3" s="6" t="s">
        <v>21</v>
      </c>
      <c r="T3" s="8">
        <f>TBL_Employees[[#This Row],[Annual Salary]]*TBL_Employees[[#This Row],[Bonus %]]/100+TBL_Employees[[#This Row],[Annual Salary]]</f>
        <v>99975</v>
      </c>
      <c r="U3" t="s">
        <v>2045</v>
      </c>
      <c r="V3" t="s">
        <v>2046</v>
      </c>
      <c r="AA3">
        <v>5</v>
      </c>
      <c r="AB3">
        <f t="shared" ref="AB3:AB22" si="0">_xlfn.PERCENTILE.EXC(K:K,AA3/100)</f>
        <v>49420.700000000004</v>
      </c>
      <c r="AC3">
        <f t="shared" ref="AC3:AC22" si="1">_xlfn.PERCENTILE.INC(K:K,AA3/100)</f>
        <v>49721.3</v>
      </c>
      <c r="AK3" t="s">
        <v>2034</v>
      </c>
      <c r="AN3" t="s">
        <v>2035</v>
      </c>
      <c r="AQ3">
        <v>1</v>
      </c>
      <c r="AR3" t="s">
        <v>2051</v>
      </c>
      <c r="AT3">
        <f>COUNTIF(C:C,"MANAGER")</f>
        <v>98</v>
      </c>
    </row>
    <row r="4" spans="1:46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 s="17"/>
      <c r="I4">
        <v>50</v>
      </c>
      <c r="J4" s="6">
        <v>39016</v>
      </c>
      <c r="K4" s="8">
        <v>163099</v>
      </c>
      <c r="L4" s="1">
        <v>0.2</v>
      </c>
      <c r="M4" s="8">
        <f>TBL_Employees[[#This Row],[Annual Salary]]*TBL_Employees[[#This Row],[Bonus %]]</f>
        <v>32619.800000000003</v>
      </c>
      <c r="N4" s="8">
        <f>SUM(TBL_Employees[[#This Row],[Annual Salary]],TBL_Employees[[#This Row],[TOTAL BONUS]])</f>
        <v>195718.8</v>
      </c>
      <c r="O4" s="8">
        <f>TBL_Employees[[#This Row],[Annual Salary]]*TBL_Employees[[#This Row],[Bonus %]]/100+TBL_Employees[[#This Row],[Annual Salary]]</f>
        <v>163425.198</v>
      </c>
      <c r="P4" t="s">
        <v>19</v>
      </c>
      <c r="Q4" t="s">
        <v>20</v>
      </c>
      <c r="R4" s="6" t="s">
        <v>21</v>
      </c>
      <c r="T4" s="8">
        <f>TBL_Employees[[#This Row],[Annual Salary]]*TBL_Employees[[#This Row],[Bonus %]]/100+TBL_Employees[[#This Row],[Annual Salary]]</f>
        <v>163425.198</v>
      </c>
      <c r="U4" s="12" t="s">
        <v>33</v>
      </c>
      <c r="V4">
        <f>COUNTIF(P:P,"China")</f>
        <v>218</v>
      </c>
      <c r="AA4">
        <v>10</v>
      </c>
      <c r="AB4">
        <f t="shared" si="0"/>
        <v>55760.7</v>
      </c>
      <c r="AC4">
        <f t="shared" si="1"/>
        <v>55766.3</v>
      </c>
      <c r="AE4" t="s">
        <v>2031</v>
      </c>
      <c r="AK4">
        <v>1</v>
      </c>
      <c r="AL4">
        <f>LARGE(K:K,AK4)</f>
        <v>258498</v>
      </c>
      <c r="AN4">
        <v>1</v>
      </c>
      <c r="AO4">
        <f>SMALL(K:K,AN4)</f>
        <v>40063</v>
      </c>
      <c r="AQ4">
        <v>2</v>
      </c>
      <c r="AR4" t="s">
        <v>2052</v>
      </c>
      <c r="AT4">
        <f>COUNTIF(C:C,"Sr. manger")</f>
        <v>110</v>
      </c>
    </row>
    <row r="5" spans="1:46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 s="17"/>
      <c r="I5">
        <v>26</v>
      </c>
      <c r="J5" s="6">
        <v>43735</v>
      </c>
      <c r="K5" s="8">
        <v>84913</v>
      </c>
      <c r="L5" s="1">
        <v>7.0000000000000007E-2</v>
      </c>
      <c r="M5" s="8">
        <f>TBL_Employees[[#This Row],[Annual Salary]]*TBL_Employees[[#This Row],[Bonus %]]</f>
        <v>5943.9100000000008</v>
      </c>
      <c r="N5" s="8">
        <f>SUM(TBL_Employees[[#This Row],[Annual Salary]],TBL_Employees[[#This Row],[TOTAL BONUS]])</f>
        <v>90856.91</v>
      </c>
      <c r="O5" s="8">
        <f>TBL_Employees[[#This Row],[Annual Salary]]*TBL_Employees[[#This Row],[Bonus %]]/100+TBL_Employees[[#This Row],[Annual Salary]]</f>
        <v>84972.439100000003</v>
      </c>
      <c r="P5" t="s">
        <v>19</v>
      </c>
      <c r="Q5" t="s">
        <v>20</v>
      </c>
      <c r="R5" s="6" t="s">
        <v>21</v>
      </c>
      <c r="T5" s="8">
        <f>TBL_Employees[[#This Row],[Annual Salary]]*TBL_Employees[[#This Row],[Bonus %]]/100+TBL_Employees[[#This Row],[Annual Salary]]</f>
        <v>84972.439100000003</v>
      </c>
      <c r="U5" s="12" t="s">
        <v>19</v>
      </c>
      <c r="V5">
        <f>COUNTIF(P:P,"United States")</f>
        <v>643</v>
      </c>
      <c r="AA5">
        <v>15</v>
      </c>
      <c r="AB5">
        <f t="shared" si="0"/>
        <v>62253.4</v>
      </c>
      <c r="AC5">
        <f t="shared" si="1"/>
        <v>62320.6</v>
      </c>
      <c r="AE5">
        <v>1</v>
      </c>
      <c r="AF5" t="e">
        <f ca="1">_xlfn.QUARTILE.INC(K:K,1)</f>
        <v>#NAME?</v>
      </c>
      <c r="AK5">
        <v>2</v>
      </c>
      <c r="AL5">
        <f>LARGE(K:K,AK5)</f>
        <v>258426</v>
      </c>
      <c r="AN5">
        <v>2</v>
      </c>
      <c r="AO5">
        <f>SMALL(K:K,AN5)</f>
        <v>40124</v>
      </c>
      <c r="AQ5">
        <v>3</v>
      </c>
      <c r="AR5" t="s">
        <v>2053</v>
      </c>
      <c r="AT5" s="8">
        <f>SUM(K:K)</f>
        <v>113217365</v>
      </c>
    </row>
    <row r="6" spans="1:46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 s="17"/>
      <c r="I6">
        <v>55</v>
      </c>
      <c r="J6" s="6">
        <v>35023</v>
      </c>
      <c r="K6" s="8">
        <v>95409</v>
      </c>
      <c r="L6" s="1">
        <v>0</v>
      </c>
      <c r="M6" s="8">
        <f>TBL_Employees[[#This Row],[Annual Salary]]*TBL_Employees[[#This Row],[Bonus %]]</f>
        <v>0</v>
      </c>
      <c r="N6" s="8">
        <f>SUM(TBL_Employees[[#This Row],[Annual Salary]],TBL_Employees[[#This Row],[TOTAL BONUS]])</f>
        <v>95409</v>
      </c>
      <c r="O6" s="8">
        <f>TBL_Employees[[#This Row],[Annual Salary]]*TBL_Employees[[#This Row],[Bonus %]]/100+TBL_Employees[[#This Row],[Annual Salary]]</f>
        <v>95409</v>
      </c>
      <c r="P6" t="s">
        <v>19</v>
      </c>
      <c r="Q6" t="s">
        <v>39</v>
      </c>
      <c r="R6" s="6" t="s">
        <v>21</v>
      </c>
      <c r="T6" s="8">
        <f>TBL_Employees[[#This Row],[Annual Salary]]*TBL_Employees[[#This Row],[Bonus %]]/100+TBL_Employees[[#This Row],[Annual Salary]]</f>
        <v>95409</v>
      </c>
      <c r="U6" s="12" t="s">
        <v>52</v>
      </c>
      <c r="V6">
        <f>COUNTIF(P:P,"Brazil")</f>
        <v>139</v>
      </c>
      <c r="AA6">
        <v>20</v>
      </c>
      <c r="AB6">
        <f t="shared" si="0"/>
        <v>67191.8</v>
      </c>
      <c r="AC6">
        <f t="shared" si="1"/>
        <v>67254.2</v>
      </c>
      <c r="AE6">
        <v>2</v>
      </c>
      <c r="AF6" t="e">
        <f ca="1">_xlfn.QUARTILE.INC(K:K,AE6)</f>
        <v>#NAME?</v>
      </c>
      <c r="AK6">
        <v>3</v>
      </c>
      <c r="AL6">
        <f>LARGE(K:K,AK6)</f>
        <v>258081</v>
      </c>
      <c r="AN6">
        <v>3</v>
      </c>
      <c r="AO6">
        <f>SMALL(K:K,AN6)</f>
        <v>40316</v>
      </c>
      <c r="AQ6">
        <v>4</v>
      </c>
      <c r="AR6" t="s">
        <v>2056</v>
      </c>
    </row>
    <row r="7" spans="1:46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 s="17"/>
      <c r="I7">
        <v>57</v>
      </c>
      <c r="J7" s="6">
        <v>42759</v>
      </c>
      <c r="K7" s="8">
        <v>50994</v>
      </c>
      <c r="L7" s="1">
        <v>0</v>
      </c>
      <c r="M7" s="8">
        <f>TBL_Employees[[#This Row],[Annual Salary]]*TBL_Employees[[#This Row],[Bonus %]]</f>
        <v>0</v>
      </c>
      <c r="N7" s="8">
        <f>SUM(TBL_Employees[[#This Row],[Annual Salary]],TBL_Employees[[#This Row],[TOTAL BONUS]])</f>
        <v>50994</v>
      </c>
      <c r="O7" s="8">
        <f>TBL_Employees[[#This Row],[Annual Salary]]*TBL_Employees[[#This Row],[Bonus %]]/100+TBL_Employees[[#This Row],[Annual Salary]]</f>
        <v>50994</v>
      </c>
      <c r="P7" t="s">
        <v>33</v>
      </c>
      <c r="Q7" t="s">
        <v>80</v>
      </c>
      <c r="R7" s="6" t="s">
        <v>21</v>
      </c>
      <c r="T7" s="8">
        <f>TBL_Employees[[#This Row],[Annual Salary]]*TBL_Employees[[#This Row],[Bonus %]]/100+TBL_Employees[[#This Row],[Annual Salary]]</f>
        <v>50994</v>
      </c>
      <c r="V7">
        <f>SUM(V4:V6)</f>
        <v>1000</v>
      </c>
      <c r="AA7">
        <v>25</v>
      </c>
      <c r="AB7">
        <f t="shared" si="0"/>
        <v>71382.75</v>
      </c>
      <c r="AC7">
        <f t="shared" si="1"/>
        <v>71430.25</v>
      </c>
      <c r="AE7">
        <v>3</v>
      </c>
      <c r="AF7" t="e">
        <f ca="1">_xlfn.QUARTILE.INC(K:K,AE7)</f>
        <v>#NAME?</v>
      </c>
      <c r="AK7">
        <v>4</v>
      </c>
      <c r="AL7">
        <f>LARGE(K:K,AK7)</f>
        <v>257194</v>
      </c>
      <c r="AN7">
        <v>4</v>
      </c>
      <c r="AO7">
        <f t="shared" ref="AO7:AO23" si="2">SMALL(K:K,AN7)</f>
        <v>40752</v>
      </c>
      <c r="AQ7">
        <v>5</v>
      </c>
      <c r="AR7" s="8">
        <f>MAX(K:K)</f>
        <v>258498</v>
      </c>
    </row>
    <row r="8" spans="1:46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 s="17"/>
      <c r="I8">
        <v>27</v>
      </c>
      <c r="J8" s="6">
        <v>44013</v>
      </c>
      <c r="K8" s="8">
        <v>119746</v>
      </c>
      <c r="L8" s="1">
        <v>0.1</v>
      </c>
      <c r="M8" s="8">
        <f>TBL_Employees[[#This Row],[Annual Salary]]*TBL_Employees[[#This Row],[Bonus %]]</f>
        <v>11974.6</v>
      </c>
      <c r="N8" s="8">
        <f>SUM(TBL_Employees[[#This Row],[Annual Salary]],TBL_Employees[[#This Row],[TOTAL BONUS]])</f>
        <v>131720.6</v>
      </c>
      <c r="O8" s="8">
        <f>TBL_Employees[[#This Row],[Annual Salary]]*TBL_Employees[[#This Row],[Bonus %]]/100+TBL_Employees[[#This Row],[Annual Salary]]</f>
        <v>119865.746</v>
      </c>
      <c r="P8" t="s">
        <v>19</v>
      </c>
      <c r="Q8" t="s">
        <v>39</v>
      </c>
      <c r="R8" s="6" t="s">
        <v>21</v>
      </c>
      <c r="T8" s="8">
        <f>TBL_Employees[[#This Row],[Annual Salary]]*TBL_Employees[[#This Row],[Bonus %]]/100+TBL_Employees[[#This Row],[Annual Salary]]</f>
        <v>119865.746</v>
      </c>
      <c r="AA8">
        <v>30</v>
      </c>
      <c r="AB8">
        <f t="shared" si="0"/>
        <v>75772.3</v>
      </c>
      <c r="AC8">
        <f t="shared" si="1"/>
        <v>75776.7</v>
      </c>
      <c r="AK8">
        <v>5</v>
      </c>
      <c r="AL8">
        <f t="shared" ref="AL8:AL23" si="3">LARGE(K:K,AK8)</f>
        <v>256561</v>
      </c>
      <c r="AN8">
        <v>5</v>
      </c>
      <c r="AO8">
        <f t="shared" si="2"/>
        <v>40897</v>
      </c>
      <c r="AQ8">
        <v>6</v>
      </c>
      <c r="AR8" s="8">
        <f>MIN(K:K)</f>
        <v>40063</v>
      </c>
    </row>
    <row r="9" spans="1:46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 s="17"/>
      <c r="I9">
        <v>25</v>
      </c>
      <c r="J9" s="6">
        <v>43967</v>
      </c>
      <c r="K9" s="8">
        <v>41336</v>
      </c>
      <c r="L9" s="1">
        <v>0</v>
      </c>
      <c r="M9" s="8">
        <f>TBL_Employees[[#This Row],[Annual Salary]]*TBL_Employees[[#This Row],[Bonus %]]</f>
        <v>0</v>
      </c>
      <c r="N9" s="8">
        <f>SUM(TBL_Employees[[#This Row],[Annual Salary]],TBL_Employees[[#This Row],[TOTAL BONUS]])</f>
        <v>41336</v>
      </c>
      <c r="O9" s="8">
        <f>TBL_Employees[[#This Row],[Annual Salary]]*TBL_Employees[[#This Row],[Bonus %]]/100+TBL_Employees[[#This Row],[Annual Salary]]</f>
        <v>41336</v>
      </c>
      <c r="P9" t="s">
        <v>19</v>
      </c>
      <c r="Q9" t="s">
        <v>45</v>
      </c>
      <c r="R9" s="6">
        <v>44336</v>
      </c>
      <c r="T9" s="8">
        <f>TBL_Employees[[#This Row],[Annual Salary]]*TBL_Employees[[#This Row],[Bonus %]]/100+TBL_Employees[[#This Row],[Annual Salary]]</f>
        <v>41336</v>
      </c>
      <c r="U9" s="12" t="s">
        <v>5</v>
      </c>
      <c r="V9" t="s">
        <v>2046</v>
      </c>
      <c r="AA9">
        <v>35</v>
      </c>
      <c r="AB9">
        <f t="shared" si="0"/>
        <v>82067.75</v>
      </c>
      <c r="AC9">
        <f t="shared" si="1"/>
        <v>82111.25</v>
      </c>
      <c r="AK9">
        <v>6</v>
      </c>
      <c r="AL9">
        <f t="shared" si="3"/>
        <v>256420</v>
      </c>
      <c r="AN9">
        <v>6</v>
      </c>
      <c r="AO9">
        <f t="shared" si="2"/>
        <v>41336</v>
      </c>
      <c r="AQ9">
        <v>7</v>
      </c>
      <c r="AR9" s="8">
        <f>MAX(K:K,"2")</f>
        <v>258498</v>
      </c>
    </row>
    <row r="10" spans="1:46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 s="17"/>
      <c r="I10">
        <v>29</v>
      </c>
      <c r="J10" s="6">
        <v>43490</v>
      </c>
      <c r="K10" s="8">
        <v>113527</v>
      </c>
      <c r="L10" s="1">
        <v>0.06</v>
      </c>
      <c r="M10" s="8">
        <f>TBL_Employees[[#This Row],[Annual Salary]]*TBL_Employees[[#This Row],[Bonus %]]</f>
        <v>6811.62</v>
      </c>
      <c r="N10" s="8">
        <f>SUM(TBL_Employees[[#This Row],[Annual Salary]],TBL_Employees[[#This Row],[TOTAL BONUS]])</f>
        <v>120338.62</v>
      </c>
      <c r="O10" s="8">
        <f>TBL_Employees[[#This Row],[Annual Salary]]*TBL_Employees[[#This Row],[Bonus %]]/100+TBL_Employees[[#This Row],[Annual Salary]]</f>
        <v>113595.1162</v>
      </c>
      <c r="P10" t="s">
        <v>19</v>
      </c>
      <c r="Q10" t="s">
        <v>25</v>
      </c>
      <c r="R10" s="6" t="s">
        <v>21</v>
      </c>
      <c r="T10" s="8">
        <f>TBL_Employees[[#This Row],[Annual Salary]]*TBL_Employees[[#This Row],[Bonus %]]/100+TBL_Employees[[#This Row],[Annual Salary]]</f>
        <v>113595.1162</v>
      </c>
      <c r="U10" s="12" t="s">
        <v>28</v>
      </c>
      <c r="V10">
        <f>COUNTIF(F:F,"Male")</f>
        <v>482</v>
      </c>
      <c r="AA10">
        <v>40</v>
      </c>
      <c r="AB10">
        <f t="shared" si="0"/>
        <v>88055.8</v>
      </c>
      <c r="AC10">
        <f t="shared" si="1"/>
        <v>88061.2</v>
      </c>
      <c r="AE10" t="s">
        <v>2032</v>
      </c>
      <c r="AF10" t="e">
        <f ca="1">_xlfn.PERCENTILE.INC(K:K,0)</f>
        <v>#NAME?</v>
      </c>
      <c r="AG10" t="e">
        <f ca="1">_xlfn.QUARTILE.INC(K:K,0)</f>
        <v>#NAME?</v>
      </c>
      <c r="AH10" s="8">
        <f>MIN(K:K)</f>
        <v>40063</v>
      </c>
      <c r="AI10">
        <f>SMALL(K:K,1)</f>
        <v>40063</v>
      </c>
      <c r="AK10">
        <v>7</v>
      </c>
      <c r="AL10">
        <f t="shared" si="3"/>
        <v>255431</v>
      </c>
      <c r="AN10">
        <v>7</v>
      </c>
      <c r="AO10">
        <f t="shared" si="2"/>
        <v>41429</v>
      </c>
      <c r="AQ10">
        <v>8</v>
      </c>
      <c r="AR10" s="8">
        <f>LARGE(K:K,3)</f>
        <v>258081</v>
      </c>
    </row>
    <row r="11" spans="1:46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 s="17"/>
      <c r="I11">
        <v>34</v>
      </c>
      <c r="J11" s="6">
        <v>43264</v>
      </c>
      <c r="K11" s="8">
        <v>77203</v>
      </c>
      <c r="L11" s="1">
        <v>0</v>
      </c>
      <c r="M11" s="8">
        <f>TBL_Employees[[#This Row],[Annual Salary]]*TBL_Employees[[#This Row],[Bonus %]]</f>
        <v>0</v>
      </c>
      <c r="N11" s="8">
        <f>SUM(TBL_Employees[[#This Row],[Annual Salary]],TBL_Employees[[#This Row],[TOTAL BONUS]])</f>
        <v>77203</v>
      </c>
      <c r="O11" s="8">
        <f>TBL_Employees[[#This Row],[Annual Salary]]*TBL_Employees[[#This Row],[Bonus %]]/100+TBL_Employees[[#This Row],[Annual Salary]]</f>
        <v>77203</v>
      </c>
      <c r="P11" t="s">
        <v>19</v>
      </c>
      <c r="Q11" t="s">
        <v>20</v>
      </c>
      <c r="R11" s="6" t="s">
        <v>21</v>
      </c>
      <c r="T11" s="8">
        <f>TBL_Employees[[#This Row],[Annual Salary]]*TBL_Employees[[#This Row],[Bonus %]]/100+TBL_Employees[[#This Row],[Annual Salary]]</f>
        <v>77203</v>
      </c>
      <c r="U11" s="12" t="s">
        <v>17</v>
      </c>
      <c r="V11">
        <f>COUNTIF(F:F,"Female")</f>
        <v>518</v>
      </c>
      <c r="AA11">
        <v>45</v>
      </c>
      <c r="AB11">
        <f t="shared" si="0"/>
        <v>92699.1</v>
      </c>
      <c r="AC11">
        <f t="shared" si="1"/>
        <v>92708.9</v>
      </c>
      <c r="AE11" t="s">
        <v>2033</v>
      </c>
      <c r="AF11" t="e">
        <f ca="1">_xlfn.PERCENTILE.INC(K:K,1)</f>
        <v>#NAME?</v>
      </c>
      <c r="AG11" t="e">
        <f ca="1">_xlfn.QUARTILE.INC(K:K,4)</f>
        <v>#NAME?</v>
      </c>
      <c r="AH11" s="8">
        <f>MAX(K:K)</f>
        <v>258498</v>
      </c>
      <c r="AI11">
        <f>LARGE(K:K,1)</f>
        <v>258498</v>
      </c>
      <c r="AK11">
        <v>8</v>
      </c>
      <c r="AL11">
        <f t="shared" si="3"/>
        <v>255369</v>
      </c>
      <c r="AN11">
        <v>8</v>
      </c>
      <c r="AO11">
        <f t="shared" si="2"/>
        <v>41545</v>
      </c>
      <c r="AQ11">
        <v>9</v>
      </c>
      <c r="AR11" s="8">
        <f>LARGE(K:K,10)</f>
        <v>254289</v>
      </c>
    </row>
    <row r="12" spans="1:46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 s="17"/>
      <c r="I12">
        <v>36</v>
      </c>
      <c r="J12" s="6">
        <v>39855</v>
      </c>
      <c r="K12" s="8">
        <v>157333</v>
      </c>
      <c r="L12" s="1">
        <v>0.15</v>
      </c>
      <c r="M12" s="8">
        <f>TBL_Employees[[#This Row],[Annual Salary]]*TBL_Employees[[#This Row],[Bonus %]]</f>
        <v>23599.95</v>
      </c>
      <c r="N12" s="8">
        <f>SUM(TBL_Employees[[#This Row],[Annual Salary]],TBL_Employees[[#This Row],[TOTAL BONUS]])</f>
        <v>180932.95</v>
      </c>
      <c r="O12" s="8">
        <f>TBL_Employees[[#This Row],[Annual Salary]]*TBL_Employees[[#This Row],[Bonus %]]/100+TBL_Employees[[#This Row],[Annual Salary]]</f>
        <v>157568.99950000001</v>
      </c>
      <c r="P12" t="s">
        <v>19</v>
      </c>
      <c r="Q12" t="s">
        <v>45</v>
      </c>
      <c r="R12" s="6" t="s">
        <v>21</v>
      </c>
      <c r="T12" s="8">
        <f>TBL_Employees[[#This Row],[Annual Salary]]*TBL_Employees[[#This Row],[Bonus %]]/100+TBL_Employees[[#This Row],[Annual Salary]]</f>
        <v>157568.99950000001</v>
      </c>
      <c r="V12">
        <f>SUM(V10:V11)</f>
        <v>1000</v>
      </c>
      <c r="AA12">
        <v>50</v>
      </c>
      <c r="AB12">
        <f t="shared" si="0"/>
        <v>96557</v>
      </c>
      <c r="AC12">
        <f t="shared" si="1"/>
        <v>96557</v>
      </c>
      <c r="AK12">
        <v>9</v>
      </c>
      <c r="AL12">
        <f t="shared" si="3"/>
        <v>255230</v>
      </c>
      <c r="AN12">
        <v>9</v>
      </c>
      <c r="AO12">
        <f t="shared" si="2"/>
        <v>41561</v>
      </c>
      <c r="AQ12">
        <v>10</v>
      </c>
      <c r="AR12" s="8">
        <f>SMALL(K:K,2)</f>
        <v>40124</v>
      </c>
    </row>
    <row r="13" spans="1:46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 s="17"/>
      <c r="I13">
        <v>27</v>
      </c>
      <c r="J13" s="6">
        <v>44490</v>
      </c>
      <c r="K13" s="8">
        <v>109851</v>
      </c>
      <c r="L13" s="1">
        <v>0</v>
      </c>
      <c r="M13" s="8">
        <f>TBL_Employees[[#This Row],[Annual Salary]]*TBL_Employees[[#This Row],[Bonus %]]</f>
        <v>0</v>
      </c>
      <c r="N13" s="8">
        <f>SUM(TBL_Employees[[#This Row],[Annual Salary]],TBL_Employees[[#This Row],[TOTAL BONUS]])</f>
        <v>109851</v>
      </c>
      <c r="O13" s="8">
        <f>TBL_Employees[[#This Row],[Annual Salary]]*TBL_Employees[[#This Row],[Bonus %]]/100+TBL_Employees[[#This Row],[Annual Salary]]</f>
        <v>109851</v>
      </c>
      <c r="P13" t="s">
        <v>19</v>
      </c>
      <c r="Q13" t="s">
        <v>63</v>
      </c>
      <c r="R13" s="6" t="s">
        <v>21</v>
      </c>
      <c r="T13" s="8">
        <f>TBL_Employees[[#This Row],[Annual Salary]]*TBL_Employees[[#This Row],[Bonus %]]/100+TBL_Employees[[#This Row],[Annual Salary]]</f>
        <v>109851</v>
      </c>
      <c r="AA13">
        <v>55</v>
      </c>
      <c r="AB13">
        <f t="shared" si="0"/>
        <v>102223.65000000001</v>
      </c>
      <c r="AC13">
        <f t="shared" si="1"/>
        <v>102213.35</v>
      </c>
      <c r="AE13" t="s">
        <v>2036</v>
      </c>
      <c r="AF13" t="e">
        <f ca="1">_xlfn.PERCENTILE.INC(K:K,0.5)</f>
        <v>#NAME?</v>
      </c>
      <c r="AG13" t="e">
        <f ca="1">_xlfn.QUARTILE.INC(TBL_Employees[Annual Salary],2)</f>
        <v>#NAME?</v>
      </c>
      <c r="AH13" s="8">
        <f>MEDIAN(K:K)</f>
        <v>96557</v>
      </c>
      <c r="AK13">
        <v>10</v>
      </c>
      <c r="AL13">
        <f t="shared" si="3"/>
        <v>254289</v>
      </c>
      <c r="AN13">
        <v>10</v>
      </c>
      <c r="AO13">
        <f t="shared" si="2"/>
        <v>41673</v>
      </c>
      <c r="AQ13">
        <v>11</v>
      </c>
      <c r="AR13" s="8">
        <f>SMALL(K:K,3)</f>
        <v>40316</v>
      </c>
    </row>
    <row r="14" spans="1:46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 s="17"/>
      <c r="I14">
        <v>59</v>
      </c>
      <c r="J14" s="6">
        <v>36233</v>
      </c>
      <c r="K14" s="8">
        <v>105086</v>
      </c>
      <c r="L14" s="1">
        <v>0.09</v>
      </c>
      <c r="M14" s="8">
        <f>TBL_Employees[[#This Row],[Annual Salary]]*TBL_Employees[[#This Row],[Bonus %]]</f>
        <v>9457.74</v>
      </c>
      <c r="N14" s="8">
        <f>SUM(TBL_Employees[[#This Row],[Annual Salary]],TBL_Employees[[#This Row],[TOTAL BONUS]])</f>
        <v>114543.74</v>
      </c>
      <c r="O14" s="8">
        <f>TBL_Employees[[#This Row],[Annual Salary]]*TBL_Employees[[#This Row],[Bonus %]]/100+TBL_Employees[[#This Row],[Annual Salary]]</f>
        <v>105180.57739999999</v>
      </c>
      <c r="P14" t="s">
        <v>19</v>
      </c>
      <c r="Q14" t="s">
        <v>25</v>
      </c>
      <c r="R14" s="6" t="s">
        <v>21</v>
      </c>
      <c r="T14" s="8">
        <f>TBL_Employees[[#This Row],[Annual Salary]]*TBL_Employees[[#This Row],[Bonus %]]/100+TBL_Employees[[#This Row],[Annual Salary]]</f>
        <v>105180.57739999999</v>
      </c>
      <c r="AA14">
        <v>60</v>
      </c>
      <c r="AB14">
        <f t="shared" si="0"/>
        <v>111362</v>
      </c>
      <c r="AC14">
        <f t="shared" si="1"/>
        <v>111341</v>
      </c>
      <c r="AK14">
        <v>11</v>
      </c>
      <c r="AL14">
        <f t="shared" si="3"/>
        <v>254057</v>
      </c>
      <c r="AN14">
        <v>11</v>
      </c>
      <c r="AO14">
        <f t="shared" si="2"/>
        <v>41728</v>
      </c>
      <c r="AQ14">
        <v>12</v>
      </c>
      <c r="AR14" s="8">
        <f>SMALL(K:K,13)</f>
        <v>41859</v>
      </c>
    </row>
    <row r="15" spans="1:46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 s="17"/>
      <c r="I15">
        <v>51</v>
      </c>
      <c r="J15" s="6">
        <v>44357</v>
      </c>
      <c r="K15" s="8">
        <v>146742</v>
      </c>
      <c r="L15" s="1">
        <v>0.1</v>
      </c>
      <c r="M15" s="8">
        <f>TBL_Employees[[#This Row],[Annual Salary]]*TBL_Employees[[#This Row],[Bonus %]]</f>
        <v>14674.2</v>
      </c>
      <c r="N15" s="8">
        <f>SUM(TBL_Employees[[#This Row],[Annual Salary]],TBL_Employees[[#This Row],[TOTAL BONUS]])</f>
        <v>161416.20000000001</v>
      </c>
      <c r="O15" s="8">
        <f>TBL_Employees[[#This Row],[Annual Salary]]*TBL_Employees[[#This Row],[Bonus %]]/100+TBL_Employees[[#This Row],[Annual Salary]]</f>
        <v>146888.742</v>
      </c>
      <c r="P15" t="s">
        <v>33</v>
      </c>
      <c r="Q15" t="s">
        <v>74</v>
      </c>
      <c r="R15" s="6" t="s">
        <v>21</v>
      </c>
      <c r="T15" s="8">
        <f>TBL_Employees[[#This Row],[Annual Salary]]*TBL_Employees[[#This Row],[Bonus %]]/100+TBL_Employees[[#This Row],[Annual Salary]]</f>
        <v>146888.742</v>
      </c>
      <c r="AA15">
        <v>65</v>
      </c>
      <c r="AB15">
        <f t="shared" si="0"/>
        <v>122819.55</v>
      </c>
      <c r="AC15">
        <f t="shared" si="1"/>
        <v>122811.45</v>
      </c>
      <c r="AK15">
        <v>12</v>
      </c>
      <c r="AL15">
        <f t="shared" si="3"/>
        <v>253294</v>
      </c>
      <c r="AN15">
        <v>12</v>
      </c>
      <c r="AO15">
        <f t="shared" si="2"/>
        <v>41844</v>
      </c>
      <c r="AQ15">
        <v>13</v>
      </c>
      <c r="AR15">
        <f>COUNTIF(C:C,"Director")</f>
        <v>121</v>
      </c>
    </row>
    <row r="16" spans="1:46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 s="17"/>
      <c r="I16">
        <v>31</v>
      </c>
      <c r="J16" s="6">
        <v>43043</v>
      </c>
      <c r="K16" s="8">
        <v>97078</v>
      </c>
      <c r="L16" s="1">
        <v>0</v>
      </c>
      <c r="M16" s="8">
        <f>TBL_Employees[[#This Row],[Annual Salary]]*TBL_Employees[[#This Row],[Bonus %]]</f>
        <v>0</v>
      </c>
      <c r="N16" s="8">
        <f>SUM(TBL_Employees[[#This Row],[Annual Salary]],TBL_Employees[[#This Row],[TOTAL BONUS]])</f>
        <v>97078</v>
      </c>
      <c r="O16" s="8">
        <f>TBL_Employees[[#This Row],[Annual Salary]]*TBL_Employees[[#This Row],[Bonus %]]/100+TBL_Employees[[#This Row],[Annual Salary]]</f>
        <v>97078</v>
      </c>
      <c r="P16" t="s">
        <v>19</v>
      </c>
      <c r="Q16" t="s">
        <v>25</v>
      </c>
      <c r="R16" s="6">
        <v>43899</v>
      </c>
      <c r="T16" s="8">
        <f>TBL_Employees[[#This Row],[Annual Salary]]*TBL_Employees[[#This Row],[Bonus %]]/100+TBL_Employees[[#This Row],[Annual Salary]]</f>
        <v>97078</v>
      </c>
      <c r="U16" t="e" cm="1">
        <f t="array" aca="1" ref="U16:U21" ca="1">_xlfn.UNIQUE(G:G)</f>
        <v>#NAME?</v>
      </c>
      <c r="AA16">
        <v>70</v>
      </c>
      <c r="AB16">
        <f t="shared" si="0"/>
        <v>133369.1</v>
      </c>
      <c r="AC16">
        <f t="shared" si="1"/>
        <v>133327.9</v>
      </c>
      <c r="AE16" t="s">
        <v>2037</v>
      </c>
      <c r="AF16">
        <f>MIN(L:L)</f>
        <v>0</v>
      </c>
      <c r="AK16">
        <v>13</v>
      </c>
      <c r="AL16">
        <f t="shared" si="3"/>
        <v>253249</v>
      </c>
      <c r="AN16">
        <v>13</v>
      </c>
      <c r="AO16">
        <f t="shared" si="2"/>
        <v>41859</v>
      </c>
      <c r="AQ16">
        <v>14</v>
      </c>
      <c r="AR16">
        <f>COUNTIF(C:C,"Analyst")</f>
        <v>51</v>
      </c>
    </row>
    <row r="17" spans="1:46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 s="17"/>
      <c r="I17">
        <v>41</v>
      </c>
      <c r="J17" s="6">
        <v>41346</v>
      </c>
      <c r="K17" s="8">
        <v>249270</v>
      </c>
      <c r="L17" s="1">
        <v>0.3</v>
      </c>
      <c r="M17" s="8">
        <f>TBL_Employees[[#This Row],[Annual Salary]]*TBL_Employees[[#This Row],[Bonus %]]</f>
        <v>74781</v>
      </c>
      <c r="N17" s="8">
        <f>SUM(TBL_Employees[[#This Row],[Annual Salary]],TBL_Employees[[#This Row],[TOTAL BONUS]])</f>
        <v>324051</v>
      </c>
      <c r="O17" s="8">
        <f>TBL_Employees[[#This Row],[Annual Salary]]*TBL_Employees[[#This Row],[Bonus %]]/100+TBL_Employees[[#This Row],[Annual Salary]]</f>
        <v>250017.81</v>
      </c>
      <c r="P17" t="s">
        <v>19</v>
      </c>
      <c r="Q17" t="s">
        <v>63</v>
      </c>
      <c r="R17" s="6" t="s">
        <v>21</v>
      </c>
      <c r="U17" t="e">
        <f ca="1"/>
        <v>#NAME?</v>
      </c>
      <c r="V17">
        <f>COUNTIF(G:G,"Black")</f>
        <v>74</v>
      </c>
      <c r="AA17">
        <v>75</v>
      </c>
      <c r="AB17">
        <f t="shared" si="0"/>
        <v>150830.75</v>
      </c>
      <c r="AC17">
        <f t="shared" si="1"/>
        <v>150782.25</v>
      </c>
      <c r="AE17" t="s">
        <v>2038</v>
      </c>
      <c r="AF17" s="10">
        <f>MAX(L:L)</f>
        <v>0.4</v>
      </c>
      <c r="AK17">
        <v>14</v>
      </c>
      <c r="AL17">
        <f t="shared" si="3"/>
        <v>252325</v>
      </c>
      <c r="AN17">
        <v>14</v>
      </c>
      <c r="AO17">
        <f t="shared" si="2"/>
        <v>43001</v>
      </c>
      <c r="AQ17">
        <v>15</v>
      </c>
      <c r="AR17">
        <f>COUNTIF(C:C,"Sr. Analyst")</f>
        <v>70</v>
      </c>
    </row>
    <row r="18" spans="1:46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 s="17"/>
      <c r="I18">
        <v>65</v>
      </c>
      <c r="J18" s="6">
        <v>37319</v>
      </c>
      <c r="K18" s="8">
        <v>175837</v>
      </c>
      <c r="L18" s="1">
        <v>0.2</v>
      </c>
      <c r="M18" s="8">
        <f>TBL_Employees[[#This Row],[Annual Salary]]*TBL_Employees[[#This Row],[Bonus %]]</f>
        <v>35167.4</v>
      </c>
      <c r="N18" s="8">
        <f>SUM(TBL_Employees[[#This Row],[Annual Salary]],TBL_Employees[[#This Row],[TOTAL BONUS]])</f>
        <v>211004.4</v>
      </c>
      <c r="O18" s="8">
        <f>TBL_Employees[[#This Row],[Annual Salary]]*TBL_Employees[[#This Row],[Bonus %]]/100+TBL_Employees[[#This Row],[Annual Salary]]</f>
        <v>176188.674</v>
      </c>
      <c r="P18" t="s">
        <v>19</v>
      </c>
      <c r="Q18" t="s">
        <v>39</v>
      </c>
      <c r="R18" s="6" t="s">
        <v>21</v>
      </c>
      <c r="U18" t="e">
        <f ca="1"/>
        <v>#NAME?</v>
      </c>
      <c r="V18">
        <f ca="1">COUNTIF(G:G,U18)</f>
        <v>0</v>
      </c>
      <c r="AA18">
        <v>80</v>
      </c>
      <c r="AB18">
        <f t="shared" si="0"/>
        <v>159439.20000000004</v>
      </c>
      <c r="AC18">
        <f t="shared" si="1"/>
        <v>159142.80000000002</v>
      </c>
      <c r="AK18">
        <v>15</v>
      </c>
      <c r="AL18">
        <f t="shared" si="3"/>
        <v>250953</v>
      </c>
      <c r="AN18">
        <v>15</v>
      </c>
      <c r="AO18">
        <f t="shared" si="2"/>
        <v>43080</v>
      </c>
      <c r="AQ18">
        <v>16</v>
      </c>
      <c r="AR18">
        <f>COUNT(R:R)</f>
        <v>85</v>
      </c>
    </row>
    <row r="19" spans="1:46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 s="17"/>
      <c r="I19">
        <v>64</v>
      </c>
      <c r="J19" s="6">
        <v>37956</v>
      </c>
      <c r="K19" s="8">
        <v>154828</v>
      </c>
      <c r="L19" s="1">
        <v>0.13</v>
      </c>
      <c r="M19" s="8">
        <f>TBL_Employees[[#This Row],[Annual Salary]]*TBL_Employees[[#This Row],[Bonus %]]</f>
        <v>20127.64</v>
      </c>
      <c r="N19" s="8">
        <f>SUM(TBL_Employees[[#This Row],[Annual Salary]],TBL_Employees[[#This Row],[TOTAL BONUS]])</f>
        <v>174955.64</v>
      </c>
      <c r="O19" s="8">
        <f>TBL_Employees[[#This Row],[Annual Salary]]*TBL_Employees[[#This Row],[Bonus %]]/100+TBL_Employees[[#This Row],[Annual Salary]]</f>
        <v>155029.2764</v>
      </c>
      <c r="P19" t="s">
        <v>19</v>
      </c>
      <c r="Q19" t="s">
        <v>63</v>
      </c>
      <c r="R19" s="6" t="s">
        <v>21</v>
      </c>
      <c r="U19" t="e">
        <f ca="1"/>
        <v>#NAME?</v>
      </c>
      <c r="V19">
        <f ca="1">COUNTIF(G:G,U19)</f>
        <v>0</v>
      </c>
      <c r="AA19">
        <v>85</v>
      </c>
      <c r="AB19">
        <f t="shared" si="0"/>
        <v>176319.5</v>
      </c>
      <c r="AC19">
        <f t="shared" si="1"/>
        <v>176298.5</v>
      </c>
      <c r="AE19" t="s">
        <v>2039</v>
      </c>
      <c r="AF19" s="6">
        <f>MIN(J:J)</f>
        <v>33612</v>
      </c>
      <c r="AK19">
        <v>16</v>
      </c>
      <c r="AL19">
        <f t="shared" si="3"/>
        <v>250767</v>
      </c>
      <c r="AN19">
        <v>16</v>
      </c>
      <c r="AO19">
        <f t="shared" si="2"/>
        <v>43336</v>
      </c>
      <c r="AQ19">
        <v>17</v>
      </c>
      <c r="AR19">
        <f>COUNTIF(D:D,"it")</f>
        <v>241</v>
      </c>
    </row>
    <row r="20" spans="1:46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 s="17"/>
      <c r="I20">
        <v>64</v>
      </c>
      <c r="J20" s="6">
        <v>41581</v>
      </c>
      <c r="K20" s="8">
        <v>186503</v>
      </c>
      <c r="L20" s="1">
        <v>0.24</v>
      </c>
      <c r="M20" s="8">
        <f>TBL_Employees[[#This Row],[Annual Salary]]*TBL_Employees[[#This Row],[Bonus %]]</f>
        <v>44760.72</v>
      </c>
      <c r="N20" s="8">
        <f>SUM(TBL_Employees[[#This Row],[Annual Salary]],TBL_Employees[[#This Row],[TOTAL BONUS]])</f>
        <v>231263.72</v>
      </c>
      <c r="O20" s="8">
        <f>TBL_Employees[[#This Row],[Annual Salary]]*TBL_Employees[[#This Row],[Bonus %]]/100+TBL_Employees[[#This Row],[Annual Salary]]</f>
        <v>186950.6072</v>
      </c>
      <c r="P20" t="s">
        <v>19</v>
      </c>
      <c r="Q20" t="s">
        <v>29</v>
      </c>
      <c r="R20" s="6" t="s">
        <v>21</v>
      </c>
      <c r="U20" t="e">
        <f ca="1"/>
        <v>#NAME?</v>
      </c>
      <c r="V20">
        <f ca="1">COUNTIF(G:G,U20)</f>
        <v>0</v>
      </c>
      <c r="AA20">
        <v>90</v>
      </c>
      <c r="AB20">
        <f t="shared" si="0"/>
        <v>191783.4</v>
      </c>
      <c r="AC20">
        <f t="shared" si="1"/>
        <v>191594.6</v>
      </c>
      <c r="AE20" t="s">
        <v>2040</v>
      </c>
      <c r="AF20" s="6">
        <f>MAX(J:J)</f>
        <v>44556</v>
      </c>
      <c r="AK20">
        <v>17</v>
      </c>
      <c r="AL20">
        <f t="shared" si="3"/>
        <v>249870</v>
      </c>
      <c r="AN20">
        <v>17</v>
      </c>
      <c r="AO20">
        <f t="shared" si="2"/>
        <v>43363</v>
      </c>
      <c r="AQ20">
        <v>18</v>
      </c>
      <c r="AR20">
        <f>COUNTIFS(G:G,"asian",P:P,"united states")</f>
        <v>186</v>
      </c>
    </row>
    <row r="21" spans="1:46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 s="17"/>
      <c r="I21">
        <v>45</v>
      </c>
      <c r="J21" s="6">
        <v>37446</v>
      </c>
      <c r="K21" s="8">
        <v>166331</v>
      </c>
      <c r="L21" s="1">
        <v>0.18</v>
      </c>
      <c r="M21" s="8">
        <f>TBL_Employees[[#This Row],[Annual Salary]]*TBL_Employees[[#This Row],[Bonus %]]</f>
        <v>29939.579999999998</v>
      </c>
      <c r="N21" s="8">
        <f>SUM(TBL_Employees[[#This Row],[Annual Salary]],TBL_Employees[[#This Row],[TOTAL BONUS]])</f>
        <v>196270.58</v>
      </c>
      <c r="O21" s="8">
        <f>TBL_Employees[[#This Row],[Annual Salary]]*TBL_Employees[[#This Row],[Bonus %]]/100+TBL_Employees[[#This Row],[Annual Salary]]</f>
        <v>166630.3958</v>
      </c>
      <c r="P21" t="s">
        <v>33</v>
      </c>
      <c r="Q21" t="s">
        <v>80</v>
      </c>
      <c r="R21" s="6" t="s">
        <v>21</v>
      </c>
      <c r="U21" t="e">
        <f ca="1"/>
        <v>#NAME?</v>
      </c>
      <c r="V21">
        <f ca="1">SUM(V17:V20)</f>
        <v>74</v>
      </c>
      <c r="AA21">
        <v>95</v>
      </c>
      <c r="AB21">
        <f t="shared" si="0"/>
        <v>223386.55</v>
      </c>
      <c r="AC21">
        <f t="shared" si="1"/>
        <v>223072.44999999998</v>
      </c>
      <c r="AK21">
        <v>18</v>
      </c>
      <c r="AL21">
        <f t="shared" si="3"/>
        <v>249801</v>
      </c>
      <c r="AN21">
        <v>18</v>
      </c>
      <c r="AO21">
        <f t="shared" si="2"/>
        <v>43391</v>
      </c>
      <c r="AQ21">
        <v>19</v>
      </c>
      <c r="AR21">
        <f>COUNTIFS(F:F,"female",Q:Q,"chicago")</f>
        <v>52</v>
      </c>
    </row>
    <row r="22" spans="1:46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 s="17"/>
      <c r="I22">
        <v>56</v>
      </c>
      <c r="J22" s="6">
        <v>40917</v>
      </c>
      <c r="K22" s="8">
        <v>146140</v>
      </c>
      <c r="L22" s="1">
        <v>0.1</v>
      </c>
      <c r="M22" s="8">
        <f>TBL_Employees[[#This Row],[Annual Salary]]*TBL_Employees[[#This Row],[Bonus %]]</f>
        <v>14614</v>
      </c>
      <c r="N22" s="8">
        <f>SUM(TBL_Employees[[#This Row],[Annual Salary]],TBL_Employees[[#This Row],[TOTAL BONUS]])</f>
        <v>160754</v>
      </c>
      <c r="O22" s="8">
        <f>TBL_Employees[[#This Row],[Annual Salary]]*TBL_Employees[[#This Row],[Bonus %]]/100+TBL_Employees[[#This Row],[Annual Salary]]</f>
        <v>146286.14000000001</v>
      </c>
      <c r="P22" t="s">
        <v>52</v>
      </c>
      <c r="Q22" t="s">
        <v>81</v>
      </c>
      <c r="R22" s="6" t="s">
        <v>21</v>
      </c>
      <c r="AA22">
        <v>100</v>
      </c>
      <c r="AB22" t="e">
        <f t="shared" si="0"/>
        <v>#NUM!</v>
      </c>
      <c r="AC22">
        <f t="shared" si="1"/>
        <v>258498</v>
      </c>
      <c r="AK22">
        <v>19</v>
      </c>
      <c r="AL22">
        <f t="shared" si="3"/>
        <v>249686</v>
      </c>
      <c r="AN22">
        <v>19</v>
      </c>
      <c r="AO22">
        <f t="shared" si="2"/>
        <v>44614</v>
      </c>
      <c r="AQ22">
        <v>20</v>
      </c>
      <c r="AR22">
        <f>COUNTIFS(G:G,"Caucasian",P:P,"united states")</f>
        <v>271</v>
      </c>
    </row>
    <row r="23" spans="1:46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 s="17"/>
      <c r="I23">
        <v>36</v>
      </c>
      <c r="J23" s="6">
        <v>44288</v>
      </c>
      <c r="K23" s="8">
        <v>151703</v>
      </c>
      <c r="L23" s="1">
        <v>0.21</v>
      </c>
      <c r="M23" s="8">
        <f>TBL_Employees[[#This Row],[Annual Salary]]*TBL_Employees[[#This Row],[Bonus %]]</f>
        <v>31857.629999999997</v>
      </c>
      <c r="N23" s="8">
        <f>SUM(TBL_Employees[[#This Row],[Annual Salary]],TBL_Employees[[#This Row],[TOTAL BONUS]])</f>
        <v>183560.63</v>
      </c>
      <c r="O23" s="8">
        <f>TBL_Employees[[#This Row],[Annual Salary]]*TBL_Employees[[#This Row],[Bonus %]]/100+TBL_Employees[[#This Row],[Annual Salary]]</f>
        <v>152021.57629999999</v>
      </c>
      <c r="P23" t="s">
        <v>19</v>
      </c>
      <c r="Q23" t="s">
        <v>45</v>
      </c>
      <c r="R23" s="6" t="s">
        <v>21</v>
      </c>
      <c r="AE23" t="s">
        <v>2041</v>
      </c>
      <c r="AF23" s="6">
        <f>MAX(R:R)</f>
        <v>44790</v>
      </c>
      <c r="AK23">
        <v>20</v>
      </c>
      <c r="AL23">
        <f t="shared" si="3"/>
        <v>249506</v>
      </c>
      <c r="AN23">
        <v>20</v>
      </c>
      <c r="AO23">
        <f t="shared" si="2"/>
        <v>44732</v>
      </c>
      <c r="AQ23">
        <v>21</v>
      </c>
      <c r="AR23" t="s">
        <v>2058</v>
      </c>
    </row>
    <row r="24" spans="1:46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 s="17"/>
      <c r="I24">
        <v>59</v>
      </c>
      <c r="J24" s="6">
        <v>37400</v>
      </c>
      <c r="K24" s="8">
        <v>172787</v>
      </c>
      <c r="L24" s="1">
        <v>0.28000000000000003</v>
      </c>
      <c r="M24" s="8">
        <f>TBL_Employees[[#This Row],[Annual Salary]]*TBL_Employees[[#This Row],[Bonus %]]</f>
        <v>48380.360000000008</v>
      </c>
      <c r="N24" s="8">
        <f>SUM(TBL_Employees[[#This Row],[Annual Salary]],TBL_Employees[[#This Row],[TOTAL BONUS]])</f>
        <v>221167.36000000002</v>
      </c>
      <c r="O24" s="8">
        <f>TBL_Employees[[#This Row],[Annual Salary]]*TBL_Employees[[#This Row],[Bonus %]]/100+TBL_Employees[[#This Row],[Annual Salary]]</f>
        <v>173270.80360000001</v>
      </c>
      <c r="P24" t="s">
        <v>52</v>
      </c>
      <c r="Q24" t="s">
        <v>66</v>
      </c>
      <c r="R24" s="6" t="s">
        <v>21</v>
      </c>
      <c r="AF24" s="6">
        <f>MIN(R:R)</f>
        <v>34686</v>
      </c>
      <c r="AQ24">
        <v>22</v>
      </c>
      <c r="AR24">
        <f>COUNTIFS(G:G,"asian",P:P,"china")</f>
        <v>218</v>
      </c>
    </row>
    <row r="25" spans="1:46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 s="17"/>
      <c r="I25">
        <v>37</v>
      </c>
      <c r="J25" s="6">
        <v>43713</v>
      </c>
      <c r="K25" s="8">
        <v>49998</v>
      </c>
      <c r="L25" s="1">
        <v>0</v>
      </c>
      <c r="M25" s="8">
        <f>TBL_Employees[[#This Row],[Annual Salary]]*TBL_Employees[[#This Row],[Bonus %]]</f>
        <v>0</v>
      </c>
      <c r="N25" s="8">
        <f>SUM(TBL_Employees[[#This Row],[Annual Salary]],TBL_Employees[[#This Row],[TOTAL BONUS]])</f>
        <v>49998</v>
      </c>
      <c r="O25" s="8">
        <f>TBL_Employees[[#This Row],[Annual Salary]]*TBL_Employees[[#This Row],[Bonus %]]/100+TBL_Employees[[#This Row],[Annual Salary]]</f>
        <v>49998</v>
      </c>
      <c r="P25" t="s">
        <v>19</v>
      </c>
      <c r="Q25" t="s">
        <v>63</v>
      </c>
      <c r="R25" s="6" t="s">
        <v>21</v>
      </c>
      <c r="U25" t="e" cm="1">
        <f t="array" aca="1" ref="U25:U39" ca="1">_xlfn.UNIQUE(Q:Q)</f>
        <v>#NAME?</v>
      </c>
      <c r="AQ25">
        <v>23</v>
      </c>
      <c r="AR25">
        <f>COUNTIFS(E:E,"reserch &amp; development",E:E,"corporate")</f>
        <v>0</v>
      </c>
      <c r="AS25" t="s">
        <v>2059</v>
      </c>
    </row>
    <row r="26" spans="1:46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 s="17"/>
      <c r="I26">
        <v>44</v>
      </c>
      <c r="J26" s="6">
        <v>41700</v>
      </c>
      <c r="K26" s="8">
        <v>207172</v>
      </c>
      <c r="L26" s="1">
        <v>0.31</v>
      </c>
      <c r="M26" s="8">
        <f>TBL_Employees[[#This Row],[Annual Salary]]*TBL_Employees[[#This Row],[Bonus %]]</f>
        <v>64223.32</v>
      </c>
      <c r="N26" s="8">
        <f>SUM(TBL_Employees[[#This Row],[Annual Salary]],TBL_Employees[[#This Row],[TOTAL BONUS]])</f>
        <v>271395.32</v>
      </c>
      <c r="O26" s="8">
        <f>TBL_Employees[[#This Row],[Annual Salary]]*TBL_Employees[[#This Row],[Bonus %]]/100+TBL_Employees[[#This Row],[Annual Salary]]</f>
        <v>207814.23319999999</v>
      </c>
      <c r="P26" t="s">
        <v>33</v>
      </c>
      <c r="Q26" t="s">
        <v>80</v>
      </c>
      <c r="R26" s="6" t="s">
        <v>21</v>
      </c>
      <c r="U26" t="e">
        <f ca="1"/>
        <v>#NAME?</v>
      </c>
      <c r="V26">
        <f ca="1">COUNTIF(Q:Q,U26)</f>
        <v>0</v>
      </c>
      <c r="AQ26">
        <v>24</v>
      </c>
      <c r="AR26">
        <f>COUNTIFS(C:C,"manager",D:D,"engineering")</f>
        <v>0</v>
      </c>
    </row>
    <row r="27" spans="1:46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 s="17"/>
      <c r="I27">
        <v>41</v>
      </c>
      <c r="J27" s="6">
        <v>42111</v>
      </c>
      <c r="K27" s="8">
        <v>152239</v>
      </c>
      <c r="L27" s="1">
        <v>0.23</v>
      </c>
      <c r="M27" s="8">
        <f>TBL_Employees[[#This Row],[Annual Salary]]*TBL_Employees[[#This Row],[Bonus %]]</f>
        <v>35014.97</v>
      </c>
      <c r="N27" s="8">
        <f>SUM(TBL_Employees[[#This Row],[Annual Salary]],TBL_Employees[[#This Row],[TOTAL BONUS]])</f>
        <v>187253.97</v>
      </c>
      <c r="O27" s="8">
        <f>TBL_Employees[[#This Row],[Annual Salary]]*TBL_Employees[[#This Row],[Bonus %]]/100+TBL_Employees[[#This Row],[Annual Salary]]</f>
        <v>152589.14970000001</v>
      </c>
      <c r="P27" t="s">
        <v>19</v>
      </c>
      <c r="Q27" t="s">
        <v>29</v>
      </c>
      <c r="R27" s="6" t="s">
        <v>21</v>
      </c>
      <c r="U27" t="e">
        <f ca="1"/>
        <v>#NAME?</v>
      </c>
      <c r="V27">
        <f t="shared" ref="V27:V39" ca="1" si="4">COUNTIF(Q:Q,U27)</f>
        <v>0</v>
      </c>
      <c r="AE27" t="s">
        <v>2042</v>
      </c>
      <c r="AF27">
        <f>COUNT(J:J)</f>
        <v>1000</v>
      </c>
      <c r="AQ27">
        <v>25</v>
      </c>
      <c r="AR27">
        <f>COUNTIFS(F:F,"female",G:G,"asian")</f>
        <v>207</v>
      </c>
    </row>
    <row r="28" spans="1:46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 s="17"/>
      <c r="I28">
        <v>56</v>
      </c>
      <c r="J28" s="6">
        <v>38388</v>
      </c>
      <c r="K28" s="8">
        <v>98581</v>
      </c>
      <c r="L28" s="1">
        <v>0</v>
      </c>
      <c r="M28" s="8">
        <f>TBL_Employees[[#This Row],[Annual Salary]]*TBL_Employees[[#This Row],[Bonus %]]</f>
        <v>0</v>
      </c>
      <c r="N28" s="8">
        <f>SUM(TBL_Employees[[#This Row],[Annual Salary]],TBL_Employees[[#This Row],[TOTAL BONUS]])</f>
        <v>98581</v>
      </c>
      <c r="O28" s="8">
        <f>TBL_Employees[[#This Row],[Annual Salary]]*TBL_Employees[[#This Row],[Bonus %]]/100+TBL_Employees[[#This Row],[Annual Salary]]</f>
        <v>98581</v>
      </c>
      <c r="P28" t="s">
        <v>52</v>
      </c>
      <c r="Q28" t="s">
        <v>66</v>
      </c>
      <c r="R28" s="6" t="s">
        <v>21</v>
      </c>
      <c r="U28" t="e">
        <f ca="1"/>
        <v>#NAME?</v>
      </c>
      <c r="V28">
        <f t="shared" ca="1" si="4"/>
        <v>0</v>
      </c>
      <c r="AE28" t="s">
        <v>2043</v>
      </c>
      <c r="AF28">
        <f>COUNT(R:R)</f>
        <v>85</v>
      </c>
      <c r="AG28" s="11">
        <f>AF28/AF27</f>
        <v>8.5000000000000006E-2</v>
      </c>
      <c r="AQ28">
        <v>26</v>
      </c>
      <c r="AR28">
        <f>COUNTIFS(E:E,"Research &amp; Development",D:D,"it")</f>
        <v>55</v>
      </c>
    </row>
    <row r="29" spans="1:46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 s="17"/>
      <c r="I29">
        <v>43</v>
      </c>
      <c r="J29" s="6">
        <v>38145</v>
      </c>
      <c r="K29" s="8">
        <v>246231</v>
      </c>
      <c r="L29" s="1">
        <v>0.31</v>
      </c>
      <c r="M29" s="8">
        <f>TBL_Employees[[#This Row],[Annual Salary]]*TBL_Employees[[#This Row],[Bonus %]]</f>
        <v>76331.61</v>
      </c>
      <c r="N29" s="8">
        <f>SUM(TBL_Employees[[#This Row],[Annual Salary]],TBL_Employees[[#This Row],[TOTAL BONUS]])</f>
        <v>322562.61</v>
      </c>
      <c r="O29" s="8">
        <f>TBL_Employees[[#This Row],[Annual Salary]]*TBL_Employees[[#This Row],[Bonus %]]/100+TBL_Employees[[#This Row],[Annual Salary]]</f>
        <v>246994.3161</v>
      </c>
      <c r="P29" t="s">
        <v>19</v>
      </c>
      <c r="Q29" t="s">
        <v>63</v>
      </c>
      <c r="R29" s="6" t="s">
        <v>21</v>
      </c>
      <c r="U29" t="e">
        <f ca="1"/>
        <v>#NAME?</v>
      </c>
      <c r="V29">
        <f t="shared" ca="1" si="4"/>
        <v>0</v>
      </c>
      <c r="AE29" t="s">
        <v>2044</v>
      </c>
      <c r="AF29">
        <f>AF27-AF28</f>
        <v>915</v>
      </c>
      <c r="AG29">
        <f>COUNT(J:J)-COUNT(R:R)</f>
        <v>915</v>
      </c>
      <c r="AH29" s="11">
        <f>AG29/AF27</f>
        <v>0.91500000000000004</v>
      </c>
      <c r="AQ29">
        <v>27</v>
      </c>
      <c r="AR29">
        <f>COUNTBLANK(R2:R1001)</f>
        <v>915</v>
      </c>
      <c r="AT29" t="e">
        <f>maxa</f>
        <v>#NAME?</v>
      </c>
    </row>
    <row r="30" spans="1:46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 s="17"/>
      <c r="I30">
        <v>64</v>
      </c>
      <c r="J30" s="6">
        <v>35403</v>
      </c>
      <c r="K30" s="8">
        <v>99354</v>
      </c>
      <c r="L30" s="1">
        <v>0.12</v>
      </c>
      <c r="M30" s="8">
        <f>TBL_Employees[[#This Row],[Annual Salary]]*TBL_Employees[[#This Row],[Bonus %]]</f>
        <v>11922.48</v>
      </c>
      <c r="N30" s="8">
        <f>SUM(TBL_Employees[[#This Row],[Annual Salary]],TBL_Employees[[#This Row],[TOTAL BONUS]])</f>
        <v>111276.48</v>
      </c>
      <c r="O30" s="8">
        <f>TBL_Employees[[#This Row],[Annual Salary]]*TBL_Employees[[#This Row],[Bonus %]]/100+TBL_Employees[[#This Row],[Annual Salary]]</f>
        <v>99473.224799999996</v>
      </c>
      <c r="P30" t="s">
        <v>33</v>
      </c>
      <c r="Q30" t="s">
        <v>60</v>
      </c>
      <c r="R30" s="6" t="s">
        <v>21</v>
      </c>
      <c r="U30" t="e">
        <f ca="1"/>
        <v>#NAME?</v>
      </c>
      <c r="V30">
        <f t="shared" ca="1" si="4"/>
        <v>0</v>
      </c>
      <c r="AQ30">
        <v>28</v>
      </c>
      <c r="AR30" s="6">
        <f>MIN(J:J)</f>
        <v>33612</v>
      </c>
    </row>
    <row r="31" spans="1:46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 s="17"/>
      <c r="I31">
        <v>63</v>
      </c>
      <c r="J31" s="6">
        <v>41040</v>
      </c>
      <c r="K31" s="8">
        <v>231141</v>
      </c>
      <c r="L31" s="1">
        <v>0.34</v>
      </c>
      <c r="M31" s="8">
        <f>TBL_Employees[[#This Row],[Annual Salary]]*TBL_Employees[[#This Row],[Bonus %]]</f>
        <v>78587.94</v>
      </c>
      <c r="N31" s="8">
        <f>SUM(TBL_Employees[[#This Row],[Annual Salary]],TBL_Employees[[#This Row],[TOTAL BONUS]])</f>
        <v>309728.94</v>
      </c>
      <c r="O31" s="8">
        <f>TBL_Employees[[#This Row],[Annual Salary]]*TBL_Employees[[#This Row],[Bonus %]]/100+TBL_Employees[[#This Row],[Annual Salary]]</f>
        <v>231926.87940000001</v>
      </c>
      <c r="P31" t="s">
        <v>33</v>
      </c>
      <c r="Q31" t="s">
        <v>60</v>
      </c>
      <c r="R31" s="6" t="s">
        <v>21</v>
      </c>
      <c r="U31" t="e">
        <f ca="1"/>
        <v>#NAME?</v>
      </c>
      <c r="V31">
        <f t="shared" ca="1" si="4"/>
        <v>0</v>
      </c>
      <c r="AQ31">
        <v>29</v>
      </c>
      <c r="AR31" s="6">
        <f>MAX(J:J)</f>
        <v>44556</v>
      </c>
    </row>
    <row r="32" spans="1:46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 s="17"/>
      <c r="I32">
        <v>28</v>
      </c>
      <c r="J32" s="6">
        <v>42911</v>
      </c>
      <c r="K32" s="8">
        <v>54775</v>
      </c>
      <c r="L32" s="1">
        <v>0</v>
      </c>
      <c r="M32" s="8">
        <f>TBL_Employees[[#This Row],[Annual Salary]]*TBL_Employees[[#This Row],[Bonus %]]</f>
        <v>0</v>
      </c>
      <c r="N32" s="8">
        <f>SUM(TBL_Employees[[#This Row],[Annual Salary]],TBL_Employees[[#This Row],[TOTAL BONUS]])</f>
        <v>54775</v>
      </c>
      <c r="O32" s="8">
        <f>TBL_Employees[[#This Row],[Annual Salary]]*TBL_Employees[[#This Row],[Bonus %]]/100+TBL_Employees[[#This Row],[Annual Salary]]</f>
        <v>54775</v>
      </c>
      <c r="P32" t="s">
        <v>19</v>
      </c>
      <c r="Q32" t="s">
        <v>29</v>
      </c>
      <c r="R32" s="6" t="s">
        <v>21</v>
      </c>
      <c r="U32" t="e">
        <f ca="1"/>
        <v>#NAME?</v>
      </c>
      <c r="V32">
        <f t="shared" ca="1" si="4"/>
        <v>0</v>
      </c>
      <c r="AK32">
        <f>30*5/100</f>
        <v>1.5</v>
      </c>
      <c r="AQ32">
        <v>30</v>
      </c>
      <c r="AR32" t="s">
        <v>2060</v>
      </c>
      <c r="AS32" t="e">
        <f>AQ32*AR32/100+AQ32</f>
        <v>#VALUE!</v>
      </c>
    </row>
    <row r="33" spans="1:4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 s="17"/>
      <c r="I33">
        <v>65</v>
      </c>
      <c r="J33" s="6">
        <v>38123</v>
      </c>
      <c r="K33" s="8">
        <v>55499</v>
      </c>
      <c r="L33" s="1">
        <v>0</v>
      </c>
      <c r="M33" s="8">
        <f>TBL_Employees[[#This Row],[Annual Salary]]*TBL_Employees[[#This Row],[Bonus %]]</f>
        <v>0</v>
      </c>
      <c r="N33" s="8">
        <f>SUM(TBL_Employees[[#This Row],[Annual Salary]],TBL_Employees[[#This Row],[TOTAL BONUS]])</f>
        <v>55499</v>
      </c>
      <c r="O33" s="8">
        <f>TBL_Employees[[#This Row],[Annual Salary]]*TBL_Employees[[#This Row],[Bonus %]]/100+TBL_Employees[[#This Row],[Annual Salary]]</f>
        <v>55499</v>
      </c>
      <c r="P33" t="s">
        <v>52</v>
      </c>
      <c r="Q33" t="s">
        <v>81</v>
      </c>
      <c r="R33" s="6" t="s">
        <v>21</v>
      </c>
      <c r="U33" t="e">
        <f ca="1"/>
        <v>#NAME?</v>
      </c>
      <c r="V33">
        <f t="shared" ca="1" si="4"/>
        <v>0</v>
      </c>
      <c r="AQ33">
        <v>31</v>
      </c>
      <c r="AR33" t="s">
        <v>2060</v>
      </c>
    </row>
    <row r="34" spans="1:4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 s="17"/>
      <c r="I34">
        <v>61</v>
      </c>
      <c r="J34" s="6">
        <v>39640</v>
      </c>
      <c r="K34" s="8">
        <v>66521</v>
      </c>
      <c r="L34" s="1">
        <v>0</v>
      </c>
      <c r="M34" s="8">
        <f>TBL_Employees[[#This Row],[Annual Salary]]*TBL_Employees[[#This Row],[Bonus %]]</f>
        <v>0</v>
      </c>
      <c r="N34" s="8">
        <f>SUM(TBL_Employees[[#This Row],[Annual Salary]],TBL_Employees[[#This Row],[TOTAL BONUS]])</f>
        <v>66521</v>
      </c>
      <c r="O34" s="8">
        <f>TBL_Employees[[#This Row],[Annual Salary]]*TBL_Employees[[#This Row],[Bonus %]]/100+TBL_Employees[[#This Row],[Annual Salary]]</f>
        <v>66521</v>
      </c>
      <c r="P34" t="s">
        <v>19</v>
      </c>
      <c r="Q34" t="s">
        <v>63</v>
      </c>
      <c r="R34" s="6" t="s">
        <v>21</v>
      </c>
      <c r="U34" t="e">
        <f ca="1"/>
        <v>#NAME?</v>
      </c>
      <c r="V34">
        <f t="shared" ca="1" si="4"/>
        <v>0</v>
      </c>
      <c r="AQ34">
        <v>32</v>
      </c>
      <c r="AR34" t="s">
        <v>2061</v>
      </c>
    </row>
    <row r="35" spans="1:4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 s="17"/>
      <c r="I35">
        <v>30</v>
      </c>
      <c r="J35" s="6">
        <v>42642</v>
      </c>
      <c r="K35" s="8">
        <v>59100</v>
      </c>
      <c r="L35" s="1">
        <v>0</v>
      </c>
      <c r="M35" s="8">
        <f>TBL_Employees[[#This Row],[Annual Salary]]*TBL_Employees[[#This Row],[Bonus %]]</f>
        <v>0</v>
      </c>
      <c r="N35" s="8">
        <f>SUM(TBL_Employees[[#This Row],[Annual Salary]],TBL_Employees[[#This Row],[TOTAL BONUS]])</f>
        <v>59100</v>
      </c>
      <c r="O35" s="8">
        <f>TBL_Employees[[#This Row],[Annual Salary]]*TBL_Employees[[#This Row],[Bonus %]]/100+TBL_Employees[[#This Row],[Annual Salary]]</f>
        <v>59100</v>
      </c>
      <c r="P35" t="s">
        <v>33</v>
      </c>
      <c r="Q35" t="s">
        <v>80</v>
      </c>
      <c r="R35" s="6" t="s">
        <v>21</v>
      </c>
      <c r="U35" t="e">
        <f ca="1"/>
        <v>#NAME?</v>
      </c>
      <c r="V35">
        <f t="shared" ca="1" si="4"/>
        <v>0</v>
      </c>
      <c r="AQ35" s="17">
        <v>33</v>
      </c>
      <c r="AR35" t="s">
        <v>2062</v>
      </c>
    </row>
    <row r="36" spans="1:4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 s="17"/>
      <c r="I36">
        <v>27</v>
      </c>
      <c r="J36" s="6">
        <v>43226</v>
      </c>
      <c r="K36" s="8">
        <v>49011</v>
      </c>
      <c r="L36" s="1">
        <v>0</v>
      </c>
      <c r="M36" s="8">
        <f>TBL_Employees[[#This Row],[Annual Salary]]*TBL_Employees[[#This Row],[Bonus %]]</f>
        <v>0</v>
      </c>
      <c r="N36" s="8">
        <f>SUM(TBL_Employees[[#This Row],[Annual Salary]],TBL_Employees[[#This Row],[TOTAL BONUS]])</f>
        <v>49011</v>
      </c>
      <c r="O36" s="8">
        <f>TBL_Employees[[#This Row],[Annual Salary]]*TBL_Employees[[#This Row],[Bonus %]]/100+TBL_Employees[[#This Row],[Annual Salary]]</f>
        <v>49011</v>
      </c>
      <c r="P36" t="s">
        <v>19</v>
      </c>
      <c r="Q36" t="s">
        <v>20</v>
      </c>
      <c r="R36" s="6" t="s">
        <v>21</v>
      </c>
      <c r="U36" t="e">
        <f ca="1"/>
        <v>#NAME?</v>
      </c>
      <c r="V36">
        <f t="shared" ca="1" si="4"/>
        <v>0</v>
      </c>
      <c r="AQ36" s="17">
        <v>34</v>
      </c>
      <c r="AR36" t="s">
        <v>2061</v>
      </c>
    </row>
    <row r="37" spans="1:4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 s="17"/>
      <c r="I37">
        <v>32</v>
      </c>
      <c r="J37" s="6">
        <v>41681</v>
      </c>
      <c r="K37" s="8">
        <v>99575</v>
      </c>
      <c r="L37" s="1">
        <v>0</v>
      </c>
      <c r="M37" s="8">
        <f>TBL_Employees[[#This Row],[Annual Salary]]*TBL_Employees[[#This Row],[Bonus %]]</f>
        <v>0</v>
      </c>
      <c r="N37" s="8">
        <f>SUM(TBL_Employees[[#This Row],[Annual Salary]],TBL_Employees[[#This Row],[TOTAL BONUS]])</f>
        <v>99575</v>
      </c>
      <c r="O37" s="8">
        <f>TBL_Employees[[#This Row],[Annual Salary]]*TBL_Employees[[#This Row],[Bonus %]]/100+TBL_Employees[[#This Row],[Annual Salary]]</f>
        <v>99575</v>
      </c>
      <c r="P37" t="s">
        <v>19</v>
      </c>
      <c r="Q37" t="s">
        <v>25</v>
      </c>
      <c r="R37" s="6" t="s">
        <v>21</v>
      </c>
      <c r="U37" t="e">
        <f ca="1"/>
        <v>#NAME?</v>
      </c>
      <c r="V37">
        <f t="shared" ca="1" si="4"/>
        <v>0</v>
      </c>
      <c r="AQ37" s="17">
        <v>35</v>
      </c>
      <c r="AR37" s="6">
        <f>MIN(J:J)</f>
        <v>33612</v>
      </c>
      <c r="AS37" s="16"/>
    </row>
    <row r="38" spans="1:4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 s="17"/>
      <c r="I38">
        <v>34</v>
      </c>
      <c r="J38" s="6">
        <v>43815</v>
      </c>
      <c r="K38" s="8">
        <v>99989</v>
      </c>
      <c r="L38" s="1">
        <v>0</v>
      </c>
      <c r="M38" s="8">
        <f>TBL_Employees[[#This Row],[Annual Salary]]*TBL_Employees[[#This Row],[Bonus %]]</f>
        <v>0</v>
      </c>
      <c r="N38" s="8">
        <f>SUM(TBL_Employees[[#This Row],[Annual Salary]],TBL_Employees[[#This Row],[TOTAL BONUS]])</f>
        <v>99989</v>
      </c>
      <c r="O38" s="8">
        <f>TBL_Employees[[#This Row],[Annual Salary]]*TBL_Employees[[#This Row],[Bonus %]]/100+TBL_Employees[[#This Row],[Annual Salary]]</f>
        <v>99989</v>
      </c>
      <c r="P38" t="s">
        <v>33</v>
      </c>
      <c r="Q38" t="s">
        <v>34</v>
      </c>
      <c r="R38" s="6" t="s">
        <v>21</v>
      </c>
      <c r="U38" t="e">
        <f ca="1"/>
        <v>#NAME?</v>
      </c>
      <c r="V38">
        <f t="shared" ca="1" si="4"/>
        <v>0</v>
      </c>
      <c r="AQ38" s="17">
        <v>36</v>
      </c>
      <c r="AR38" s="6">
        <f>MAX(J:J)</f>
        <v>44556</v>
      </c>
    </row>
    <row r="39" spans="1:4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 s="17"/>
      <c r="I39">
        <v>27</v>
      </c>
      <c r="J39" s="6">
        <v>43758</v>
      </c>
      <c r="K39" s="8">
        <v>256420</v>
      </c>
      <c r="L39" s="1">
        <v>0.3</v>
      </c>
      <c r="M39" s="8">
        <f>TBL_Employees[[#This Row],[Annual Salary]]*TBL_Employees[[#This Row],[Bonus %]]</f>
        <v>76926</v>
      </c>
      <c r="N39" s="8">
        <f>SUM(TBL_Employees[[#This Row],[Annual Salary]],TBL_Employees[[#This Row],[TOTAL BONUS]])</f>
        <v>333346</v>
      </c>
      <c r="O39" s="8">
        <f>TBL_Employees[[#This Row],[Annual Salary]]*TBL_Employees[[#This Row],[Bonus %]]/100+TBL_Employees[[#This Row],[Annual Salary]]</f>
        <v>257189.26</v>
      </c>
      <c r="P39" t="s">
        <v>19</v>
      </c>
      <c r="Q39" t="s">
        <v>39</v>
      </c>
      <c r="R39" s="6" t="s">
        <v>21</v>
      </c>
      <c r="U39" t="e">
        <f ca="1"/>
        <v>#NAME?</v>
      </c>
      <c r="V39">
        <f t="shared" ca="1" si="4"/>
        <v>0</v>
      </c>
      <c r="AQ39" s="17">
        <v>37</v>
      </c>
      <c r="AR39" s="6">
        <f>SMALL(J:J,2)</f>
        <v>33682</v>
      </c>
    </row>
    <row r="40" spans="1:4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 s="17"/>
      <c r="I40">
        <v>35</v>
      </c>
      <c r="J40" s="6">
        <v>41409</v>
      </c>
      <c r="K40" s="8">
        <v>78940</v>
      </c>
      <c r="L40" s="1">
        <v>0</v>
      </c>
      <c r="M40" s="8">
        <f>TBL_Employees[[#This Row],[Annual Salary]]*TBL_Employees[[#This Row],[Bonus %]]</f>
        <v>0</v>
      </c>
      <c r="N40" s="8">
        <f>SUM(TBL_Employees[[#This Row],[Annual Salary]],TBL_Employees[[#This Row],[TOTAL BONUS]])</f>
        <v>78940</v>
      </c>
      <c r="O40" s="8">
        <f>TBL_Employees[[#This Row],[Annual Salary]]*TBL_Employees[[#This Row],[Bonus %]]/100+TBL_Employees[[#This Row],[Annual Salary]]</f>
        <v>78940</v>
      </c>
      <c r="P40" t="s">
        <v>19</v>
      </c>
      <c r="Q40" t="s">
        <v>45</v>
      </c>
      <c r="R40" s="6" t="s">
        <v>21</v>
      </c>
      <c r="AQ40" s="17">
        <v>38</v>
      </c>
      <c r="AR40" s="6">
        <f>SMALL(J:J,3)</f>
        <v>33695</v>
      </c>
    </row>
    <row r="41" spans="1:4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 s="17"/>
      <c r="I41">
        <v>57</v>
      </c>
      <c r="J41" s="6">
        <v>34337</v>
      </c>
      <c r="K41" s="8">
        <v>82872</v>
      </c>
      <c r="L41" s="1">
        <v>0</v>
      </c>
      <c r="M41" s="8">
        <f>TBL_Employees[[#This Row],[Annual Salary]]*TBL_Employees[[#This Row],[Bonus %]]</f>
        <v>0</v>
      </c>
      <c r="N41" s="8">
        <f>SUM(TBL_Employees[[#This Row],[Annual Salary]],TBL_Employees[[#This Row],[TOTAL BONUS]])</f>
        <v>82872</v>
      </c>
      <c r="O41" s="8">
        <f>TBL_Employees[[#This Row],[Annual Salary]]*TBL_Employees[[#This Row],[Bonus %]]/100+TBL_Employees[[#This Row],[Annual Salary]]</f>
        <v>82872</v>
      </c>
      <c r="P41" t="s">
        <v>52</v>
      </c>
      <c r="Q41" t="s">
        <v>81</v>
      </c>
      <c r="R41" s="6" t="s">
        <v>21</v>
      </c>
      <c r="V41">
        <f ca="1">SUM(V26:V39)</f>
        <v>0</v>
      </c>
      <c r="AQ41" s="17">
        <v>39</v>
      </c>
      <c r="AR41">
        <f>COUNTIF(D:D,"it")</f>
        <v>241</v>
      </c>
    </row>
    <row r="42" spans="1:4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 s="17"/>
      <c r="I42">
        <v>30</v>
      </c>
      <c r="J42" s="6">
        <v>42884</v>
      </c>
      <c r="K42" s="8">
        <v>86317</v>
      </c>
      <c r="L42" s="1">
        <v>0</v>
      </c>
      <c r="M42" s="8">
        <f>TBL_Employees[[#This Row],[Annual Salary]]*TBL_Employees[[#This Row],[Bonus %]]</f>
        <v>0</v>
      </c>
      <c r="N42" s="8">
        <f>SUM(TBL_Employees[[#This Row],[Annual Salary]],TBL_Employees[[#This Row],[TOTAL BONUS]])</f>
        <v>86317</v>
      </c>
      <c r="O42" s="8">
        <f>TBL_Employees[[#This Row],[Annual Salary]]*TBL_Employees[[#This Row],[Bonus %]]/100+TBL_Employees[[#This Row],[Annual Salary]]</f>
        <v>86317</v>
      </c>
      <c r="P42" t="s">
        <v>33</v>
      </c>
      <c r="Q42" t="s">
        <v>34</v>
      </c>
      <c r="R42" s="6">
        <v>42932</v>
      </c>
      <c r="AQ42" s="17">
        <v>40</v>
      </c>
    </row>
    <row r="43" spans="1:4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 s="17"/>
      <c r="I43">
        <v>53</v>
      </c>
      <c r="J43" s="6">
        <v>41601</v>
      </c>
      <c r="K43" s="8">
        <v>113135</v>
      </c>
      <c r="L43" s="1">
        <v>0.05</v>
      </c>
      <c r="M43" s="8">
        <f>TBL_Employees[[#This Row],[Annual Salary]]*TBL_Employees[[#This Row],[Bonus %]]</f>
        <v>5656.75</v>
      </c>
      <c r="N43" s="8">
        <f>SUM(TBL_Employees[[#This Row],[Annual Salary]],TBL_Employees[[#This Row],[TOTAL BONUS]])</f>
        <v>118791.75</v>
      </c>
      <c r="O43" s="8">
        <f>TBL_Employees[[#This Row],[Annual Salary]]*TBL_Employees[[#This Row],[Bonus %]]/100+TBL_Employees[[#This Row],[Annual Salary]]</f>
        <v>113191.5675</v>
      </c>
      <c r="P43" t="s">
        <v>19</v>
      </c>
      <c r="Q43" t="s">
        <v>25</v>
      </c>
      <c r="R43" s="6" t="s">
        <v>21</v>
      </c>
      <c r="AQ43" s="17">
        <v>41</v>
      </c>
      <c r="AR43">
        <f>COUNTIFS(G:G,"BLACK",F:F,"FEMALE")</f>
        <v>37</v>
      </c>
    </row>
    <row r="44" spans="1:4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 s="17"/>
      <c r="I44">
        <v>52</v>
      </c>
      <c r="J44" s="6">
        <v>38664</v>
      </c>
      <c r="K44" s="8">
        <v>199808</v>
      </c>
      <c r="L44" s="1">
        <v>0.32</v>
      </c>
      <c r="M44" s="8">
        <f>TBL_Employees[[#This Row],[Annual Salary]]*TBL_Employees[[#This Row],[Bonus %]]</f>
        <v>63938.560000000005</v>
      </c>
      <c r="N44" s="8">
        <f>SUM(TBL_Employees[[#This Row],[Annual Salary]],TBL_Employees[[#This Row],[TOTAL BONUS]])</f>
        <v>263746.56</v>
      </c>
      <c r="O44" s="8">
        <f>TBL_Employees[[#This Row],[Annual Salary]]*TBL_Employees[[#This Row],[Bonus %]]/100+TBL_Employees[[#This Row],[Annual Salary]]</f>
        <v>200447.38560000001</v>
      </c>
      <c r="P44" t="s">
        <v>19</v>
      </c>
      <c r="Q44" t="s">
        <v>63</v>
      </c>
      <c r="R44" s="6" t="s">
        <v>21</v>
      </c>
      <c r="AQ44" s="17">
        <v>42</v>
      </c>
      <c r="AR44">
        <f>COUNTIFS(F:F,"FEMALE",C:C,"DIRECTOR")</f>
        <v>66</v>
      </c>
    </row>
    <row r="45" spans="1:4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 s="17"/>
      <c r="I45">
        <v>37</v>
      </c>
      <c r="J45" s="6">
        <v>41592</v>
      </c>
      <c r="K45" s="8">
        <v>56037</v>
      </c>
      <c r="L45" s="1">
        <v>0</v>
      </c>
      <c r="M45" s="8">
        <f>TBL_Employees[[#This Row],[Annual Salary]]*TBL_Employees[[#This Row],[Bonus %]]</f>
        <v>0</v>
      </c>
      <c r="N45" s="8">
        <f>SUM(TBL_Employees[[#This Row],[Annual Salary]],TBL_Employees[[#This Row],[TOTAL BONUS]])</f>
        <v>56037</v>
      </c>
      <c r="O45" s="8">
        <f>TBL_Employees[[#This Row],[Annual Salary]]*TBL_Employees[[#This Row],[Bonus %]]/100+TBL_Employees[[#This Row],[Annual Salary]]</f>
        <v>56037</v>
      </c>
      <c r="P45" t="s">
        <v>33</v>
      </c>
      <c r="Q45" t="s">
        <v>74</v>
      </c>
      <c r="R45" s="6" t="s">
        <v>21</v>
      </c>
      <c r="AQ45" s="17">
        <v>43</v>
      </c>
      <c r="AR45">
        <f>COUNTIFS(F:F,"FEMALE",C:C,"MANAGER",D:D,"SALES")</f>
        <v>6</v>
      </c>
    </row>
    <row r="46" spans="1:4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 s="17"/>
      <c r="I46">
        <v>29</v>
      </c>
      <c r="J46" s="6">
        <v>43609</v>
      </c>
      <c r="K46" s="8">
        <v>122350</v>
      </c>
      <c r="L46" s="1">
        <v>0.12</v>
      </c>
      <c r="M46" s="8">
        <f>TBL_Employees[[#This Row],[Annual Salary]]*TBL_Employees[[#This Row],[Bonus %]]</f>
        <v>14682</v>
      </c>
      <c r="N46" s="8">
        <f>SUM(TBL_Employees[[#This Row],[Annual Salary]],TBL_Employees[[#This Row],[TOTAL BONUS]])</f>
        <v>137032</v>
      </c>
      <c r="O46" s="8">
        <f>TBL_Employees[[#This Row],[Annual Salary]]*TBL_Employees[[#This Row],[Bonus %]]/100+TBL_Employees[[#This Row],[Annual Salary]]</f>
        <v>122496.82</v>
      </c>
      <c r="P46" t="s">
        <v>19</v>
      </c>
      <c r="Q46" t="s">
        <v>39</v>
      </c>
      <c r="R46" s="6" t="s">
        <v>21</v>
      </c>
      <c r="AQ46" s="17">
        <v>44</v>
      </c>
    </row>
    <row r="47" spans="1:4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 s="17"/>
      <c r="I47">
        <v>40</v>
      </c>
      <c r="J47" s="6">
        <v>40486</v>
      </c>
      <c r="K47" s="8">
        <v>92952</v>
      </c>
      <c r="L47" s="1">
        <v>0</v>
      </c>
      <c r="M47" s="8">
        <f>TBL_Employees[[#This Row],[Annual Salary]]*TBL_Employees[[#This Row],[Bonus %]]</f>
        <v>0</v>
      </c>
      <c r="N47" s="8">
        <f>SUM(TBL_Employees[[#This Row],[Annual Salary]],TBL_Employees[[#This Row],[TOTAL BONUS]])</f>
        <v>92952</v>
      </c>
      <c r="O47" s="8">
        <f>TBL_Employees[[#This Row],[Annual Salary]]*TBL_Employees[[#This Row],[Bonus %]]/100+TBL_Employees[[#This Row],[Annual Salary]]</f>
        <v>92952</v>
      </c>
      <c r="P47" t="s">
        <v>19</v>
      </c>
      <c r="Q47" t="s">
        <v>63</v>
      </c>
      <c r="R47" s="6" t="s">
        <v>21</v>
      </c>
      <c r="T47" s="8" t="s">
        <v>2048</v>
      </c>
      <c r="U47">
        <f>COUNTIFS(P:P,"United States",F:F,"Female",G:G,"Asian",I:I,"&lt;40")</f>
        <v>34</v>
      </c>
      <c r="AQ47" s="17">
        <v>45</v>
      </c>
    </row>
    <row r="48" spans="1:4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 s="17"/>
      <c r="I48">
        <v>32</v>
      </c>
      <c r="J48" s="6">
        <v>41353</v>
      </c>
      <c r="K48" s="8">
        <v>79921</v>
      </c>
      <c r="L48" s="1">
        <v>0.05</v>
      </c>
      <c r="M48" s="8">
        <f>TBL_Employees[[#This Row],[Annual Salary]]*TBL_Employees[[#This Row],[Bonus %]]</f>
        <v>3996.05</v>
      </c>
      <c r="N48" s="8">
        <f>SUM(TBL_Employees[[#This Row],[Annual Salary]],TBL_Employees[[#This Row],[TOTAL BONUS]])</f>
        <v>83917.05</v>
      </c>
      <c r="O48" s="8">
        <f>TBL_Employees[[#This Row],[Annual Salary]]*TBL_Employees[[#This Row],[Bonus %]]/100+TBL_Employees[[#This Row],[Annual Salary]]</f>
        <v>79960.960500000001</v>
      </c>
      <c r="P48" t="s">
        <v>19</v>
      </c>
      <c r="Q48" t="s">
        <v>25</v>
      </c>
      <c r="R48" s="6" t="s">
        <v>21</v>
      </c>
      <c r="AQ48" s="17">
        <v>46</v>
      </c>
    </row>
    <row r="49" spans="1:18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 s="17"/>
      <c r="I49">
        <v>37</v>
      </c>
      <c r="J49" s="6">
        <v>40076</v>
      </c>
      <c r="K49" s="8">
        <v>167199</v>
      </c>
      <c r="L49" s="1">
        <v>0.2</v>
      </c>
      <c r="M49" s="8">
        <f>TBL_Employees[[#This Row],[Annual Salary]]*TBL_Employees[[#This Row],[Bonus %]]</f>
        <v>33439.800000000003</v>
      </c>
      <c r="N49" s="8">
        <f>SUM(TBL_Employees[[#This Row],[Annual Salary]],TBL_Employees[[#This Row],[TOTAL BONUS]])</f>
        <v>200638.8</v>
      </c>
      <c r="O49" s="8">
        <f>TBL_Employees[[#This Row],[Annual Salary]]*TBL_Employees[[#This Row],[Bonus %]]/100+TBL_Employees[[#This Row],[Annual Salary]]</f>
        <v>167533.39799999999</v>
      </c>
      <c r="P49" t="s">
        <v>19</v>
      </c>
      <c r="Q49" t="s">
        <v>63</v>
      </c>
      <c r="R49" s="6" t="s">
        <v>21</v>
      </c>
    </row>
    <row r="50" spans="1:18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 s="17"/>
      <c r="I50">
        <v>52</v>
      </c>
      <c r="J50" s="6">
        <v>41199</v>
      </c>
      <c r="K50" s="8">
        <v>71476</v>
      </c>
      <c r="L50" s="1">
        <v>0</v>
      </c>
      <c r="M50" s="8">
        <f>TBL_Employees[[#This Row],[Annual Salary]]*TBL_Employees[[#This Row],[Bonus %]]</f>
        <v>0</v>
      </c>
      <c r="N50" s="8">
        <f>SUM(TBL_Employees[[#This Row],[Annual Salary]],TBL_Employees[[#This Row],[TOTAL BONUS]])</f>
        <v>71476</v>
      </c>
      <c r="O50" s="8">
        <f>TBL_Employees[[#This Row],[Annual Salary]]*TBL_Employees[[#This Row],[Bonus %]]/100+TBL_Employees[[#This Row],[Annual Salary]]</f>
        <v>71476</v>
      </c>
      <c r="P50" t="s">
        <v>19</v>
      </c>
      <c r="Q50" t="s">
        <v>39</v>
      </c>
      <c r="R50" s="6" t="s">
        <v>21</v>
      </c>
    </row>
    <row r="51" spans="1:18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 s="17"/>
      <c r="I51">
        <v>45</v>
      </c>
      <c r="J51" s="6">
        <v>41941</v>
      </c>
      <c r="K51" s="8">
        <v>189420</v>
      </c>
      <c r="L51" s="1">
        <v>0.2</v>
      </c>
      <c r="M51" s="8">
        <f>TBL_Employees[[#This Row],[Annual Salary]]*TBL_Employees[[#This Row],[Bonus %]]</f>
        <v>37884</v>
      </c>
      <c r="N51" s="8">
        <f>SUM(TBL_Employees[[#This Row],[Annual Salary]],TBL_Employees[[#This Row],[TOTAL BONUS]])</f>
        <v>227304</v>
      </c>
      <c r="O51" s="8">
        <f>TBL_Employees[[#This Row],[Annual Salary]]*TBL_Employees[[#This Row],[Bonus %]]/100+TBL_Employees[[#This Row],[Annual Salary]]</f>
        <v>189798.84</v>
      </c>
      <c r="P51" t="s">
        <v>19</v>
      </c>
      <c r="Q51" t="s">
        <v>63</v>
      </c>
      <c r="R51" s="6" t="s">
        <v>21</v>
      </c>
    </row>
    <row r="52" spans="1:18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 s="17"/>
      <c r="I52">
        <v>64</v>
      </c>
      <c r="J52" s="6">
        <v>37184</v>
      </c>
      <c r="K52" s="8">
        <v>64057</v>
      </c>
      <c r="L52" s="1">
        <v>0</v>
      </c>
      <c r="M52" s="8">
        <f>TBL_Employees[[#This Row],[Annual Salary]]*TBL_Employees[[#This Row],[Bonus %]]</f>
        <v>0</v>
      </c>
      <c r="N52" s="8">
        <f>SUM(TBL_Employees[[#This Row],[Annual Salary]],TBL_Employees[[#This Row],[TOTAL BONUS]])</f>
        <v>64057</v>
      </c>
      <c r="O52" s="8">
        <f>TBL_Employees[[#This Row],[Annual Salary]]*TBL_Employees[[#This Row],[Bonus %]]/100+TBL_Employees[[#This Row],[Annual Salary]]</f>
        <v>64057</v>
      </c>
      <c r="P52" t="s">
        <v>19</v>
      </c>
      <c r="Q52" t="s">
        <v>39</v>
      </c>
      <c r="R52" s="6" t="s">
        <v>21</v>
      </c>
    </row>
    <row r="53" spans="1:18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 s="17"/>
      <c r="I53">
        <v>27</v>
      </c>
      <c r="J53" s="6">
        <v>44460</v>
      </c>
      <c r="K53" s="8">
        <v>68728</v>
      </c>
      <c r="L53" s="1">
        <v>0</v>
      </c>
      <c r="M53" s="8">
        <f>TBL_Employees[[#This Row],[Annual Salary]]*TBL_Employees[[#This Row],[Bonus %]]</f>
        <v>0</v>
      </c>
      <c r="N53" s="8">
        <f>SUM(TBL_Employees[[#This Row],[Annual Salary]],TBL_Employees[[#This Row],[TOTAL BONUS]])</f>
        <v>68728</v>
      </c>
      <c r="O53" s="8">
        <f>TBL_Employees[[#This Row],[Annual Salary]]*TBL_Employees[[#This Row],[Bonus %]]/100+TBL_Employees[[#This Row],[Annual Salary]]</f>
        <v>68728</v>
      </c>
      <c r="P53" t="s">
        <v>19</v>
      </c>
      <c r="Q53" t="s">
        <v>39</v>
      </c>
      <c r="R53" s="6" t="s">
        <v>21</v>
      </c>
    </row>
    <row r="54" spans="1:18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 s="17"/>
      <c r="I54">
        <v>25</v>
      </c>
      <c r="J54" s="6">
        <v>44379</v>
      </c>
      <c r="K54" s="8">
        <v>125633</v>
      </c>
      <c r="L54" s="1">
        <v>0.11</v>
      </c>
      <c r="M54" s="8">
        <f>TBL_Employees[[#This Row],[Annual Salary]]*TBL_Employees[[#This Row],[Bonus %]]</f>
        <v>13819.63</v>
      </c>
      <c r="N54" s="8">
        <f>SUM(TBL_Employees[[#This Row],[Annual Salary]],TBL_Employees[[#This Row],[TOTAL BONUS]])</f>
        <v>139452.63</v>
      </c>
      <c r="O54" s="8">
        <f>TBL_Employees[[#This Row],[Annual Salary]]*TBL_Employees[[#This Row],[Bonus %]]/100+TBL_Employees[[#This Row],[Annual Salary]]</f>
        <v>125771.1963</v>
      </c>
      <c r="P54" t="s">
        <v>33</v>
      </c>
      <c r="Q54" t="s">
        <v>60</v>
      </c>
      <c r="R54" s="6" t="s">
        <v>21</v>
      </c>
    </row>
    <row r="55" spans="1:18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 s="17"/>
      <c r="I55">
        <v>35</v>
      </c>
      <c r="J55" s="6">
        <v>40678</v>
      </c>
      <c r="K55" s="8">
        <v>66889</v>
      </c>
      <c r="L55" s="1">
        <v>0</v>
      </c>
      <c r="M55" s="8">
        <f>TBL_Employees[[#This Row],[Annual Salary]]*TBL_Employees[[#This Row],[Bonus %]]</f>
        <v>0</v>
      </c>
      <c r="N55" s="8">
        <f>SUM(TBL_Employees[[#This Row],[Annual Salary]],TBL_Employees[[#This Row],[TOTAL BONUS]])</f>
        <v>66889</v>
      </c>
      <c r="O55" s="8">
        <f>TBL_Employees[[#This Row],[Annual Salary]]*TBL_Employees[[#This Row],[Bonus %]]/100+TBL_Employees[[#This Row],[Annual Salary]]</f>
        <v>66889</v>
      </c>
      <c r="P55" t="s">
        <v>19</v>
      </c>
      <c r="Q55" t="s">
        <v>29</v>
      </c>
      <c r="R55" s="6" t="s">
        <v>21</v>
      </c>
    </row>
    <row r="56" spans="1:18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 s="17"/>
      <c r="I56">
        <v>36</v>
      </c>
      <c r="J56" s="6">
        <v>42276</v>
      </c>
      <c r="K56" s="8">
        <v>178700</v>
      </c>
      <c r="L56" s="1">
        <v>0.28999999999999998</v>
      </c>
      <c r="M56" s="8">
        <f>TBL_Employees[[#This Row],[Annual Salary]]*TBL_Employees[[#This Row],[Bonus %]]</f>
        <v>51823</v>
      </c>
      <c r="N56" s="8">
        <f>SUM(TBL_Employees[[#This Row],[Annual Salary]],TBL_Employees[[#This Row],[TOTAL BONUS]])</f>
        <v>230523</v>
      </c>
      <c r="O56" s="8">
        <f>TBL_Employees[[#This Row],[Annual Salary]]*TBL_Employees[[#This Row],[Bonus %]]/100+TBL_Employees[[#This Row],[Annual Salary]]</f>
        <v>179218.23</v>
      </c>
      <c r="P56" t="s">
        <v>19</v>
      </c>
      <c r="Q56" t="s">
        <v>63</v>
      </c>
      <c r="R56" s="6" t="s">
        <v>21</v>
      </c>
    </row>
    <row r="57" spans="1:18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 s="17"/>
      <c r="I57">
        <v>33</v>
      </c>
      <c r="J57" s="6">
        <v>43456</v>
      </c>
      <c r="K57" s="8">
        <v>83990</v>
      </c>
      <c r="L57" s="1">
        <v>0</v>
      </c>
      <c r="M57" s="8">
        <f>TBL_Employees[[#This Row],[Annual Salary]]*TBL_Employees[[#This Row],[Bonus %]]</f>
        <v>0</v>
      </c>
      <c r="N57" s="8">
        <f>SUM(TBL_Employees[[#This Row],[Annual Salary]],TBL_Employees[[#This Row],[TOTAL BONUS]])</f>
        <v>83990</v>
      </c>
      <c r="O57" s="8">
        <f>TBL_Employees[[#This Row],[Annual Salary]]*TBL_Employees[[#This Row],[Bonus %]]/100+TBL_Employees[[#This Row],[Annual Salary]]</f>
        <v>83990</v>
      </c>
      <c r="P57" t="s">
        <v>19</v>
      </c>
      <c r="Q57" t="s">
        <v>20</v>
      </c>
      <c r="R57" s="6" t="s">
        <v>21</v>
      </c>
    </row>
    <row r="58" spans="1:18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 s="17"/>
      <c r="I58">
        <v>52</v>
      </c>
      <c r="J58" s="6">
        <v>38696</v>
      </c>
      <c r="K58" s="8">
        <v>102043</v>
      </c>
      <c r="L58" s="1">
        <v>0</v>
      </c>
      <c r="M58" s="8">
        <f>TBL_Employees[[#This Row],[Annual Salary]]*TBL_Employees[[#This Row],[Bonus %]]</f>
        <v>0</v>
      </c>
      <c r="N58" s="8">
        <f>SUM(TBL_Employees[[#This Row],[Annual Salary]],TBL_Employees[[#This Row],[TOTAL BONUS]])</f>
        <v>102043</v>
      </c>
      <c r="O58" s="8">
        <f>TBL_Employees[[#This Row],[Annual Salary]]*TBL_Employees[[#This Row],[Bonus %]]/100+TBL_Employees[[#This Row],[Annual Salary]]</f>
        <v>102043</v>
      </c>
      <c r="P58" t="s">
        <v>19</v>
      </c>
      <c r="Q58" t="s">
        <v>20</v>
      </c>
      <c r="R58" s="6" t="s">
        <v>21</v>
      </c>
    </row>
    <row r="59" spans="1:18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 s="17"/>
      <c r="I59">
        <v>46</v>
      </c>
      <c r="J59" s="6">
        <v>37041</v>
      </c>
      <c r="K59" s="8">
        <v>90678</v>
      </c>
      <c r="L59" s="1">
        <v>0</v>
      </c>
      <c r="M59" s="8">
        <f>TBL_Employees[[#This Row],[Annual Salary]]*TBL_Employees[[#This Row],[Bonus %]]</f>
        <v>0</v>
      </c>
      <c r="N59" s="8">
        <f>SUM(TBL_Employees[[#This Row],[Annual Salary]],TBL_Employees[[#This Row],[TOTAL BONUS]])</f>
        <v>90678</v>
      </c>
      <c r="O59" s="8">
        <f>TBL_Employees[[#This Row],[Annual Salary]]*TBL_Employees[[#This Row],[Bonus %]]/100+TBL_Employees[[#This Row],[Annual Salary]]</f>
        <v>90678</v>
      </c>
      <c r="P59" t="s">
        <v>19</v>
      </c>
      <c r="Q59" t="s">
        <v>29</v>
      </c>
      <c r="R59" s="6" t="s">
        <v>21</v>
      </c>
    </row>
    <row r="60" spans="1:18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 s="17"/>
      <c r="I60">
        <v>46</v>
      </c>
      <c r="J60" s="6">
        <v>39681</v>
      </c>
      <c r="K60" s="8">
        <v>59067</v>
      </c>
      <c r="L60" s="1">
        <v>0</v>
      </c>
      <c r="M60" s="8">
        <f>TBL_Employees[[#This Row],[Annual Salary]]*TBL_Employees[[#This Row],[Bonus %]]</f>
        <v>0</v>
      </c>
      <c r="N60" s="8">
        <f>SUM(TBL_Employees[[#This Row],[Annual Salary]],TBL_Employees[[#This Row],[TOTAL BONUS]])</f>
        <v>59067</v>
      </c>
      <c r="O60" s="8">
        <f>TBL_Employees[[#This Row],[Annual Salary]]*TBL_Employees[[#This Row],[Bonus %]]/100+TBL_Employees[[#This Row],[Annual Salary]]</f>
        <v>59067</v>
      </c>
      <c r="P60" t="s">
        <v>19</v>
      </c>
      <c r="Q60" t="s">
        <v>45</v>
      </c>
      <c r="R60" s="6" t="s">
        <v>21</v>
      </c>
    </row>
    <row r="61" spans="1:18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 s="17"/>
      <c r="I61">
        <v>45</v>
      </c>
      <c r="J61" s="6">
        <v>44266</v>
      </c>
      <c r="K61" s="8">
        <v>135062</v>
      </c>
      <c r="L61" s="1">
        <v>0.15</v>
      </c>
      <c r="M61" s="8">
        <f>TBL_Employees[[#This Row],[Annual Salary]]*TBL_Employees[[#This Row],[Bonus %]]</f>
        <v>20259.3</v>
      </c>
      <c r="N61" s="8">
        <f>SUM(TBL_Employees[[#This Row],[Annual Salary]],TBL_Employees[[#This Row],[TOTAL BONUS]])</f>
        <v>155321.29999999999</v>
      </c>
      <c r="O61" s="8">
        <f>TBL_Employees[[#This Row],[Annual Salary]]*TBL_Employees[[#This Row],[Bonus %]]/100+TBL_Employees[[#This Row],[Annual Salary]]</f>
        <v>135264.59299999999</v>
      </c>
      <c r="P61" t="s">
        <v>33</v>
      </c>
      <c r="Q61" t="s">
        <v>34</v>
      </c>
      <c r="R61" s="6" t="s">
        <v>21</v>
      </c>
    </row>
    <row r="62" spans="1:18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 s="17"/>
      <c r="I62">
        <v>55</v>
      </c>
      <c r="J62" s="6">
        <v>38945</v>
      </c>
      <c r="K62" s="8">
        <v>159044</v>
      </c>
      <c r="L62" s="1">
        <v>0.1</v>
      </c>
      <c r="M62" s="8">
        <f>TBL_Employees[[#This Row],[Annual Salary]]*TBL_Employees[[#This Row],[Bonus %]]</f>
        <v>15904.400000000001</v>
      </c>
      <c r="N62" s="8">
        <f>SUM(TBL_Employees[[#This Row],[Annual Salary]],TBL_Employees[[#This Row],[TOTAL BONUS]])</f>
        <v>174948.4</v>
      </c>
      <c r="O62" s="8">
        <f>TBL_Employees[[#This Row],[Annual Salary]]*TBL_Employees[[#This Row],[Bonus %]]/100+TBL_Employees[[#This Row],[Annual Salary]]</f>
        <v>159203.04399999999</v>
      </c>
      <c r="P62" t="s">
        <v>52</v>
      </c>
      <c r="Q62" t="s">
        <v>81</v>
      </c>
      <c r="R62" s="6" t="s">
        <v>21</v>
      </c>
    </row>
    <row r="63" spans="1:18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 s="17"/>
      <c r="I63">
        <v>44</v>
      </c>
      <c r="J63" s="6">
        <v>43467</v>
      </c>
      <c r="K63" s="8">
        <v>74691</v>
      </c>
      <c r="L63" s="1">
        <v>0</v>
      </c>
      <c r="M63" s="8">
        <f>TBL_Employees[[#This Row],[Annual Salary]]*TBL_Employees[[#This Row],[Bonus %]]</f>
        <v>0</v>
      </c>
      <c r="N63" s="8">
        <f>SUM(TBL_Employees[[#This Row],[Annual Salary]],TBL_Employees[[#This Row],[TOTAL BONUS]])</f>
        <v>74691</v>
      </c>
      <c r="O63" s="8">
        <f>TBL_Employees[[#This Row],[Annual Salary]]*TBL_Employees[[#This Row],[Bonus %]]/100+TBL_Employees[[#This Row],[Annual Salary]]</f>
        <v>74691</v>
      </c>
      <c r="P63" t="s">
        <v>52</v>
      </c>
      <c r="Q63" t="s">
        <v>81</v>
      </c>
      <c r="R63" s="6">
        <v>44020</v>
      </c>
    </row>
    <row r="64" spans="1:18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 s="17"/>
      <c r="I64">
        <v>44</v>
      </c>
      <c r="J64" s="6">
        <v>39800</v>
      </c>
      <c r="K64" s="8">
        <v>92753</v>
      </c>
      <c r="L64" s="1">
        <v>0.13</v>
      </c>
      <c r="M64" s="8">
        <f>TBL_Employees[[#This Row],[Annual Salary]]*TBL_Employees[[#This Row],[Bonus %]]</f>
        <v>12057.890000000001</v>
      </c>
      <c r="N64" s="8">
        <f>SUM(TBL_Employees[[#This Row],[Annual Salary]],TBL_Employees[[#This Row],[TOTAL BONUS]])</f>
        <v>104810.89</v>
      </c>
      <c r="O64" s="8">
        <f>TBL_Employees[[#This Row],[Annual Salary]]*TBL_Employees[[#This Row],[Bonus %]]/100+TBL_Employees[[#This Row],[Annual Salary]]</f>
        <v>92873.578899999993</v>
      </c>
      <c r="P64" t="s">
        <v>19</v>
      </c>
      <c r="Q64" t="s">
        <v>25</v>
      </c>
      <c r="R64" s="6">
        <v>44371</v>
      </c>
    </row>
    <row r="65" spans="1:18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 s="17"/>
      <c r="I65">
        <v>45</v>
      </c>
      <c r="J65" s="6">
        <v>41493</v>
      </c>
      <c r="K65" s="8">
        <v>236946</v>
      </c>
      <c r="L65" s="1">
        <v>0.37</v>
      </c>
      <c r="M65" s="8">
        <f>TBL_Employees[[#This Row],[Annual Salary]]*TBL_Employees[[#This Row],[Bonus %]]</f>
        <v>87670.02</v>
      </c>
      <c r="N65" s="8">
        <f>SUM(TBL_Employees[[#This Row],[Annual Salary]],TBL_Employees[[#This Row],[TOTAL BONUS]])</f>
        <v>324616.02</v>
      </c>
      <c r="O65" s="8">
        <f>TBL_Employees[[#This Row],[Annual Salary]]*TBL_Employees[[#This Row],[Bonus %]]/100+TBL_Employees[[#This Row],[Annual Salary]]</f>
        <v>237822.70019999999</v>
      </c>
      <c r="P65" t="s">
        <v>19</v>
      </c>
      <c r="Q65" t="s">
        <v>63</v>
      </c>
      <c r="R65" s="6" t="s">
        <v>21</v>
      </c>
    </row>
    <row r="66" spans="1:18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 s="17"/>
      <c r="I66">
        <v>36</v>
      </c>
      <c r="J66" s="6">
        <v>44435</v>
      </c>
      <c r="K66" s="8">
        <v>48906</v>
      </c>
      <c r="L66" s="1">
        <v>0</v>
      </c>
      <c r="M66" s="8">
        <f>TBL_Employees[[#This Row],[Annual Salary]]*TBL_Employees[[#This Row],[Bonus %]]</f>
        <v>0</v>
      </c>
      <c r="N66" s="8">
        <f>SUM(TBL_Employees[[#This Row],[Annual Salary]],TBL_Employees[[#This Row],[TOTAL BONUS]])</f>
        <v>48906</v>
      </c>
      <c r="O66" s="8">
        <f>TBL_Employees[[#This Row],[Annual Salary]]*TBL_Employees[[#This Row],[Bonus %]]/100+TBL_Employees[[#This Row],[Annual Salary]]</f>
        <v>48906</v>
      </c>
      <c r="P66" t="s">
        <v>19</v>
      </c>
      <c r="Q66" t="s">
        <v>45</v>
      </c>
      <c r="R66" s="6" t="s">
        <v>21</v>
      </c>
    </row>
    <row r="67" spans="1:18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 s="17"/>
      <c r="I67">
        <v>38</v>
      </c>
      <c r="J67" s="6">
        <v>39474</v>
      </c>
      <c r="K67" s="8">
        <v>80024</v>
      </c>
      <c r="L67" s="1">
        <v>0</v>
      </c>
      <c r="M67" s="8">
        <f>TBL_Employees[[#This Row],[Annual Salary]]*TBL_Employees[[#This Row],[Bonus %]]</f>
        <v>0</v>
      </c>
      <c r="N67" s="8">
        <f>SUM(TBL_Employees[[#This Row],[Annual Salary]],TBL_Employees[[#This Row],[TOTAL BONUS]])</f>
        <v>80024</v>
      </c>
      <c r="O67" s="8">
        <f>TBL_Employees[[#This Row],[Annual Salary]]*TBL_Employees[[#This Row],[Bonus %]]/100+TBL_Employees[[#This Row],[Annual Salary]]</f>
        <v>80024</v>
      </c>
      <c r="P67" t="s">
        <v>19</v>
      </c>
      <c r="Q67" t="s">
        <v>29</v>
      </c>
      <c r="R67" s="6" t="s">
        <v>21</v>
      </c>
    </row>
    <row r="68" spans="1:18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 s="17"/>
      <c r="I68">
        <v>41</v>
      </c>
      <c r="J68" s="6">
        <v>40109</v>
      </c>
      <c r="K68" s="8">
        <v>54415</v>
      </c>
      <c r="L68" s="1">
        <v>0</v>
      </c>
      <c r="M68" s="8">
        <f>TBL_Employees[[#This Row],[Annual Salary]]*TBL_Employees[[#This Row],[Bonus %]]</f>
        <v>0</v>
      </c>
      <c r="N68" s="8">
        <f>SUM(TBL_Employees[[#This Row],[Annual Salary]],TBL_Employees[[#This Row],[TOTAL BONUS]])</f>
        <v>54415</v>
      </c>
      <c r="O68" s="8">
        <f>TBL_Employees[[#This Row],[Annual Salary]]*TBL_Employees[[#This Row],[Bonus %]]/100+TBL_Employees[[#This Row],[Annual Salary]]</f>
        <v>54415</v>
      </c>
      <c r="P68" t="s">
        <v>19</v>
      </c>
      <c r="Q68" t="s">
        <v>63</v>
      </c>
      <c r="R68" s="6">
        <v>41661</v>
      </c>
    </row>
    <row r="69" spans="1:18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 s="17"/>
      <c r="I69">
        <v>30</v>
      </c>
      <c r="J69" s="6">
        <v>42484</v>
      </c>
      <c r="K69" s="8">
        <v>120341</v>
      </c>
      <c r="L69" s="1">
        <v>7.0000000000000007E-2</v>
      </c>
      <c r="M69" s="8">
        <f>TBL_Employees[[#This Row],[Annual Salary]]*TBL_Employees[[#This Row],[Bonus %]]</f>
        <v>8423.8700000000008</v>
      </c>
      <c r="N69" s="8">
        <f>SUM(TBL_Employees[[#This Row],[Annual Salary]],TBL_Employees[[#This Row],[TOTAL BONUS]])</f>
        <v>128764.87</v>
      </c>
      <c r="O69" s="8">
        <f>TBL_Employees[[#This Row],[Annual Salary]]*TBL_Employees[[#This Row],[Bonus %]]/100+TBL_Employees[[#This Row],[Annual Salary]]</f>
        <v>120425.2387</v>
      </c>
      <c r="P69" t="s">
        <v>19</v>
      </c>
      <c r="Q69" t="s">
        <v>63</v>
      </c>
      <c r="R69" s="6" t="s">
        <v>21</v>
      </c>
    </row>
    <row r="70" spans="1:18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 s="17"/>
      <c r="I70">
        <v>43</v>
      </c>
      <c r="J70" s="6">
        <v>40029</v>
      </c>
      <c r="K70" s="8">
        <v>208415</v>
      </c>
      <c r="L70" s="1">
        <v>0.35</v>
      </c>
      <c r="M70" s="8">
        <f>TBL_Employees[[#This Row],[Annual Salary]]*TBL_Employees[[#This Row],[Bonus %]]</f>
        <v>72945.25</v>
      </c>
      <c r="N70" s="8">
        <f>SUM(TBL_Employees[[#This Row],[Annual Salary]],TBL_Employees[[#This Row],[TOTAL BONUS]])</f>
        <v>281360.25</v>
      </c>
      <c r="O70" s="8">
        <f>TBL_Employees[[#This Row],[Annual Salary]]*TBL_Employees[[#This Row],[Bonus %]]/100+TBL_Employees[[#This Row],[Annual Salary]]</f>
        <v>209144.45250000001</v>
      </c>
      <c r="P70" t="s">
        <v>19</v>
      </c>
      <c r="Q70" t="s">
        <v>63</v>
      </c>
      <c r="R70" s="6" t="s">
        <v>21</v>
      </c>
    </row>
    <row r="71" spans="1:18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 s="17"/>
      <c r="I71">
        <v>32</v>
      </c>
      <c r="J71" s="6">
        <v>43835</v>
      </c>
      <c r="K71" s="8">
        <v>78844</v>
      </c>
      <c r="L71" s="1">
        <v>0</v>
      </c>
      <c r="M71" s="8">
        <f>TBL_Employees[[#This Row],[Annual Salary]]*TBL_Employees[[#This Row],[Bonus %]]</f>
        <v>0</v>
      </c>
      <c r="N71" s="8">
        <f>SUM(TBL_Employees[[#This Row],[Annual Salary]],TBL_Employees[[#This Row],[TOTAL BONUS]])</f>
        <v>78844</v>
      </c>
      <c r="O71" s="8">
        <f>TBL_Employees[[#This Row],[Annual Salary]]*TBL_Employees[[#This Row],[Bonus %]]/100+TBL_Employees[[#This Row],[Annual Salary]]</f>
        <v>78844</v>
      </c>
      <c r="P71" t="s">
        <v>19</v>
      </c>
      <c r="Q71" t="s">
        <v>63</v>
      </c>
      <c r="R71" s="6" t="s">
        <v>21</v>
      </c>
    </row>
    <row r="72" spans="1:18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 s="17"/>
      <c r="I72">
        <v>58</v>
      </c>
      <c r="J72" s="6">
        <v>37399</v>
      </c>
      <c r="K72" s="8">
        <v>76354</v>
      </c>
      <c r="L72" s="1">
        <v>0</v>
      </c>
      <c r="M72" s="8">
        <f>TBL_Employees[[#This Row],[Annual Salary]]*TBL_Employees[[#This Row],[Bonus %]]</f>
        <v>0</v>
      </c>
      <c r="N72" s="8">
        <f>SUM(TBL_Employees[[#This Row],[Annual Salary]],TBL_Employees[[#This Row],[TOTAL BONUS]])</f>
        <v>76354</v>
      </c>
      <c r="O72" s="8">
        <f>TBL_Employees[[#This Row],[Annual Salary]]*TBL_Employees[[#This Row],[Bonus %]]/100+TBL_Employees[[#This Row],[Annual Salary]]</f>
        <v>76354</v>
      </c>
      <c r="P72" t="s">
        <v>19</v>
      </c>
      <c r="Q72" t="s">
        <v>39</v>
      </c>
      <c r="R72" s="6">
        <v>44465</v>
      </c>
    </row>
    <row r="73" spans="1:18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 s="17"/>
      <c r="I73">
        <v>37</v>
      </c>
      <c r="J73" s="6">
        <v>43493</v>
      </c>
      <c r="K73" s="8">
        <v>165927</v>
      </c>
      <c r="L73" s="1">
        <v>0.2</v>
      </c>
      <c r="M73" s="8">
        <f>TBL_Employees[[#This Row],[Annual Salary]]*TBL_Employees[[#This Row],[Bonus %]]</f>
        <v>33185.4</v>
      </c>
      <c r="N73" s="8">
        <f>SUM(TBL_Employees[[#This Row],[Annual Salary]],TBL_Employees[[#This Row],[TOTAL BONUS]])</f>
        <v>199112.4</v>
      </c>
      <c r="O73" s="8">
        <f>TBL_Employees[[#This Row],[Annual Salary]]*TBL_Employees[[#This Row],[Bonus %]]/100+TBL_Employees[[#This Row],[Annual Salary]]</f>
        <v>166258.85399999999</v>
      </c>
      <c r="P73" t="s">
        <v>19</v>
      </c>
      <c r="Q73" t="s">
        <v>39</v>
      </c>
      <c r="R73" s="6" t="s">
        <v>21</v>
      </c>
    </row>
    <row r="74" spans="1:18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 s="17"/>
      <c r="I74">
        <v>38</v>
      </c>
      <c r="J74" s="6">
        <v>44516</v>
      </c>
      <c r="K74" s="8">
        <v>109812</v>
      </c>
      <c r="L74" s="1">
        <v>0.09</v>
      </c>
      <c r="M74" s="8">
        <f>TBL_Employees[[#This Row],[Annual Salary]]*TBL_Employees[[#This Row],[Bonus %]]</f>
        <v>9883.08</v>
      </c>
      <c r="N74" s="8">
        <f>SUM(TBL_Employees[[#This Row],[Annual Salary]],TBL_Employees[[#This Row],[TOTAL BONUS]])</f>
        <v>119695.08</v>
      </c>
      <c r="O74" s="8">
        <f>TBL_Employees[[#This Row],[Annual Salary]]*TBL_Employees[[#This Row],[Bonus %]]/100+TBL_Employees[[#This Row],[Annual Salary]]</f>
        <v>109910.8308</v>
      </c>
      <c r="P74" t="s">
        <v>52</v>
      </c>
      <c r="Q74" t="s">
        <v>81</v>
      </c>
      <c r="R74" s="6" t="s">
        <v>21</v>
      </c>
    </row>
    <row r="75" spans="1:18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 s="17"/>
      <c r="I75">
        <v>55</v>
      </c>
      <c r="J75" s="6">
        <v>36041</v>
      </c>
      <c r="K75" s="8">
        <v>86299</v>
      </c>
      <c r="L75" s="1">
        <v>0</v>
      </c>
      <c r="M75" s="8">
        <f>TBL_Employees[[#This Row],[Annual Salary]]*TBL_Employees[[#This Row],[Bonus %]]</f>
        <v>0</v>
      </c>
      <c r="N75" s="8">
        <f>SUM(TBL_Employees[[#This Row],[Annual Salary]],TBL_Employees[[#This Row],[TOTAL BONUS]])</f>
        <v>86299</v>
      </c>
      <c r="O75" s="8">
        <f>TBL_Employees[[#This Row],[Annual Salary]]*TBL_Employees[[#This Row],[Bonus %]]/100+TBL_Employees[[#This Row],[Annual Salary]]</f>
        <v>86299</v>
      </c>
      <c r="P75" t="s">
        <v>19</v>
      </c>
      <c r="Q75" t="s">
        <v>63</v>
      </c>
      <c r="R75" s="6" t="s">
        <v>21</v>
      </c>
    </row>
    <row r="76" spans="1:18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 s="17"/>
      <c r="I76">
        <v>57</v>
      </c>
      <c r="J76" s="6">
        <v>37828</v>
      </c>
      <c r="K76" s="8">
        <v>206624</v>
      </c>
      <c r="L76" s="1">
        <v>0.4</v>
      </c>
      <c r="M76" s="8">
        <f>TBL_Employees[[#This Row],[Annual Salary]]*TBL_Employees[[#This Row],[Bonus %]]</f>
        <v>82649.600000000006</v>
      </c>
      <c r="N76" s="8">
        <f>SUM(TBL_Employees[[#This Row],[Annual Salary]],TBL_Employees[[#This Row],[TOTAL BONUS]])</f>
        <v>289273.59999999998</v>
      </c>
      <c r="O76" s="8">
        <f>TBL_Employees[[#This Row],[Annual Salary]]*TBL_Employees[[#This Row],[Bonus %]]/100+TBL_Employees[[#This Row],[Annual Salary]]</f>
        <v>207450.49600000001</v>
      </c>
      <c r="P76" t="s">
        <v>52</v>
      </c>
      <c r="Q76" t="s">
        <v>53</v>
      </c>
      <c r="R76" s="6" t="s">
        <v>21</v>
      </c>
    </row>
    <row r="77" spans="1:18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 s="17"/>
      <c r="I77">
        <v>36</v>
      </c>
      <c r="J77" s="6">
        <v>40535</v>
      </c>
      <c r="K77" s="8">
        <v>53215</v>
      </c>
      <c r="L77" s="1">
        <v>0</v>
      </c>
      <c r="M77" s="8">
        <f>TBL_Employees[[#This Row],[Annual Salary]]*TBL_Employees[[#This Row],[Bonus %]]</f>
        <v>0</v>
      </c>
      <c r="N77" s="8">
        <f>SUM(TBL_Employees[[#This Row],[Annual Salary]],TBL_Employees[[#This Row],[TOTAL BONUS]])</f>
        <v>53215</v>
      </c>
      <c r="O77" s="8">
        <f>TBL_Employees[[#This Row],[Annual Salary]]*TBL_Employees[[#This Row],[Bonus %]]/100+TBL_Employees[[#This Row],[Annual Salary]]</f>
        <v>53215</v>
      </c>
      <c r="P77" t="s">
        <v>52</v>
      </c>
      <c r="Q77" t="s">
        <v>53</v>
      </c>
      <c r="R77" s="6">
        <v>41725</v>
      </c>
    </row>
    <row r="78" spans="1:18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 s="17"/>
      <c r="I78">
        <v>30</v>
      </c>
      <c r="J78" s="6">
        <v>42877</v>
      </c>
      <c r="K78" s="8">
        <v>86858</v>
      </c>
      <c r="L78" s="1">
        <v>0</v>
      </c>
      <c r="M78" s="8">
        <f>TBL_Employees[[#This Row],[Annual Salary]]*TBL_Employees[[#This Row],[Bonus %]]</f>
        <v>0</v>
      </c>
      <c r="N78" s="8">
        <f>SUM(TBL_Employees[[#This Row],[Annual Salary]],TBL_Employees[[#This Row],[TOTAL BONUS]])</f>
        <v>86858</v>
      </c>
      <c r="O78" s="8">
        <f>TBL_Employees[[#This Row],[Annual Salary]]*TBL_Employees[[#This Row],[Bonus %]]/100+TBL_Employees[[#This Row],[Annual Salary]]</f>
        <v>86858</v>
      </c>
      <c r="P78" t="s">
        <v>33</v>
      </c>
      <c r="Q78" t="s">
        <v>80</v>
      </c>
      <c r="R78" s="6">
        <v>43016</v>
      </c>
    </row>
    <row r="79" spans="1:18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 s="17"/>
      <c r="I79">
        <v>40</v>
      </c>
      <c r="J79" s="6">
        <v>39265</v>
      </c>
      <c r="K79" s="8">
        <v>93971</v>
      </c>
      <c r="L79" s="1">
        <v>0.08</v>
      </c>
      <c r="M79" s="8">
        <f>TBL_Employees[[#This Row],[Annual Salary]]*TBL_Employees[[#This Row],[Bonus %]]</f>
        <v>7517.68</v>
      </c>
      <c r="N79" s="8">
        <f>SUM(TBL_Employees[[#This Row],[Annual Salary]],TBL_Employees[[#This Row],[TOTAL BONUS]])</f>
        <v>101488.68</v>
      </c>
      <c r="O79" s="8">
        <f>TBL_Employees[[#This Row],[Annual Salary]]*TBL_Employees[[#This Row],[Bonus %]]/100+TBL_Employees[[#This Row],[Annual Salary]]</f>
        <v>94046.176800000001</v>
      </c>
      <c r="P79" t="s">
        <v>33</v>
      </c>
      <c r="Q79" t="s">
        <v>80</v>
      </c>
      <c r="R79" s="6" t="s">
        <v>21</v>
      </c>
    </row>
    <row r="80" spans="1:18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 s="17"/>
      <c r="I80">
        <v>34</v>
      </c>
      <c r="J80" s="6">
        <v>42182</v>
      </c>
      <c r="K80" s="8">
        <v>57008</v>
      </c>
      <c r="L80" s="1">
        <v>0</v>
      </c>
      <c r="M80" s="8">
        <f>TBL_Employees[[#This Row],[Annual Salary]]*TBL_Employees[[#This Row],[Bonus %]]</f>
        <v>0</v>
      </c>
      <c r="N80" s="8">
        <f>SUM(TBL_Employees[[#This Row],[Annual Salary]],TBL_Employees[[#This Row],[TOTAL BONUS]])</f>
        <v>57008</v>
      </c>
      <c r="O80" s="8">
        <f>TBL_Employees[[#This Row],[Annual Salary]]*TBL_Employees[[#This Row],[Bonus %]]/100+TBL_Employees[[#This Row],[Annual Salary]]</f>
        <v>57008</v>
      </c>
      <c r="P80" t="s">
        <v>19</v>
      </c>
      <c r="Q80" t="s">
        <v>39</v>
      </c>
      <c r="R80" s="6" t="s">
        <v>21</v>
      </c>
    </row>
    <row r="81" spans="1:18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 s="17"/>
      <c r="I81">
        <v>60</v>
      </c>
      <c r="J81" s="6">
        <v>42270</v>
      </c>
      <c r="K81" s="8">
        <v>141899</v>
      </c>
      <c r="L81" s="1">
        <v>0.15</v>
      </c>
      <c r="M81" s="8">
        <f>TBL_Employees[[#This Row],[Annual Salary]]*TBL_Employees[[#This Row],[Bonus %]]</f>
        <v>21284.85</v>
      </c>
      <c r="N81" s="8">
        <f>SUM(TBL_Employees[[#This Row],[Annual Salary]],TBL_Employees[[#This Row],[TOTAL BONUS]])</f>
        <v>163183.85</v>
      </c>
      <c r="O81" s="8">
        <f>TBL_Employees[[#This Row],[Annual Salary]]*TBL_Employees[[#This Row],[Bonus %]]/100+TBL_Employees[[#This Row],[Annual Salary]]</f>
        <v>142111.84849999999</v>
      </c>
      <c r="P81" t="s">
        <v>19</v>
      </c>
      <c r="Q81" t="s">
        <v>39</v>
      </c>
      <c r="R81" s="6" t="s">
        <v>21</v>
      </c>
    </row>
    <row r="82" spans="1:18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 s="17"/>
      <c r="I82">
        <v>41</v>
      </c>
      <c r="J82" s="6">
        <v>42626</v>
      </c>
      <c r="K82" s="8">
        <v>64847</v>
      </c>
      <c r="L82" s="1">
        <v>0</v>
      </c>
      <c r="M82" s="8">
        <f>TBL_Employees[[#This Row],[Annual Salary]]*TBL_Employees[[#This Row],[Bonus %]]</f>
        <v>0</v>
      </c>
      <c r="N82" s="8">
        <f>SUM(TBL_Employees[[#This Row],[Annual Salary]],TBL_Employees[[#This Row],[TOTAL BONUS]])</f>
        <v>64847</v>
      </c>
      <c r="O82" s="8">
        <f>TBL_Employees[[#This Row],[Annual Salary]]*TBL_Employees[[#This Row],[Bonus %]]/100+TBL_Employees[[#This Row],[Annual Salary]]</f>
        <v>64847</v>
      </c>
      <c r="P82" t="s">
        <v>19</v>
      </c>
      <c r="Q82" t="s">
        <v>45</v>
      </c>
      <c r="R82" s="6" t="s">
        <v>21</v>
      </c>
    </row>
    <row r="83" spans="1:18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 s="17"/>
      <c r="I83">
        <v>53</v>
      </c>
      <c r="J83" s="6">
        <v>33702</v>
      </c>
      <c r="K83" s="8">
        <v>116878</v>
      </c>
      <c r="L83" s="1">
        <v>0.11</v>
      </c>
      <c r="M83" s="8">
        <f>TBL_Employees[[#This Row],[Annual Salary]]*TBL_Employees[[#This Row],[Bonus %]]</f>
        <v>12856.58</v>
      </c>
      <c r="N83" s="8">
        <f>SUM(TBL_Employees[[#This Row],[Annual Salary]],TBL_Employees[[#This Row],[TOTAL BONUS]])</f>
        <v>129734.58</v>
      </c>
      <c r="O83" s="8">
        <f>TBL_Employees[[#This Row],[Annual Salary]]*TBL_Employees[[#This Row],[Bonus %]]/100+TBL_Employees[[#This Row],[Annual Salary]]</f>
        <v>117006.5658</v>
      </c>
      <c r="P83" t="s">
        <v>19</v>
      </c>
      <c r="Q83" t="s">
        <v>45</v>
      </c>
      <c r="R83" s="6" t="s">
        <v>21</v>
      </c>
    </row>
    <row r="84" spans="1:18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 s="17"/>
      <c r="I84">
        <v>45</v>
      </c>
      <c r="J84" s="6">
        <v>38388</v>
      </c>
      <c r="K84" s="8">
        <v>70505</v>
      </c>
      <c r="L84" s="1">
        <v>0</v>
      </c>
      <c r="M84" s="8">
        <f>TBL_Employees[[#This Row],[Annual Salary]]*TBL_Employees[[#This Row],[Bonus %]]</f>
        <v>0</v>
      </c>
      <c r="N84" s="8">
        <f>SUM(TBL_Employees[[#This Row],[Annual Salary]],TBL_Employees[[#This Row],[TOTAL BONUS]])</f>
        <v>70505</v>
      </c>
      <c r="O84" s="8">
        <f>TBL_Employees[[#This Row],[Annual Salary]]*TBL_Employees[[#This Row],[Bonus %]]/100+TBL_Employees[[#This Row],[Annual Salary]]</f>
        <v>70505</v>
      </c>
      <c r="P84" t="s">
        <v>19</v>
      </c>
      <c r="Q84" t="s">
        <v>25</v>
      </c>
      <c r="R84" s="6" t="s">
        <v>21</v>
      </c>
    </row>
    <row r="85" spans="1:18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 s="17"/>
      <c r="I85">
        <v>30</v>
      </c>
      <c r="J85" s="6">
        <v>42512</v>
      </c>
      <c r="K85" s="8">
        <v>189702</v>
      </c>
      <c r="L85" s="1">
        <v>0.28000000000000003</v>
      </c>
      <c r="M85" s="8">
        <f>TBL_Employees[[#This Row],[Annual Salary]]*TBL_Employees[[#This Row],[Bonus %]]</f>
        <v>53116.560000000005</v>
      </c>
      <c r="N85" s="8">
        <f>SUM(TBL_Employees[[#This Row],[Annual Salary]],TBL_Employees[[#This Row],[TOTAL BONUS]])</f>
        <v>242818.56</v>
      </c>
      <c r="O85" s="8">
        <f>TBL_Employees[[#This Row],[Annual Salary]]*TBL_Employees[[#This Row],[Bonus %]]/100+TBL_Employees[[#This Row],[Annual Salary]]</f>
        <v>190233.16560000001</v>
      </c>
      <c r="P85" t="s">
        <v>52</v>
      </c>
      <c r="Q85" t="s">
        <v>81</v>
      </c>
      <c r="R85" s="6">
        <v>44186</v>
      </c>
    </row>
    <row r="86" spans="1:18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 s="17"/>
      <c r="I86">
        <v>26</v>
      </c>
      <c r="J86" s="6">
        <v>44040</v>
      </c>
      <c r="K86" s="8">
        <v>180664</v>
      </c>
      <c r="L86" s="1">
        <v>0.27</v>
      </c>
      <c r="M86" s="8">
        <f>TBL_Employees[[#This Row],[Annual Salary]]*TBL_Employees[[#This Row],[Bonus %]]</f>
        <v>48779.280000000006</v>
      </c>
      <c r="N86" s="8">
        <f>SUM(TBL_Employees[[#This Row],[Annual Salary]],TBL_Employees[[#This Row],[TOTAL BONUS]])</f>
        <v>229443.28</v>
      </c>
      <c r="O86" s="8">
        <f>TBL_Employees[[#This Row],[Annual Salary]]*TBL_Employees[[#This Row],[Bonus %]]/100+TBL_Employees[[#This Row],[Annual Salary]]</f>
        <v>181151.7928</v>
      </c>
      <c r="P86" t="s">
        <v>19</v>
      </c>
      <c r="Q86" t="s">
        <v>20</v>
      </c>
      <c r="R86" s="6" t="s">
        <v>21</v>
      </c>
    </row>
    <row r="87" spans="1:18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 s="17"/>
      <c r="I87">
        <v>45</v>
      </c>
      <c r="J87" s="6">
        <v>37972</v>
      </c>
      <c r="K87" s="8">
        <v>48345</v>
      </c>
      <c r="L87" s="1">
        <v>0</v>
      </c>
      <c r="M87" s="8">
        <f>TBL_Employees[[#This Row],[Annual Salary]]*TBL_Employees[[#This Row],[Bonus %]]</f>
        <v>0</v>
      </c>
      <c r="N87" s="8">
        <f>SUM(TBL_Employees[[#This Row],[Annual Salary]],TBL_Employees[[#This Row],[TOTAL BONUS]])</f>
        <v>48345</v>
      </c>
      <c r="O87" s="8">
        <f>TBL_Employees[[#This Row],[Annual Salary]]*TBL_Employees[[#This Row],[Bonus %]]/100+TBL_Employees[[#This Row],[Annual Salary]]</f>
        <v>48345</v>
      </c>
      <c r="P87" t="s">
        <v>33</v>
      </c>
      <c r="Q87" t="s">
        <v>34</v>
      </c>
      <c r="R87" s="6" t="s">
        <v>21</v>
      </c>
    </row>
    <row r="88" spans="1:18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 s="17"/>
      <c r="I88">
        <v>42</v>
      </c>
      <c r="J88" s="6">
        <v>41655</v>
      </c>
      <c r="K88" s="8">
        <v>152214</v>
      </c>
      <c r="L88" s="1">
        <v>0.3</v>
      </c>
      <c r="M88" s="8">
        <f>TBL_Employees[[#This Row],[Annual Salary]]*TBL_Employees[[#This Row],[Bonus %]]</f>
        <v>45664.2</v>
      </c>
      <c r="N88" s="8">
        <f>SUM(TBL_Employees[[#This Row],[Annual Salary]],TBL_Employees[[#This Row],[TOTAL BONUS]])</f>
        <v>197878.2</v>
      </c>
      <c r="O88" s="8">
        <f>TBL_Employees[[#This Row],[Annual Salary]]*TBL_Employees[[#This Row],[Bonus %]]/100+TBL_Employees[[#This Row],[Annual Salary]]</f>
        <v>152670.64199999999</v>
      </c>
      <c r="P88" t="s">
        <v>33</v>
      </c>
      <c r="Q88" t="s">
        <v>60</v>
      </c>
      <c r="R88" s="6" t="s">
        <v>21</v>
      </c>
    </row>
    <row r="89" spans="1:18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 s="17"/>
      <c r="I89">
        <v>41</v>
      </c>
      <c r="J89" s="6">
        <v>39931</v>
      </c>
      <c r="K89" s="8">
        <v>69803</v>
      </c>
      <c r="L89" s="1">
        <v>0</v>
      </c>
      <c r="M89" s="8">
        <f>TBL_Employees[[#This Row],[Annual Salary]]*TBL_Employees[[#This Row],[Bonus %]]</f>
        <v>0</v>
      </c>
      <c r="N89" s="8">
        <f>SUM(TBL_Employees[[#This Row],[Annual Salary]],TBL_Employees[[#This Row],[TOTAL BONUS]])</f>
        <v>69803</v>
      </c>
      <c r="O89" s="8">
        <f>TBL_Employees[[#This Row],[Annual Salary]]*TBL_Employees[[#This Row],[Bonus %]]/100+TBL_Employees[[#This Row],[Annual Salary]]</f>
        <v>69803</v>
      </c>
      <c r="P89" t="s">
        <v>52</v>
      </c>
      <c r="Q89" t="s">
        <v>81</v>
      </c>
      <c r="R89" s="6" t="s">
        <v>21</v>
      </c>
    </row>
    <row r="90" spans="1:18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 s="17"/>
      <c r="I90">
        <v>48</v>
      </c>
      <c r="J90" s="6">
        <v>43650</v>
      </c>
      <c r="K90" s="8">
        <v>76588</v>
      </c>
      <c r="L90" s="1">
        <v>0</v>
      </c>
      <c r="M90" s="8">
        <f>TBL_Employees[[#This Row],[Annual Salary]]*TBL_Employees[[#This Row],[Bonus %]]</f>
        <v>0</v>
      </c>
      <c r="N90" s="8">
        <f>SUM(TBL_Employees[[#This Row],[Annual Salary]],TBL_Employees[[#This Row],[TOTAL BONUS]])</f>
        <v>76588</v>
      </c>
      <c r="O90" s="8">
        <f>TBL_Employees[[#This Row],[Annual Salary]]*TBL_Employees[[#This Row],[Bonus %]]/100+TBL_Employees[[#This Row],[Annual Salary]]</f>
        <v>76588</v>
      </c>
      <c r="P90" t="s">
        <v>52</v>
      </c>
      <c r="Q90" t="s">
        <v>66</v>
      </c>
      <c r="R90" s="6" t="s">
        <v>21</v>
      </c>
    </row>
    <row r="91" spans="1:18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 s="17"/>
      <c r="I91">
        <v>29</v>
      </c>
      <c r="J91" s="6">
        <v>43444</v>
      </c>
      <c r="K91" s="8">
        <v>84596</v>
      </c>
      <c r="L91" s="1">
        <v>0</v>
      </c>
      <c r="M91" s="8">
        <f>TBL_Employees[[#This Row],[Annual Salary]]*TBL_Employees[[#This Row],[Bonus %]]</f>
        <v>0</v>
      </c>
      <c r="N91" s="8">
        <f>SUM(TBL_Employees[[#This Row],[Annual Salary]],TBL_Employees[[#This Row],[TOTAL BONUS]])</f>
        <v>84596</v>
      </c>
      <c r="O91" s="8">
        <f>TBL_Employees[[#This Row],[Annual Salary]]*TBL_Employees[[#This Row],[Bonus %]]/100+TBL_Employees[[#This Row],[Annual Salary]]</f>
        <v>84596</v>
      </c>
      <c r="P91" t="s">
        <v>19</v>
      </c>
      <c r="Q91" t="s">
        <v>45</v>
      </c>
      <c r="R91" s="6" t="s">
        <v>21</v>
      </c>
    </row>
    <row r="92" spans="1:18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 s="17"/>
      <c r="I92">
        <v>27</v>
      </c>
      <c r="J92" s="6">
        <v>43368</v>
      </c>
      <c r="K92" s="8">
        <v>114441</v>
      </c>
      <c r="L92" s="1">
        <v>0.1</v>
      </c>
      <c r="M92" s="8">
        <f>TBL_Employees[[#This Row],[Annual Salary]]*TBL_Employees[[#This Row],[Bonus %]]</f>
        <v>11444.1</v>
      </c>
      <c r="N92" s="8">
        <f>SUM(TBL_Employees[[#This Row],[Annual Salary]],TBL_Employees[[#This Row],[TOTAL BONUS]])</f>
        <v>125885.1</v>
      </c>
      <c r="O92" s="8">
        <f>TBL_Employees[[#This Row],[Annual Salary]]*TBL_Employees[[#This Row],[Bonus %]]/100+TBL_Employees[[#This Row],[Annual Salary]]</f>
        <v>114555.44100000001</v>
      </c>
      <c r="P92" t="s">
        <v>33</v>
      </c>
      <c r="Q92" t="s">
        <v>80</v>
      </c>
      <c r="R92" s="6">
        <v>43821</v>
      </c>
    </row>
    <row r="93" spans="1:18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 s="17"/>
      <c r="I93">
        <v>33</v>
      </c>
      <c r="J93" s="6">
        <v>43211</v>
      </c>
      <c r="K93" s="8">
        <v>140402</v>
      </c>
      <c r="L93" s="1">
        <v>0.15</v>
      </c>
      <c r="M93" s="8">
        <f>TBL_Employees[[#This Row],[Annual Salary]]*TBL_Employees[[#This Row],[Bonus %]]</f>
        <v>21060.3</v>
      </c>
      <c r="N93" s="8">
        <f>SUM(TBL_Employees[[#This Row],[Annual Salary]],TBL_Employees[[#This Row],[TOTAL BONUS]])</f>
        <v>161462.29999999999</v>
      </c>
      <c r="O93" s="8">
        <f>TBL_Employees[[#This Row],[Annual Salary]]*TBL_Employees[[#This Row],[Bonus %]]/100+TBL_Employees[[#This Row],[Annual Salary]]</f>
        <v>140612.603</v>
      </c>
      <c r="P93" t="s">
        <v>33</v>
      </c>
      <c r="Q93" t="s">
        <v>60</v>
      </c>
      <c r="R93" s="6" t="s">
        <v>21</v>
      </c>
    </row>
    <row r="94" spans="1:18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 s="17"/>
      <c r="I94">
        <v>26</v>
      </c>
      <c r="J94" s="6">
        <v>43578</v>
      </c>
      <c r="K94" s="8">
        <v>59817</v>
      </c>
      <c r="L94" s="1">
        <v>0</v>
      </c>
      <c r="M94" s="8">
        <f>TBL_Employees[[#This Row],[Annual Salary]]*TBL_Employees[[#This Row],[Bonus %]]</f>
        <v>0</v>
      </c>
      <c r="N94" s="8">
        <f>SUM(TBL_Employees[[#This Row],[Annual Salary]],TBL_Employees[[#This Row],[TOTAL BONUS]])</f>
        <v>59817</v>
      </c>
      <c r="O94" s="8">
        <f>TBL_Employees[[#This Row],[Annual Salary]]*TBL_Employees[[#This Row],[Bonus %]]/100+TBL_Employees[[#This Row],[Annual Salary]]</f>
        <v>59817</v>
      </c>
      <c r="P94" t="s">
        <v>52</v>
      </c>
      <c r="Q94" t="s">
        <v>53</v>
      </c>
      <c r="R94" s="6" t="s">
        <v>21</v>
      </c>
    </row>
    <row r="95" spans="1:18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 s="17"/>
      <c r="I95">
        <v>31</v>
      </c>
      <c r="J95" s="6">
        <v>42938</v>
      </c>
      <c r="K95" s="8">
        <v>55854</v>
      </c>
      <c r="L95" s="1">
        <v>0</v>
      </c>
      <c r="M95" s="8">
        <f>TBL_Employees[[#This Row],[Annual Salary]]*TBL_Employees[[#This Row],[Bonus %]]</f>
        <v>0</v>
      </c>
      <c r="N95" s="8">
        <f>SUM(TBL_Employees[[#This Row],[Annual Salary]],TBL_Employees[[#This Row],[TOTAL BONUS]])</f>
        <v>55854</v>
      </c>
      <c r="O95" s="8">
        <f>TBL_Employees[[#This Row],[Annual Salary]]*TBL_Employees[[#This Row],[Bonus %]]/100+TBL_Employees[[#This Row],[Annual Salary]]</f>
        <v>55854</v>
      </c>
      <c r="P95" t="s">
        <v>19</v>
      </c>
      <c r="Q95" t="s">
        <v>25</v>
      </c>
      <c r="R95" s="6" t="s">
        <v>21</v>
      </c>
    </row>
    <row r="96" spans="1:18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 s="17"/>
      <c r="I96">
        <v>53</v>
      </c>
      <c r="J96" s="6">
        <v>37576</v>
      </c>
      <c r="K96" s="8">
        <v>95998</v>
      </c>
      <c r="L96" s="1">
        <v>0</v>
      </c>
      <c r="M96" s="8">
        <f>TBL_Employees[[#This Row],[Annual Salary]]*TBL_Employees[[#This Row],[Bonus %]]</f>
        <v>0</v>
      </c>
      <c r="N96" s="8">
        <f>SUM(TBL_Employees[[#This Row],[Annual Salary]],TBL_Employees[[#This Row],[TOTAL BONUS]])</f>
        <v>95998</v>
      </c>
      <c r="O96" s="8">
        <f>TBL_Employees[[#This Row],[Annual Salary]]*TBL_Employees[[#This Row],[Bonus %]]/100+TBL_Employees[[#This Row],[Annual Salary]]</f>
        <v>95998</v>
      </c>
      <c r="P96" t="s">
        <v>19</v>
      </c>
      <c r="Q96" t="s">
        <v>63</v>
      </c>
      <c r="R96" s="6" t="s">
        <v>21</v>
      </c>
    </row>
    <row r="97" spans="1:18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 s="17"/>
      <c r="I97">
        <v>34</v>
      </c>
      <c r="J97" s="6">
        <v>42116</v>
      </c>
      <c r="K97" s="8">
        <v>154941</v>
      </c>
      <c r="L97" s="1">
        <v>0.13</v>
      </c>
      <c r="M97" s="8">
        <f>TBL_Employees[[#This Row],[Annual Salary]]*TBL_Employees[[#This Row],[Bonus %]]</f>
        <v>20142.330000000002</v>
      </c>
      <c r="N97" s="8">
        <f>SUM(TBL_Employees[[#This Row],[Annual Salary]],TBL_Employees[[#This Row],[TOTAL BONUS]])</f>
        <v>175083.33000000002</v>
      </c>
      <c r="O97" s="8">
        <f>TBL_Employees[[#This Row],[Annual Salary]]*TBL_Employees[[#This Row],[Bonus %]]/100+TBL_Employees[[#This Row],[Annual Salary]]</f>
        <v>155142.42329999999</v>
      </c>
      <c r="P97" t="s">
        <v>19</v>
      </c>
      <c r="Q97" t="s">
        <v>39</v>
      </c>
      <c r="R97" s="6" t="s">
        <v>21</v>
      </c>
    </row>
    <row r="98" spans="1:18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 s="17"/>
      <c r="I98">
        <v>54</v>
      </c>
      <c r="J98" s="6">
        <v>40734</v>
      </c>
      <c r="K98" s="8">
        <v>247022</v>
      </c>
      <c r="L98" s="1">
        <v>0.3</v>
      </c>
      <c r="M98" s="8">
        <f>TBL_Employees[[#This Row],[Annual Salary]]*TBL_Employees[[#This Row],[Bonus %]]</f>
        <v>74106.599999999991</v>
      </c>
      <c r="N98" s="8">
        <f>SUM(TBL_Employees[[#This Row],[Annual Salary]],TBL_Employees[[#This Row],[TOTAL BONUS]])</f>
        <v>321128.59999999998</v>
      </c>
      <c r="O98" s="8">
        <f>TBL_Employees[[#This Row],[Annual Salary]]*TBL_Employees[[#This Row],[Bonus %]]/100+TBL_Employees[[#This Row],[Annual Salary]]</f>
        <v>247763.06599999999</v>
      </c>
      <c r="P98" t="s">
        <v>33</v>
      </c>
      <c r="Q98" t="s">
        <v>60</v>
      </c>
      <c r="R98" s="6" t="s">
        <v>21</v>
      </c>
    </row>
    <row r="99" spans="1:18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 s="17"/>
      <c r="I99">
        <v>32</v>
      </c>
      <c r="J99" s="6">
        <v>44474</v>
      </c>
      <c r="K99" s="8">
        <v>88072</v>
      </c>
      <c r="L99" s="1">
        <v>0</v>
      </c>
      <c r="M99" s="8">
        <f>TBL_Employees[[#This Row],[Annual Salary]]*TBL_Employees[[#This Row],[Bonus %]]</f>
        <v>0</v>
      </c>
      <c r="N99" s="8">
        <f>SUM(TBL_Employees[[#This Row],[Annual Salary]],TBL_Employees[[#This Row],[TOTAL BONUS]])</f>
        <v>88072</v>
      </c>
      <c r="O99" s="8">
        <f>TBL_Employees[[#This Row],[Annual Salary]]*TBL_Employees[[#This Row],[Bonus %]]/100+TBL_Employees[[#This Row],[Annual Salary]]</f>
        <v>88072</v>
      </c>
      <c r="P99" t="s">
        <v>52</v>
      </c>
      <c r="Q99" t="s">
        <v>53</v>
      </c>
      <c r="R99" s="6" t="s">
        <v>21</v>
      </c>
    </row>
    <row r="100" spans="1:18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 s="17"/>
      <c r="I100">
        <v>28</v>
      </c>
      <c r="J100" s="6">
        <v>43977</v>
      </c>
      <c r="K100" s="8">
        <v>67925</v>
      </c>
      <c r="L100" s="1">
        <v>0.08</v>
      </c>
      <c r="M100" s="8">
        <f>TBL_Employees[[#This Row],[Annual Salary]]*TBL_Employees[[#This Row],[Bonus %]]</f>
        <v>5434</v>
      </c>
      <c r="N100" s="8">
        <f>SUM(TBL_Employees[[#This Row],[Annual Salary]],TBL_Employees[[#This Row],[TOTAL BONUS]])</f>
        <v>73359</v>
      </c>
      <c r="O100" s="8">
        <f>TBL_Employees[[#This Row],[Annual Salary]]*TBL_Employees[[#This Row],[Bonus %]]/100+TBL_Employees[[#This Row],[Annual Salary]]</f>
        <v>67979.34</v>
      </c>
      <c r="P100" t="s">
        <v>33</v>
      </c>
      <c r="Q100" t="s">
        <v>74</v>
      </c>
      <c r="R100" s="6" t="s">
        <v>21</v>
      </c>
    </row>
    <row r="101" spans="1:18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 s="17"/>
      <c r="I101">
        <v>31</v>
      </c>
      <c r="J101" s="6">
        <v>44063</v>
      </c>
      <c r="K101" s="8">
        <v>219693</v>
      </c>
      <c r="L101" s="1">
        <v>0.3</v>
      </c>
      <c r="M101" s="8">
        <f>TBL_Employees[[#This Row],[Annual Salary]]*TBL_Employees[[#This Row],[Bonus %]]</f>
        <v>65907.899999999994</v>
      </c>
      <c r="N101" s="8">
        <f>SUM(TBL_Employees[[#This Row],[Annual Salary]],TBL_Employees[[#This Row],[TOTAL BONUS]])</f>
        <v>285600.90000000002</v>
      </c>
      <c r="O101" s="8">
        <f>TBL_Employees[[#This Row],[Annual Salary]]*TBL_Employees[[#This Row],[Bonus %]]/100+TBL_Employees[[#This Row],[Annual Salary]]</f>
        <v>220352.079</v>
      </c>
      <c r="P101" t="s">
        <v>19</v>
      </c>
      <c r="Q101" t="s">
        <v>25</v>
      </c>
      <c r="R101" s="6" t="s">
        <v>21</v>
      </c>
    </row>
    <row r="102" spans="1:18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 s="17"/>
      <c r="I102">
        <v>45</v>
      </c>
      <c r="J102" s="6">
        <v>41386</v>
      </c>
      <c r="K102" s="8">
        <v>61773</v>
      </c>
      <c r="L102" s="1">
        <v>0</v>
      </c>
      <c r="M102" s="8">
        <f>TBL_Employees[[#This Row],[Annual Salary]]*TBL_Employees[[#This Row],[Bonus %]]</f>
        <v>0</v>
      </c>
      <c r="N102" s="8">
        <f>SUM(TBL_Employees[[#This Row],[Annual Salary]],TBL_Employees[[#This Row],[TOTAL BONUS]])</f>
        <v>61773</v>
      </c>
      <c r="O102" s="8">
        <f>TBL_Employees[[#This Row],[Annual Salary]]*TBL_Employees[[#This Row],[Bonus %]]/100+TBL_Employees[[#This Row],[Annual Salary]]</f>
        <v>61773</v>
      </c>
      <c r="P102" t="s">
        <v>19</v>
      </c>
      <c r="Q102" t="s">
        <v>63</v>
      </c>
      <c r="R102" s="6" t="s">
        <v>21</v>
      </c>
    </row>
    <row r="103" spans="1:18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 s="17"/>
      <c r="I103">
        <v>48</v>
      </c>
      <c r="J103" s="6">
        <v>39091</v>
      </c>
      <c r="K103" s="8">
        <v>74546</v>
      </c>
      <c r="L103" s="1">
        <v>0.09</v>
      </c>
      <c r="M103" s="8">
        <f>TBL_Employees[[#This Row],[Annual Salary]]*TBL_Employees[[#This Row],[Bonus %]]</f>
        <v>6709.1399999999994</v>
      </c>
      <c r="N103" s="8">
        <f>SUM(TBL_Employees[[#This Row],[Annual Salary]],TBL_Employees[[#This Row],[TOTAL BONUS]])</f>
        <v>81255.14</v>
      </c>
      <c r="O103" s="8">
        <f>TBL_Employees[[#This Row],[Annual Salary]]*TBL_Employees[[#This Row],[Bonus %]]/100+TBL_Employees[[#This Row],[Annual Salary]]</f>
        <v>74613.091400000005</v>
      </c>
      <c r="P103" t="s">
        <v>19</v>
      </c>
      <c r="Q103" t="s">
        <v>63</v>
      </c>
      <c r="R103" s="6" t="s">
        <v>21</v>
      </c>
    </row>
    <row r="104" spans="1:18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 s="17"/>
      <c r="I104">
        <v>56</v>
      </c>
      <c r="J104" s="6">
        <v>42031</v>
      </c>
      <c r="K104" s="8">
        <v>62575</v>
      </c>
      <c r="L104" s="1">
        <v>0</v>
      </c>
      <c r="M104" s="8">
        <f>TBL_Employees[[#This Row],[Annual Salary]]*TBL_Employees[[#This Row],[Bonus %]]</f>
        <v>0</v>
      </c>
      <c r="N104" s="8">
        <f>SUM(TBL_Employees[[#This Row],[Annual Salary]],TBL_Employees[[#This Row],[TOTAL BONUS]])</f>
        <v>62575</v>
      </c>
      <c r="O104" s="8">
        <f>TBL_Employees[[#This Row],[Annual Salary]]*TBL_Employees[[#This Row],[Bonus %]]/100+TBL_Employees[[#This Row],[Annual Salary]]</f>
        <v>62575</v>
      </c>
      <c r="P104" t="s">
        <v>19</v>
      </c>
      <c r="Q104" t="s">
        <v>45</v>
      </c>
      <c r="R104" s="6" t="s">
        <v>21</v>
      </c>
    </row>
    <row r="105" spans="1:18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 s="17"/>
      <c r="I105">
        <v>27</v>
      </c>
      <c r="J105" s="6">
        <v>44250</v>
      </c>
      <c r="K105" s="8">
        <v>199041</v>
      </c>
      <c r="L105" s="1">
        <v>0.16</v>
      </c>
      <c r="M105" s="8">
        <f>TBL_Employees[[#This Row],[Annual Salary]]*TBL_Employees[[#This Row],[Bonus %]]</f>
        <v>31846.560000000001</v>
      </c>
      <c r="N105" s="8">
        <f>SUM(TBL_Employees[[#This Row],[Annual Salary]],TBL_Employees[[#This Row],[TOTAL BONUS]])</f>
        <v>230887.56</v>
      </c>
      <c r="O105" s="8">
        <f>TBL_Employees[[#This Row],[Annual Salary]]*TBL_Employees[[#This Row],[Bonus %]]/100+TBL_Employees[[#This Row],[Annual Salary]]</f>
        <v>199359.4656</v>
      </c>
      <c r="P105" t="s">
        <v>33</v>
      </c>
      <c r="Q105" t="s">
        <v>60</v>
      </c>
      <c r="R105" s="6" t="s">
        <v>21</v>
      </c>
    </row>
    <row r="106" spans="1:18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 s="17"/>
      <c r="I106">
        <v>55</v>
      </c>
      <c r="J106" s="6">
        <v>39177</v>
      </c>
      <c r="K106" s="8">
        <v>52310</v>
      </c>
      <c r="L106" s="1">
        <v>0</v>
      </c>
      <c r="M106" s="8">
        <f>TBL_Employees[[#This Row],[Annual Salary]]*TBL_Employees[[#This Row],[Bonus %]]</f>
        <v>0</v>
      </c>
      <c r="N106" s="8">
        <f>SUM(TBL_Employees[[#This Row],[Annual Salary]],TBL_Employees[[#This Row],[TOTAL BONUS]])</f>
        <v>52310</v>
      </c>
      <c r="O106" s="8">
        <f>TBL_Employees[[#This Row],[Annual Salary]]*TBL_Employees[[#This Row],[Bonus %]]/100+TBL_Employees[[#This Row],[Annual Salary]]</f>
        <v>52310</v>
      </c>
      <c r="P106" t="s">
        <v>19</v>
      </c>
      <c r="Q106" t="s">
        <v>45</v>
      </c>
      <c r="R106" s="6">
        <v>43385</v>
      </c>
    </row>
    <row r="107" spans="1:18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 s="17"/>
      <c r="I107">
        <v>64</v>
      </c>
      <c r="J107" s="6">
        <v>41454</v>
      </c>
      <c r="K107" s="8">
        <v>159571</v>
      </c>
      <c r="L107" s="1">
        <v>0.1</v>
      </c>
      <c r="M107" s="8">
        <f>TBL_Employees[[#This Row],[Annual Salary]]*TBL_Employees[[#This Row],[Bonus %]]</f>
        <v>15957.1</v>
      </c>
      <c r="N107" s="8">
        <f>SUM(TBL_Employees[[#This Row],[Annual Salary]],TBL_Employees[[#This Row],[TOTAL BONUS]])</f>
        <v>175528.1</v>
      </c>
      <c r="O107" s="8">
        <f>TBL_Employees[[#This Row],[Annual Salary]]*TBL_Employees[[#This Row],[Bonus %]]/100+TBL_Employees[[#This Row],[Annual Salary]]</f>
        <v>159730.571</v>
      </c>
      <c r="P107" t="s">
        <v>19</v>
      </c>
      <c r="Q107" t="s">
        <v>29</v>
      </c>
      <c r="R107" s="6" t="s">
        <v>21</v>
      </c>
    </row>
    <row r="108" spans="1:18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 s="17"/>
      <c r="I108">
        <v>50</v>
      </c>
      <c r="J108" s="6">
        <v>35726</v>
      </c>
      <c r="K108" s="8">
        <v>91763</v>
      </c>
      <c r="L108" s="1">
        <v>0</v>
      </c>
      <c r="M108" s="8">
        <f>TBL_Employees[[#This Row],[Annual Salary]]*TBL_Employees[[#This Row],[Bonus %]]</f>
        <v>0</v>
      </c>
      <c r="N108" s="8">
        <f>SUM(TBL_Employees[[#This Row],[Annual Salary]],TBL_Employees[[#This Row],[TOTAL BONUS]])</f>
        <v>91763</v>
      </c>
      <c r="O108" s="8">
        <f>TBL_Employees[[#This Row],[Annual Salary]]*TBL_Employees[[#This Row],[Bonus %]]/100+TBL_Employees[[#This Row],[Annual Salary]]</f>
        <v>91763</v>
      </c>
      <c r="P108" t="s">
        <v>19</v>
      </c>
      <c r="Q108" t="s">
        <v>25</v>
      </c>
      <c r="R108" s="6" t="s">
        <v>21</v>
      </c>
    </row>
    <row r="109" spans="1:18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 s="17"/>
      <c r="I109">
        <v>51</v>
      </c>
      <c r="J109" s="6">
        <v>35055</v>
      </c>
      <c r="K109" s="8">
        <v>96475</v>
      </c>
      <c r="L109" s="1">
        <v>0</v>
      </c>
      <c r="M109" s="8">
        <f>TBL_Employees[[#This Row],[Annual Salary]]*TBL_Employees[[#This Row],[Bonus %]]</f>
        <v>0</v>
      </c>
      <c r="N109" s="8">
        <f>SUM(TBL_Employees[[#This Row],[Annual Salary]],TBL_Employees[[#This Row],[TOTAL BONUS]])</f>
        <v>96475</v>
      </c>
      <c r="O109" s="8">
        <f>TBL_Employees[[#This Row],[Annual Salary]]*TBL_Employees[[#This Row],[Bonus %]]/100+TBL_Employees[[#This Row],[Annual Salary]]</f>
        <v>96475</v>
      </c>
      <c r="P109" t="s">
        <v>19</v>
      </c>
      <c r="Q109" t="s">
        <v>25</v>
      </c>
      <c r="R109" s="6" t="s">
        <v>21</v>
      </c>
    </row>
    <row r="110" spans="1:18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 s="17"/>
      <c r="I110">
        <v>36</v>
      </c>
      <c r="J110" s="6">
        <v>42706</v>
      </c>
      <c r="K110" s="8">
        <v>113781</v>
      </c>
      <c r="L110" s="1">
        <v>0</v>
      </c>
      <c r="M110" s="8">
        <f>TBL_Employees[[#This Row],[Annual Salary]]*TBL_Employees[[#This Row],[Bonus %]]</f>
        <v>0</v>
      </c>
      <c r="N110" s="8">
        <f>SUM(TBL_Employees[[#This Row],[Annual Salary]],TBL_Employees[[#This Row],[TOTAL BONUS]])</f>
        <v>113781</v>
      </c>
      <c r="O110" s="8">
        <f>TBL_Employees[[#This Row],[Annual Salary]]*TBL_Employees[[#This Row],[Bonus %]]/100+TBL_Employees[[#This Row],[Annual Salary]]</f>
        <v>113781</v>
      </c>
      <c r="P110" t="s">
        <v>19</v>
      </c>
      <c r="Q110" t="s">
        <v>29</v>
      </c>
      <c r="R110" s="6" t="s">
        <v>21</v>
      </c>
    </row>
    <row r="111" spans="1:18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 s="17"/>
      <c r="I111">
        <v>42</v>
      </c>
      <c r="J111" s="6">
        <v>37636</v>
      </c>
      <c r="K111" s="8">
        <v>166599</v>
      </c>
      <c r="L111" s="1">
        <v>0.26</v>
      </c>
      <c r="M111" s="8">
        <f>TBL_Employees[[#This Row],[Annual Salary]]*TBL_Employees[[#This Row],[Bonus %]]</f>
        <v>43315.74</v>
      </c>
      <c r="N111" s="8">
        <f>SUM(TBL_Employees[[#This Row],[Annual Salary]],TBL_Employees[[#This Row],[TOTAL BONUS]])</f>
        <v>209914.74</v>
      </c>
      <c r="O111" s="8">
        <f>TBL_Employees[[#This Row],[Annual Salary]]*TBL_Employees[[#This Row],[Bonus %]]/100+TBL_Employees[[#This Row],[Annual Salary]]</f>
        <v>167032.1574</v>
      </c>
      <c r="P111" t="s">
        <v>19</v>
      </c>
      <c r="Q111" t="s">
        <v>63</v>
      </c>
      <c r="R111" s="6" t="s">
        <v>21</v>
      </c>
    </row>
    <row r="112" spans="1:18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 s="17"/>
      <c r="I112">
        <v>41</v>
      </c>
      <c r="J112" s="6">
        <v>38398</v>
      </c>
      <c r="K112" s="8">
        <v>95372</v>
      </c>
      <c r="L112" s="1">
        <v>0</v>
      </c>
      <c r="M112" s="8">
        <f>TBL_Employees[[#This Row],[Annual Salary]]*TBL_Employees[[#This Row],[Bonus %]]</f>
        <v>0</v>
      </c>
      <c r="N112" s="8">
        <f>SUM(TBL_Employees[[#This Row],[Annual Salary]],TBL_Employees[[#This Row],[TOTAL BONUS]])</f>
        <v>95372</v>
      </c>
      <c r="O112" s="8">
        <f>TBL_Employees[[#This Row],[Annual Salary]]*TBL_Employees[[#This Row],[Bonus %]]/100+TBL_Employees[[#This Row],[Annual Salary]]</f>
        <v>95372</v>
      </c>
      <c r="P112" t="s">
        <v>33</v>
      </c>
      <c r="Q112" t="s">
        <v>74</v>
      </c>
      <c r="R112" s="6" t="s">
        <v>21</v>
      </c>
    </row>
    <row r="113" spans="1:18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 s="17"/>
      <c r="I113">
        <v>29</v>
      </c>
      <c r="J113" s="6">
        <v>44052</v>
      </c>
      <c r="K113" s="8">
        <v>161203</v>
      </c>
      <c r="L113" s="1">
        <v>0.15</v>
      </c>
      <c r="M113" s="8">
        <f>TBL_Employees[[#This Row],[Annual Salary]]*TBL_Employees[[#This Row],[Bonus %]]</f>
        <v>24180.45</v>
      </c>
      <c r="N113" s="8">
        <f>SUM(TBL_Employees[[#This Row],[Annual Salary]],TBL_Employees[[#This Row],[TOTAL BONUS]])</f>
        <v>185383.45</v>
      </c>
      <c r="O113" s="8">
        <f>TBL_Employees[[#This Row],[Annual Salary]]*TBL_Employees[[#This Row],[Bonus %]]/100+TBL_Employees[[#This Row],[Annual Salary]]</f>
        <v>161444.8045</v>
      </c>
      <c r="P113" t="s">
        <v>33</v>
      </c>
      <c r="Q113" t="s">
        <v>34</v>
      </c>
      <c r="R113" s="6" t="s">
        <v>21</v>
      </c>
    </row>
    <row r="114" spans="1:18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 s="17"/>
      <c r="I114">
        <v>44</v>
      </c>
      <c r="J114" s="6">
        <v>39064</v>
      </c>
      <c r="K114" s="8">
        <v>74738</v>
      </c>
      <c r="L114" s="1">
        <v>0</v>
      </c>
      <c r="M114" s="8">
        <f>TBL_Employees[[#This Row],[Annual Salary]]*TBL_Employees[[#This Row],[Bonus %]]</f>
        <v>0</v>
      </c>
      <c r="N114" s="8">
        <f>SUM(TBL_Employees[[#This Row],[Annual Salary]],TBL_Employees[[#This Row],[TOTAL BONUS]])</f>
        <v>74738</v>
      </c>
      <c r="O114" s="8">
        <f>TBL_Employees[[#This Row],[Annual Salary]]*TBL_Employees[[#This Row],[Bonus %]]/100+TBL_Employees[[#This Row],[Annual Salary]]</f>
        <v>74738</v>
      </c>
      <c r="P114" t="s">
        <v>19</v>
      </c>
      <c r="Q114" t="s">
        <v>45</v>
      </c>
      <c r="R114" s="6" t="s">
        <v>21</v>
      </c>
    </row>
    <row r="115" spans="1:18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 s="17"/>
      <c r="I115">
        <v>41</v>
      </c>
      <c r="J115" s="6">
        <v>43322</v>
      </c>
      <c r="K115" s="8">
        <v>171173</v>
      </c>
      <c r="L115" s="1">
        <v>0.21</v>
      </c>
      <c r="M115" s="8">
        <f>TBL_Employees[[#This Row],[Annual Salary]]*TBL_Employees[[#This Row],[Bonus %]]</f>
        <v>35946.33</v>
      </c>
      <c r="N115" s="8">
        <f>SUM(TBL_Employees[[#This Row],[Annual Salary]],TBL_Employees[[#This Row],[TOTAL BONUS]])</f>
        <v>207119.33000000002</v>
      </c>
      <c r="O115" s="8">
        <f>TBL_Employees[[#This Row],[Annual Salary]]*TBL_Employees[[#This Row],[Bonus %]]/100+TBL_Employees[[#This Row],[Annual Salary]]</f>
        <v>171532.4633</v>
      </c>
      <c r="P115" t="s">
        <v>19</v>
      </c>
      <c r="Q115" t="s">
        <v>29</v>
      </c>
      <c r="R115" s="6" t="s">
        <v>21</v>
      </c>
    </row>
    <row r="116" spans="1:18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 s="17"/>
      <c r="I116">
        <v>61</v>
      </c>
      <c r="J116" s="6">
        <v>43732</v>
      </c>
      <c r="K116" s="8">
        <v>201464</v>
      </c>
      <c r="L116" s="1">
        <v>0.37</v>
      </c>
      <c r="M116" s="8">
        <f>TBL_Employees[[#This Row],[Annual Salary]]*TBL_Employees[[#This Row],[Bonus %]]</f>
        <v>74541.679999999993</v>
      </c>
      <c r="N116" s="8">
        <f>SUM(TBL_Employees[[#This Row],[Annual Salary]],TBL_Employees[[#This Row],[TOTAL BONUS]])</f>
        <v>276005.68</v>
      </c>
      <c r="O116" s="8">
        <f>TBL_Employees[[#This Row],[Annual Salary]]*TBL_Employees[[#This Row],[Bonus %]]/100+TBL_Employees[[#This Row],[Annual Salary]]</f>
        <v>202209.41680000001</v>
      </c>
      <c r="P116" t="s">
        <v>19</v>
      </c>
      <c r="Q116" t="s">
        <v>20</v>
      </c>
      <c r="R116" s="6" t="s">
        <v>21</v>
      </c>
    </row>
    <row r="117" spans="1:18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 s="17"/>
      <c r="I117">
        <v>50</v>
      </c>
      <c r="J117" s="6">
        <v>35998</v>
      </c>
      <c r="K117" s="8">
        <v>174895</v>
      </c>
      <c r="L117" s="1">
        <v>0.15</v>
      </c>
      <c r="M117" s="8">
        <f>TBL_Employees[[#This Row],[Annual Salary]]*TBL_Employees[[#This Row],[Bonus %]]</f>
        <v>26234.25</v>
      </c>
      <c r="N117" s="8">
        <f>SUM(TBL_Employees[[#This Row],[Annual Salary]],TBL_Employees[[#This Row],[TOTAL BONUS]])</f>
        <v>201129.25</v>
      </c>
      <c r="O117" s="8">
        <f>TBL_Employees[[#This Row],[Annual Salary]]*TBL_Employees[[#This Row],[Bonus %]]/100+TBL_Employees[[#This Row],[Annual Salary]]</f>
        <v>175157.3425</v>
      </c>
      <c r="P117" t="s">
        <v>19</v>
      </c>
      <c r="Q117" t="s">
        <v>20</v>
      </c>
      <c r="R117" s="6" t="s">
        <v>21</v>
      </c>
    </row>
    <row r="118" spans="1:18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 s="17"/>
      <c r="I118">
        <v>49</v>
      </c>
      <c r="J118" s="6">
        <v>38825</v>
      </c>
      <c r="K118" s="8">
        <v>134486</v>
      </c>
      <c r="L118" s="1">
        <v>0.14000000000000001</v>
      </c>
      <c r="M118" s="8">
        <f>TBL_Employees[[#This Row],[Annual Salary]]*TBL_Employees[[#This Row],[Bonus %]]</f>
        <v>18828.04</v>
      </c>
      <c r="N118" s="8">
        <f>SUM(TBL_Employees[[#This Row],[Annual Salary]],TBL_Employees[[#This Row],[TOTAL BONUS]])</f>
        <v>153314.04</v>
      </c>
      <c r="O118" s="8">
        <f>TBL_Employees[[#This Row],[Annual Salary]]*TBL_Employees[[#This Row],[Bonus %]]/100+TBL_Employees[[#This Row],[Annual Salary]]</f>
        <v>134674.28039999999</v>
      </c>
      <c r="P118" t="s">
        <v>19</v>
      </c>
      <c r="Q118" t="s">
        <v>25</v>
      </c>
      <c r="R118" s="6" t="s">
        <v>21</v>
      </c>
    </row>
    <row r="119" spans="1:18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 s="17"/>
      <c r="I119">
        <v>60</v>
      </c>
      <c r="J119" s="6">
        <v>39137</v>
      </c>
      <c r="K119" s="8">
        <v>71699</v>
      </c>
      <c r="L119" s="1">
        <v>0</v>
      </c>
      <c r="M119" s="8">
        <f>TBL_Employees[[#This Row],[Annual Salary]]*TBL_Employees[[#This Row],[Bonus %]]</f>
        <v>0</v>
      </c>
      <c r="N119" s="8">
        <f>SUM(TBL_Employees[[#This Row],[Annual Salary]],TBL_Employees[[#This Row],[TOTAL BONUS]])</f>
        <v>71699</v>
      </c>
      <c r="O119" s="8">
        <f>TBL_Employees[[#This Row],[Annual Salary]]*TBL_Employees[[#This Row],[Bonus %]]/100+TBL_Employees[[#This Row],[Annual Salary]]</f>
        <v>71699</v>
      </c>
      <c r="P119" t="s">
        <v>52</v>
      </c>
      <c r="Q119" t="s">
        <v>81</v>
      </c>
      <c r="R119" s="6" t="s">
        <v>21</v>
      </c>
    </row>
    <row r="120" spans="1:18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 s="17"/>
      <c r="I120">
        <v>42</v>
      </c>
      <c r="J120" s="6">
        <v>44198</v>
      </c>
      <c r="K120" s="8">
        <v>94430</v>
      </c>
      <c r="L120" s="1">
        <v>0</v>
      </c>
      <c r="M120" s="8">
        <f>TBL_Employees[[#This Row],[Annual Salary]]*TBL_Employees[[#This Row],[Bonus %]]</f>
        <v>0</v>
      </c>
      <c r="N120" s="8">
        <f>SUM(TBL_Employees[[#This Row],[Annual Salary]],TBL_Employees[[#This Row],[TOTAL BONUS]])</f>
        <v>94430</v>
      </c>
      <c r="O120" s="8">
        <f>TBL_Employees[[#This Row],[Annual Salary]]*TBL_Employees[[#This Row],[Bonus %]]/100+TBL_Employees[[#This Row],[Annual Salary]]</f>
        <v>94430</v>
      </c>
      <c r="P120" t="s">
        <v>19</v>
      </c>
      <c r="Q120" t="s">
        <v>63</v>
      </c>
      <c r="R120" s="6" t="s">
        <v>21</v>
      </c>
    </row>
    <row r="121" spans="1:18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 s="17"/>
      <c r="I121">
        <v>39</v>
      </c>
      <c r="J121" s="6">
        <v>40192</v>
      </c>
      <c r="K121" s="8">
        <v>103504</v>
      </c>
      <c r="L121" s="1">
        <v>7.0000000000000007E-2</v>
      </c>
      <c r="M121" s="8">
        <f>TBL_Employees[[#This Row],[Annual Salary]]*TBL_Employees[[#This Row],[Bonus %]]</f>
        <v>7245.2800000000007</v>
      </c>
      <c r="N121" s="8">
        <f>SUM(TBL_Employees[[#This Row],[Annual Salary]],TBL_Employees[[#This Row],[TOTAL BONUS]])</f>
        <v>110749.28</v>
      </c>
      <c r="O121" s="8">
        <f>TBL_Employees[[#This Row],[Annual Salary]]*TBL_Employees[[#This Row],[Bonus %]]/100+TBL_Employees[[#This Row],[Annual Salary]]</f>
        <v>103576.4528</v>
      </c>
      <c r="P121" t="s">
        <v>33</v>
      </c>
      <c r="Q121" t="s">
        <v>34</v>
      </c>
      <c r="R121" s="6" t="s">
        <v>21</v>
      </c>
    </row>
    <row r="122" spans="1:18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 s="17"/>
      <c r="I122">
        <v>55</v>
      </c>
      <c r="J122" s="6">
        <v>38573</v>
      </c>
      <c r="K122" s="8">
        <v>92771</v>
      </c>
      <c r="L122" s="1">
        <v>0</v>
      </c>
      <c r="M122" s="8">
        <f>TBL_Employees[[#This Row],[Annual Salary]]*TBL_Employees[[#This Row],[Bonus %]]</f>
        <v>0</v>
      </c>
      <c r="N122" s="8">
        <f>SUM(TBL_Employees[[#This Row],[Annual Salary]],TBL_Employees[[#This Row],[TOTAL BONUS]])</f>
        <v>92771</v>
      </c>
      <c r="O122" s="8">
        <f>TBL_Employees[[#This Row],[Annual Salary]]*TBL_Employees[[#This Row],[Bonus %]]/100+TBL_Employees[[#This Row],[Annual Salary]]</f>
        <v>92771</v>
      </c>
      <c r="P122" t="s">
        <v>19</v>
      </c>
      <c r="Q122" t="s">
        <v>45</v>
      </c>
      <c r="R122" s="6" t="s">
        <v>21</v>
      </c>
    </row>
    <row r="123" spans="1:18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 s="17"/>
      <c r="I123">
        <v>39</v>
      </c>
      <c r="J123" s="6">
        <v>38813</v>
      </c>
      <c r="K123" s="8">
        <v>71531</v>
      </c>
      <c r="L123" s="1">
        <v>0</v>
      </c>
      <c r="M123" s="8">
        <f>TBL_Employees[[#This Row],[Annual Salary]]*TBL_Employees[[#This Row],[Bonus %]]</f>
        <v>0</v>
      </c>
      <c r="N123" s="8">
        <f>SUM(TBL_Employees[[#This Row],[Annual Salary]],TBL_Employees[[#This Row],[TOTAL BONUS]])</f>
        <v>71531</v>
      </c>
      <c r="O123" s="8">
        <f>TBL_Employees[[#This Row],[Annual Salary]]*TBL_Employees[[#This Row],[Bonus %]]/100+TBL_Employees[[#This Row],[Annual Salary]]</f>
        <v>71531</v>
      </c>
      <c r="P123" t="s">
        <v>19</v>
      </c>
      <c r="Q123" t="s">
        <v>29</v>
      </c>
      <c r="R123" s="6" t="s">
        <v>21</v>
      </c>
    </row>
    <row r="124" spans="1:18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 s="17"/>
      <c r="I124">
        <v>28</v>
      </c>
      <c r="J124" s="6">
        <v>43530</v>
      </c>
      <c r="K124" s="8">
        <v>90304</v>
      </c>
      <c r="L124" s="1">
        <v>0</v>
      </c>
      <c r="M124" s="8">
        <f>TBL_Employees[[#This Row],[Annual Salary]]*TBL_Employees[[#This Row],[Bonus %]]</f>
        <v>0</v>
      </c>
      <c r="N124" s="8">
        <f>SUM(TBL_Employees[[#This Row],[Annual Salary]],TBL_Employees[[#This Row],[TOTAL BONUS]])</f>
        <v>90304</v>
      </c>
      <c r="O124" s="8">
        <f>TBL_Employees[[#This Row],[Annual Salary]]*TBL_Employees[[#This Row],[Bonus %]]/100+TBL_Employees[[#This Row],[Annual Salary]]</f>
        <v>90304</v>
      </c>
      <c r="P124" t="s">
        <v>19</v>
      </c>
      <c r="Q124" t="s">
        <v>20</v>
      </c>
      <c r="R124" s="6" t="s">
        <v>21</v>
      </c>
    </row>
    <row r="125" spans="1:18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 s="17"/>
      <c r="I125">
        <v>65</v>
      </c>
      <c r="J125" s="6">
        <v>40793</v>
      </c>
      <c r="K125" s="8">
        <v>104903</v>
      </c>
      <c r="L125" s="1">
        <v>0.1</v>
      </c>
      <c r="M125" s="8">
        <f>TBL_Employees[[#This Row],[Annual Salary]]*TBL_Employees[[#This Row],[Bonus %]]</f>
        <v>10490.300000000001</v>
      </c>
      <c r="N125" s="8">
        <f>SUM(TBL_Employees[[#This Row],[Annual Salary]],TBL_Employees[[#This Row],[TOTAL BONUS]])</f>
        <v>115393.3</v>
      </c>
      <c r="O125" s="8">
        <f>TBL_Employees[[#This Row],[Annual Salary]]*TBL_Employees[[#This Row],[Bonus %]]/100+TBL_Employees[[#This Row],[Annual Salary]]</f>
        <v>105007.90300000001</v>
      </c>
      <c r="P125" t="s">
        <v>19</v>
      </c>
      <c r="Q125" t="s">
        <v>29</v>
      </c>
      <c r="R125" s="6" t="s">
        <v>21</v>
      </c>
    </row>
    <row r="126" spans="1:18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 s="17"/>
      <c r="I126">
        <v>52</v>
      </c>
      <c r="J126" s="6">
        <v>43515</v>
      </c>
      <c r="K126" s="8">
        <v>55859</v>
      </c>
      <c r="L126" s="1">
        <v>0</v>
      </c>
      <c r="M126" s="8">
        <f>TBL_Employees[[#This Row],[Annual Salary]]*TBL_Employees[[#This Row],[Bonus %]]</f>
        <v>0</v>
      </c>
      <c r="N126" s="8">
        <f>SUM(TBL_Employees[[#This Row],[Annual Salary]],TBL_Employees[[#This Row],[TOTAL BONUS]])</f>
        <v>55859</v>
      </c>
      <c r="O126" s="8">
        <f>TBL_Employees[[#This Row],[Annual Salary]]*TBL_Employees[[#This Row],[Bonus %]]/100+TBL_Employees[[#This Row],[Annual Salary]]</f>
        <v>55859</v>
      </c>
      <c r="P126" t="s">
        <v>33</v>
      </c>
      <c r="Q126" t="s">
        <v>60</v>
      </c>
      <c r="R126" s="6" t="s">
        <v>21</v>
      </c>
    </row>
    <row r="127" spans="1:18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 s="17"/>
      <c r="I127">
        <v>62</v>
      </c>
      <c r="J127" s="6">
        <v>39002</v>
      </c>
      <c r="K127" s="8">
        <v>79785</v>
      </c>
      <c r="L127" s="1">
        <v>0</v>
      </c>
      <c r="M127" s="8">
        <f>TBL_Employees[[#This Row],[Annual Salary]]*TBL_Employees[[#This Row],[Bonus %]]</f>
        <v>0</v>
      </c>
      <c r="N127" s="8">
        <f>SUM(TBL_Employees[[#This Row],[Annual Salary]],TBL_Employees[[#This Row],[TOTAL BONUS]])</f>
        <v>79785</v>
      </c>
      <c r="O127" s="8">
        <f>TBL_Employees[[#This Row],[Annual Salary]]*TBL_Employees[[#This Row],[Bonus %]]/100+TBL_Employees[[#This Row],[Annual Salary]]</f>
        <v>79785</v>
      </c>
      <c r="P127" t="s">
        <v>19</v>
      </c>
      <c r="Q127" t="s">
        <v>25</v>
      </c>
      <c r="R127" s="6" t="s">
        <v>21</v>
      </c>
    </row>
    <row r="128" spans="1:18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 s="17"/>
      <c r="I128">
        <v>39</v>
      </c>
      <c r="J128" s="6">
        <v>39391</v>
      </c>
      <c r="K128" s="8">
        <v>99017</v>
      </c>
      <c r="L128" s="1">
        <v>0</v>
      </c>
      <c r="M128" s="8">
        <f>TBL_Employees[[#This Row],[Annual Salary]]*TBL_Employees[[#This Row],[Bonus %]]</f>
        <v>0</v>
      </c>
      <c r="N128" s="8">
        <f>SUM(TBL_Employees[[#This Row],[Annual Salary]],TBL_Employees[[#This Row],[TOTAL BONUS]])</f>
        <v>99017</v>
      </c>
      <c r="O128" s="8">
        <f>TBL_Employees[[#This Row],[Annual Salary]]*TBL_Employees[[#This Row],[Bonus %]]/100+TBL_Employees[[#This Row],[Annual Salary]]</f>
        <v>99017</v>
      </c>
      <c r="P128" t="s">
        <v>33</v>
      </c>
      <c r="Q128" t="s">
        <v>60</v>
      </c>
      <c r="R128" s="6" t="s">
        <v>21</v>
      </c>
    </row>
    <row r="129" spans="1:18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 s="17"/>
      <c r="I129">
        <v>63</v>
      </c>
      <c r="J129" s="6">
        <v>33695</v>
      </c>
      <c r="K129" s="8">
        <v>53809</v>
      </c>
      <c r="L129" s="1">
        <v>0</v>
      </c>
      <c r="M129" s="8">
        <f>TBL_Employees[[#This Row],[Annual Salary]]*TBL_Employees[[#This Row],[Bonus %]]</f>
        <v>0</v>
      </c>
      <c r="N129" s="8">
        <f>SUM(TBL_Employees[[#This Row],[Annual Salary]],TBL_Employees[[#This Row],[TOTAL BONUS]])</f>
        <v>53809</v>
      </c>
      <c r="O129" s="8">
        <f>TBL_Employees[[#This Row],[Annual Salary]]*TBL_Employees[[#This Row],[Bonus %]]/100+TBL_Employees[[#This Row],[Annual Salary]]</f>
        <v>53809</v>
      </c>
      <c r="P129" t="s">
        <v>19</v>
      </c>
      <c r="Q129" t="s">
        <v>39</v>
      </c>
      <c r="R129" s="6" t="s">
        <v>21</v>
      </c>
    </row>
    <row r="130" spans="1:18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 s="17"/>
      <c r="I130">
        <v>27</v>
      </c>
      <c r="J130" s="6">
        <v>43937</v>
      </c>
      <c r="K130" s="8">
        <v>71864</v>
      </c>
      <c r="L130" s="1">
        <v>0</v>
      </c>
      <c r="M130" s="8">
        <f>TBL_Employees[[#This Row],[Annual Salary]]*TBL_Employees[[#This Row],[Bonus %]]</f>
        <v>0</v>
      </c>
      <c r="N130" s="8">
        <f>SUM(TBL_Employees[[#This Row],[Annual Salary]],TBL_Employees[[#This Row],[TOTAL BONUS]])</f>
        <v>71864</v>
      </c>
      <c r="O130" s="8">
        <f>TBL_Employees[[#This Row],[Annual Salary]]*TBL_Employees[[#This Row],[Bonus %]]/100+TBL_Employees[[#This Row],[Annual Salary]]</f>
        <v>71864</v>
      </c>
      <c r="P130" t="s">
        <v>33</v>
      </c>
      <c r="Q130" t="s">
        <v>34</v>
      </c>
      <c r="R130" s="6" t="s">
        <v>21</v>
      </c>
    </row>
    <row r="131" spans="1:18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 s="17"/>
      <c r="I131">
        <v>37</v>
      </c>
      <c r="J131" s="6">
        <v>40883</v>
      </c>
      <c r="K131" s="8">
        <v>225558</v>
      </c>
      <c r="L131" s="1">
        <v>0.33</v>
      </c>
      <c r="M131" s="8">
        <f>TBL_Employees[[#This Row],[Annual Salary]]*TBL_Employees[[#This Row],[Bonus %]]</f>
        <v>74434.14</v>
      </c>
      <c r="N131" s="8">
        <f>SUM(TBL_Employees[[#This Row],[Annual Salary]],TBL_Employees[[#This Row],[TOTAL BONUS]])</f>
        <v>299992.14</v>
      </c>
      <c r="O131" s="8">
        <f>TBL_Employees[[#This Row],[Annual Salary]]*TBL_Employees[[#This Row],[Bonus %]]/100+TBL_Employees[[#This Row],[Annual Salary]]</f>
        <v>226302.3414</v>
      </c>
      <c r="P131" t="s">
        <v>33</v>
      </c>
      <c r="Q131" t="s">
        <v>74</v>
      </c>
      <c r="R131" s="6" t="s">
        <v>21</v>
      </c>
    </row>
    <row r="132" spans="1:18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 s="17"/>
      <c r="I132">
        <v>37</v>
      </c>
      <c r="J132" s="6">
        <v>41695</v>
      </c>
      <c r="K132" s="8">
        <v>128984</v>
      </c>
      <c r="L132" s="1">
        <v>0.12</v>
      </c>
      <c r="M132" s="8">
        <f>TBL_Employees[[#This Row],[Annual Salary]]*TBL_Employees[[#This Row],[Bonus %]]</f>
        <v>15478.08</v>
      </c>
      <c r="N132" s="8">
        <f>SUM(TBL_Employees[[#This Row],[Annual Salary]],TBL_Employees[[#This Row],[TOTAL BONUS]])</f>
        <v>144462.07999999999</v>
      </c>
      <c r="O132" s="8">
        <f>TBL_Employees[[#This Row],[Annual Salary]]*TBL_Employees[[#This Row],[Bonus %]]/100+TBL_Employees[[#This Row],[Annual Salary]]</f>
        <v>129138.78079999999</v>
      </c>
      <c r="P132" t="s">
        <v>19</v>
      </c>
      <c r="Q132" t="s">
        <v>45</v>
      </c>
      <c r="R132" s="6">
        <v>44317</v>
      </c>
    </row>
    <row r="133" spans="1:18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 s="17"/>
      <c r="I133">
        <v>46</v>
      </c>
      <c r="J133" s="6">
        <v>36331</v>
      </c>
      <c r="K133" s="8">
        <v>96997</v>
      </c>
      <c r="L133" s="1">
        <v>0</v>
      </c>
      <c r="M133" s="8">
        <f>TBL_Employees[[#This Row],[Annual Salary]]*TBL_Employees[[#This Row],[Bonus %]]</f>
        <v>0</v>
      </c>
      <c r="N133" s="8">
        <f>SUM(TBL_Employees[[#This Row],[Annual Salary]],TBL_Employees[[#This Row],[TOTAL BONUS]])</f>
        <v>96997</v>
      </c>
      <c r="O133" s="8">
        <f>TBL_Employees[[#This Row],[Annual Salary]]*TBL_Employees[[#This Row],[Bonus %]]/100+TBL_Employees[[#This Row],[Annual Salary]]</f>
        <v>96997</v>
      </c>
      <c r="P133" t="s">
        <v>52</v>
      </c>
      <c r="Q133" t="s">
        <v>53</v>
      </c>
      <c r="R133" s="6" t="s">
        <v>21</v>
      </c>
    </row>
    <row r="134" spans="1:18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 s="17"/>
      <c r="I134">
        <v>54</v>
      </c>
      <c r="J134" s="6">
        <v>43122</v>
      </c>
      <c r="K134" s="8">
        <v>176294</v>
      </c>
      <c r="L134" s="1">
        <v>0.28000000000000003</v>
      </c>
      <c r="M134" s="8">
        <f>TBL_Employees[[#This Row],[Annual Salary]]*TBL_Employees[[#This Row],[Bonus %]]</f>
        <v>49362.320000000007</v>
      </c>
      <c r="N134" s="8">
        <f>SUM(TBL_Employees[[#This Row],[Annual Salary]],TBL_Employees[[#This Row],[TOTAL BONUS]])</f>
        <v>225656.32000000001</v>
      </c>
      <c r="O134" s="8">
        <f>TBL_Employees[[#This Row],[Annual Salary]]*TBL_Employees[[#This Row],[Bonus %]]/100+TBL_Employees[[#This Row],[Annual Salary]]</f>
        <v>176787.6232</v>
      </c>
      <c r="P134" t="s">
        <v>19</v>
      </c>
      <c r="Q134" t="s">
        <v>25</v>
      </c>
      <c r="R134" s="6" t="s">
        <v>21</v>
      </c>
    </row>
    <row r="135" spans="1:18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 s="17"/>
      <c r="I135">
        <v>30</v>
      </c>
      <c r="J135" s="6">
        <v>44241</v>
      </c>
      <c r="K135" s="8">
        <v>48340</v>
      </c>
      <c r="L135" s="1">
        <v>0</v>
      </c>
      <c r="M135" s="8">
        <f>TBL_Employees[[#This Row],[Annual Salary]]*TBL_Employees[[#This Row],[Bonus %]]</f>
        <v>0</v>
      </c>
      <c r="N135" s="8">
        <f>SUM(TBL_Employees[[#This Row],[Annual Salary]],TBL_Employees[[#This Row],[TOTAL BONUS]])</f>
        <v>48340</v>
      </c>
      <c r="O135" s="8">
        <f>TBL_Employees[[#This Row],[Annual Salary]]*TBL_Employees[[#This Row],[Bonus %]]/100+TBL_Employees[[#This Row],[Annual Salary]]</f>
        <v>48340</v>
      </c>
      <c r="P135" t="s">
        <v>33</v>
      </c>
      <c r="Q135" t="s">
        <v>60</v>
      </c>
      <c r="R135" s="6" t="s">
        <v>21</v>
      </c>
    </row>
    <row r="136" spans="1:18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 s="17"/>
      <c r="I136">
        <v>28</v>
      </c>
      <c r="J136" s="6">
        <v>42922</v>
      </c>
      <c r="K136" s="8">
        <v>240488</v>
      </c>
      <c r="L136" s="1">
        <v>0.4</v>
      </c>
      <c r="M136" s="8">
        <f>TBL_Employees[[#This Row],[Annual Salary]]*TBL_Employees[[#This Row],[Bonus %]]</f>
        <v>96195.200000000012</v>
      </c>
      <c r="N136" s="8">
        <f>SUM(TBL_Employees[[#This Row],[Annual Salary]],TBL_Employees[[#This Row],[TOTAL BONUS]])</f>
        <v>336683.2</v>
      </c>
      <c r="O136" s="8">
        <f>TBL_Employees[[#This Row],[Annual Salary]]*TBL_Employees[[#This Row],[Bonus %]]/100+TBL_Employees[[#This Row],[Annual Salary]]</f>
        <v>241449.95199999999</v>
      </c>
      <c r="P136" t="s">
        <v>52</v>
      </c>
      <c r="Q136" t="s">
        <v>66</v>
      </c>
      <c r="R136" s="6" t="s">
        <v>21</v>
      </c>
    </row>
    <row r="137" spans="1:18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 s="17"/>
      <c r="I137">
        <v>40</v>
      </c>
      <c r="J137" s="6">
        <v>40565</v>
      </c>
      <c r="K137" s="8">
        <v>97339</v>
      </c>
      <c r="L137" s="1">
        <v>0</v>
      </c>
      <c r="M137" s="8">
        <f>TBL_Employees[[#This Row],[Annual Salary]]*TBL_Employees[[#This Row],[Bonus %]]</f>
        <v>0</v>
      </c>
      <c r="N137" s="8">
        <f>SUM(TBL_Employees[[#This Row],[Annual Salary]],TBL_Employees[[#This Row],[TOTAL BONUS]])</f>
        <v>97339</v>
      </c>
      <c r="O137" s="8">
        <f>TBL_Employees[[#This Row],[Annual Salary]]*TBL_Employees[[#This Row],[Bonus %]]/100+TBL_Employees[[#This Row],[Annual Salary]]</f>
        <v>97339</v>
      </c>
      <c r="P137" t="s">
        <v>19</v>
      </c>
      <c r="Q137" t="s">
        <v>25</v>
      </c>
      <c r="R137" s="6" t="s">
        <v>21</v>
      </c>
    </row>
    <row r="138" spans="1:18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 s="17"/>
      <c r="I138">
        <v>49</v>
      </c>
      <c r="J138" s="6">
        <v>37680</v>
      </c>
      <c r="K138" s="8">
        <v>211291</v>
      </c>
      <c r="L138" s="1">
        <v>0.37</v>
      </c>
      <c r="M138" s="8">
        <f>TBL_Employees[[#This Row],[Annual Salary]]*TBL_Employees[[#This Row],[Bonus %]]</f>
        <v>78177.67</v>
      </c>
      <c r="N138" s="8">
        <f>SUM(TBL_Employees[[#This Row],[Annual Salary]],TBL_Employees[[#This Row],[TOTAL BONUS]])</f>
        <v>289468.67</v>
      </c>
      <c r="O138" s="8">
        <f>TBL_Employees[[#This Row],[Annual Salary]]*TBL_Employees[[#This Row],[Bonus %]]/100+TBL_Employees[[#This Row],[Annual Salary]]</f>
        <v>212072.77669999999</v>
      </c>
      <c r="P138" t="s">
        <v>33</v>
      </c>
      <c r="Q138" t="s">
        <v>80</v>
      </c>
      <c r="R138" s="6" t="s">
        <v>21</v>
      </c>
    </row>
    <row r="139" spans="1:18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 s="17"/>
      <c r="I139">
        <v>39</v>
      </c>
      <c r="J139" s="6">
        <v>40778</v>
      </c>
      <c r="K139" s="8">
        <v>249506</v>
      </c>
      <c r="L139" s="1">
        <v>0.3</v>
      </c>
      <c r="M139" s="8">
        <f>TBL_Employees[[#This Row],[Annual Salary]]*TBL_Employees[[#This Row],[Bonus %]]</f>
        <v>74851.8</v>
      </c>
      <c r="N139" s="8">
        <f>SUM(TBL_Employees[[#This Row],[Annual Salary]],TBL_Employees[[#This Row],[TOTAL BONUS]])</f>
        <v>324357.8</v>
      </c>
      <c r="O139" s="8">
        <f>TBL_Employees[[#This Row],[Annual Salary]]*TBL_Employees[[#This Row],[Bonus %]]/100+TBL_Employees[[#This Row],[Annual Salary]]</f>
        <v>250254.51800000001</v>
      </c>
      <c r="P139" t="s">
        <v>52</v>
      </c>
      <c r="Q139" t="s">
        <v>66</v>
      </c>
      <c r="R139" s="6" t="s">
        <v>21</v>
      </c>
    </row>
    <row r="140" spans="1:18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 s="17"/>
      <c r="I140">
        <v>61</v>
      </c>
      <c r="J140" s="6">
        <v>37582</v>
      </c>
      <c r="K140" s="8">
        <v>80950</v>
      </c>
      <c r="L140" s="1">
        <v>0</v>
      </c>
      <c r="M140" s="8">
        <f>TBL_Employees[[#This Row],[Annual Salary]]*TBL_Employees[[#This Row],[Bonus %]]</f>
        <v>0</v>
      </c>
      <c r="N140" s="8">
        <f>SUM(TBL_Employees[[#This Row],[Annual Salary]],TBL_Employees[[#This Row],[TOTAL BONUS]])</f>
        <v>80950</v>
      </c>
      <c r="O140" s="8">
        <f>TBL_Employees[[#This Row],[Annual Salary]]*TBL_Employees[[#This Row],[Bonus %]]/100+TBL_Employees[[#This Row],[Annual Salary]]</f>
        <v>80950</v>
      </c>
      <c r="P140" t="s">
        <v>33</v>
      </c>
      <c r="Q140" t="s">
        <v>80</v>
      </c>
      <c r="R140" s="6" t="s">
        <v>21</v>
      </c>
    </row>
    <row r="141" spans="1:18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 s="17"/>
      <c r="I141">
        <v>46</v>
      </c>
      <c r="J141" s="6">
        <v>44206</v>
      </c>
      <c r="K141" s="8">
        <v>86538</v>
      </c>
      <c r="L141" s="1">
        <v>0</v>
      </c>
      <c r="M141" s="8">
        <f>TBL_Employees[[#This Row],[Annual Salary]]*TBL_Employees[[#This Row],[Bonus %]]</f>
        <v>0</v>
      </c>
      <c r="N141" s="8">
        <f>SUM(TBL_Employees[[#This Row],[Annual Salary]],TBL_Employees[[#This Row],[TOTAL BONUS]])</f>
        <v>86538</v>
      </c>
      <c r="O141" s="8">
        <f>TBL_Employees[[#This Row],[Annual Salary]]*TBL_Employees[[#This Row],[Bonus %]]/100+TBL_Employees[[#This Row],[Annual Salary]]</f>
        <v>86538</v>
      </c>
      <c r="P141" t="s">
        <v>33</v>
      </c>
      <c r="Q141" t="s">
        <v>34</v>
      </c>
      <c r="R141" s="6" t="s">
        <v>21</v>
      </c>
    </row>
    <row r="142" spans="1:18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 s="17"/>
      <c r="I142">
        <v>35</v>
      </c>
      <c r="J142" s="6">
        <v>43715</v>
      </c>
      <c r="K142" s="8">
        <v>70992</v>
      </c>
      <c r="L142" s="1">
        <v>0</v>
      </c>
      <c r="M142" s="8">
        <f>TBL_Employees[[#This Row],[Annual Salary]]*TBL_Employees[[#This Row],[Bonus %]]</f>
        <v>0</v>
      </c>
      <c r="N142" s="8">
        <f>SUM(TBL_Employees[[#This Row],[Annual Salary]],TBL_Employees[[#This Row],[TOTAL BONUS]])</f>
        <v>70992</v>
      </c>
      <c r="O142" s="8">
        <f>TBL_Employees[[#This Row],[Annual Salary]]*TBL_Employees[[#This Row],[Bonus %]]/100+TBL_Employees[[#This Row],[Annual Salary]]</f>
        <v>70992</v>
      </c>
      <c r="P142" t="s">
        <v>19</v>
      </c>
      <c r="Q142" t="s">
        <v>25</v>
      </c>
      <c r="R142" s="6" t="s">
        <v>21</v>
      </c>
    </row>
    <row r="143" spans="1:18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 s="17"/>
      <c r="I143">
        <v>33</v>
      </c>
      <c r="J143" s="6">
        <v>42173</v>
      </c>
      <c r="K143" s="8">
        <v>205314</v>
      </c>
      <c r="L143" s="1">
        <v>0.3</v>
      </c>
      <c r="M143" s="8">
        <f>TBL_Employees[[#This Row],[Annual Salary]]*TBL_Employees[[#This Row],[Bonus %]]</f>
        <v>61594.2</v>
      </c>
      <c r="N143" s="8">
        <f>SUM(TBL_Employees[[#This Row],[Annual Salary]],TBL_Employees[[#This Row],[TOTAL BONUS]])</f>
        <v>266908.2</v>
      </c>
      <c r="O143" s="8">
        <f>TBL_Employees[[#This Row],[Annual Salary]]*TBL_Employees[[#This Row],[Bonus %]]/100+TBL_Employees[[#This Row],[Annual Salary]]</f>
        <v>205929.94200000001</v>
      </c>
      <c r="P143" t="s">
        <v>19</v>
      </c>
      <c r="Q143" t="s">
        <v>29</v>
      </c>
      <c r="R143" s="6" t="s">
        <v>21</v>
      </c>
    </row>
    <row r="144" spans="1:18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 s="17"/>
      <c r="I144">
        <v>61</v>
      </c>
      <c r="J144" s="6">
        <v>42804</v>
      </c>
      <c r="K144" s="8">
        <v>196951</v>
      </c>
      <c r="L144" s="1">
        <v>0.33</v>
      </c>
      <c r="M144" s="8">
        <f>TBL_Employees[[#This Row],[Annual Salary]]*TBL_Employees[[#This Row],[Bonus %]]</f>
        <v>64993.83</v>
      </c>
      <c r="N144" s="8">
        <f>SUM(TBL_Employees[[#This Row],[Annual Salary]],TBL_Employees[[#This Row],[TOTAL BONUS]])</f>
        <v>261944.83000000002</v>
      </c>
      <c r="O144" s="8">
        <f>TBL_Employees[[#This Row],[Annual Salary]]*TBL_Employees[[#This Row],[Bonus %]]/100+TBL_Employees[[#This Row],[Annual Salary]]</f>
        <v>197600.93830000001</v>
      </c>
      <c r="P144" t="s">
        <v>33</v>
      </c>
      <c r="Q144" t="s">
        <v>60</v>
      </c>
      <c r="R144" s="6" t="s">
        <v>21</v>
      </c>
    </row>
    <row r="145" spans="1:18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 s="17"/>
      <c r="I145">
        <v>45</v>
      </c>
      <c r="J145" s="6">
        <v>38613</v>
      </c>
      <c r="K145" s="8">
        <v>67686</v>
      </c>
      <c r="L145" s="1">
        <v>0</v>
      </c>
      <c r="M145" s="8">
        <f>TBL_Employees[[#This Row],[Annual Salary]]*TBL_Employees[[#This Row],[Bonus %]]</f>
        <v>0</v>
      </c>
      <c r="N145" s="8">
        <f>SUM(TBL_Employees[[#This Row],[Annual Salary]],TBL_Employees[[#This Row],[TOTAL BONUS]])</f>
        <v>67686</v>
      </c>
      <c r="O145" s="8">
        <f>TBL_Employees[[#This Row],[Annual Salary]]*TBL_Employees[[#This Row],[Bonus %]]/100+TBL_Employees[[#This Row],[Annual Salary]]</f>
        <v>67686</v>
      </c>
      <c r="P145" t="s">
        <v>33</v>
      </c>
      <c r="Q145" t="s">
        <v>60</v>
      </c>
      <c r="R145" s="6" t="s">
        <v>21</v>
      </c>
    </row>
    <row r="146" spans="1:18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 s="17"/>
      <c r="I146">
        <v>51</v>
      </c>
      <c r="J146" s="6">
        <v>39553</v>
      </c>
      <c r="K146" s="8">
        <v>86431</v>
      </c>
      <c r="L146" s="1">
        <v>0</v>
      </c>
      <c r="M146" s="8">
        <f>TBL_Employees[[#This Row],[Annual Salary]]*TBL_Employees[[#This Row],[Bonus %]]</f>
        <v>0</v>
      </c>
      <c r="N146" s="8">
        <f>SUM(TBL_Employees[[#This Row],[Annual Salary]],TBL_Employees[[#This Row],[TOTAL BONUS]])</f>
        <v>86431</v>
      </c>
      <c r="O146" s="8">
        <f>TBL_Employees[[#This Row],[Annual Salary]]*TBL_Employees[[#This Row],[Bonus %]]/100+TBL_Employees[[#This Row],[Annual Salary]]</f>
        <v>86431</v>
      </c>
      <c r="P146" t="s">
        <v>19</v>
      </c>
      <c r="Q146" t="s">
        <v>29</v>
      </c>
      <c r="R146" s="6" t="s">
        <v>21</v>
      </c>
    </row>
    <row r="147" spans="1:18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 s="17"/>
      <c r="I147">
        <v>55</v>
      </c>
      <c r="J147" s="6">
        <v>35019</v>
      </c>
      <c r="K147" s="8">
        <v>125936</v>
      </c>
      <c r="L147" s="1">
        <v>0.08</v>
      </c>
      <c r="M147" s="8">
        <f>TBL_Employees[[#This Row],[Annual Salary]]*TBL_Employees[[#This Row],[Bonus %]]</f>
        <v>10074.880000000001</v>
      </c>
      <c r="N147" s="8">
        <f>SUM(TBL_Employees[[#This Row],[Annual Salary]],TBL_Employees[[#This Row],[TOTAL BONUS]])</f>
        <v>136010.88</v>
      </c>
      <c r="O147" s="8">
        <f>TBL_Employees[[#This Row],[Annual Salary]]*TBL_Employees[[#This Row],[Bonus %]]/100+TBL_Employees[[#This Row],[Annual Salary]]</f>
        <v>126036.7488</v>
      </c>
      <c r="P147" t="s">
        <v>33</v>
      </c>
      <c r="Q147" t="s">
        <v>80</v>
      </c>
      <c r="R147" s="6" t="s">
        <v>21</v>
      </c>
    </row>
    <row r="148" spans="1:18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 s="17"/>
      <c r="I148">
        <v>46</v>
      </c>
      <c r="J148" s="6">
        <v>41473</v>
      </c>
      <c r="K148" s="8">
        <v>149712</v>
      </c>
      <c r="L148" s="1">
        <v>0.14000000000000001</v>
      </c>
      <c r="M148" s="8">
        <f>TBL_Employees[[#This Row],[Annual Salary]]*TBL_Employees[[#This Row],[Bonus %]]</f>
        <v>20959.68</v>
      </c>
      <c r="N148" s="8">
        <f>SUM(TBL_Employees[[#This Row],[Annual Salary]],TBL_Employees[[#This Row],[TOTAL BONUS]])</f>
        <v>170671.68</v>
      </c>
      <c r="O148" s="8">
        <f>TBL_Employees[[#This Row],[Annual Salary]]*TBL_Employees[[#This Row],[Bonus %]]/100+TBL_Employees[[#This Row],[Annual Salary]]</f>
        <v>149921.5968</v>
      </c>
      <c r="P148" t="s">
        <v>19</v>
      </c>
      <c r="Q148" t="s">
        <v>29</v>
      </c>
      <c r="R148" s="6" t="s">
        <v>21</v>
      </c>
    </row>
    <row r="149" spans="1:18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 s="17"/>
      <c r="I149">
        <v>30</v>
      </c>
      <c r="J149" s="6">
        <v>44471</v>
      </c>
      <c r="K149" s="8">
        <v>88758</v>
      </c>
      <c r="L149" s="1">
        <v>0</v>
      </c>
      <c r="M149" s="8">
        <f>TBL_Employees[[#This Row],[Annual Salary]]*TBL_Employees[[#This Row],[Bonus %]]</f>
        <v>0</v>
      </c>
      <c r="N149" s="8">
        <f>SUM(TBL_Employees[[#This Row],[Annual Salary]],TBL_Employees[[#This Row],[TOTAL BONUS]])</f>
        <v>88758</v>
      </c>
      <c r="O149" s="8">
        <f>TBL_Employees[[#This Row],[Annual Salary]]*TBL_Employees[[#This Row],[Bonus %]]/100+TBL_Employees[[#This Row],[Annual Salary]]</f>
        <v>88758</v>
      </c>
      <c r="P149" t="s">
        <v>19</v>
      </c>
      <c r="Q149" t="s">
        <v>63</v>
      </c>
      <c r="R149" s="6" t="s">
        <v>21</v>
      </c>
    </row>
    <row r="150" spans="1:18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 s="17"/>
      <c r="I150">
        <v>54</v>
      </c>
      <c r="J150" s="6">
        <v>41468</v>
      </c>
      <c r="K150" s="8">
        <v>83639</v>
      </c>
      <c r="L150" s="1">
        <v>0</v>
      </c>
      <c r="M150" s="8">
        <f>TBL_Employees[[#This Row],[Annual Salary]]*TBL_Employees[[#This Row],[Bonus %]]</f>
        <v>0</v>
      </c>
      <c r="N150" s="8">
        <f>SUM(TBL_Employees[[#This Row],[Annual Salary]],TBL_Employees[[#This Row],[TOTAL BONUS]])</f>
        <v>83639</v>
      </c>
      <c r="O150" s="8">
        <f>TBL_Employees[[#This Row],[Annual Salary]]*TBL_Employees[[#This Row],[Bonus %]]/100+TBL_Employees[[#This Row],[Annual Salary]]</f>
        <v>83639</v>
      </c>
      <c r="P150" t="s">
        <v>33</v>
      </c>
      <c r="Q150" t="s">
        <v>60</v>
      </c>
      <c r="R150" s="6" t="s">
        <v>21</v>
      </c>
    </row>
    <row r="151" spans="1:18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 s="17"/>
      <c r="I151">
        <v>54</v>
      </c>
      <c r="J151" s="6">
        <v>35933</v>
      </c>
      <c r="K151" s="8">
        <v>68268</v>
      </c>
      <c r="L151" s="1">
        <v>0</v>
      </c>
      <c r="M151" s="8">
        <f>TBL_Employees[[#This Row],[Annual Salary]]*TBL_Employees[[#This Row],[Bonus %]]</f>
        <v>0</v>
      </c>
      <c r="N151" s="8">
        <f>SUM(TBL_Employees[[#This Row],[Annual Salary]],TBL_Employees[[#This Row],[TOTAL BONUS]])</f>
        <v>68268</v>
      </c>
      <c r="O151" s="8">
        <f>TBL_Employees[[#This Row],[Annual Salary]]*TBL_Employees[[#This Row],[Bonus %]]/100+TBL_Employees[[#This Row],[Annual Salary]]</f>
        <v>68268</v>
      </c>
      <c r="P151" t="s">
        <v>19</v>
      </c>
      <c r="Q151" t="s">
        <v>39</v>
      </c>
      <c r="R151" s="6" t="s">
        <v>21</v>
      </c>
    </row>
    <row r="152" spans="1:18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 s="17"/>
      <c r="I152">
        <v>45</v>
      </c>
      <c r="J152" s="6">
        <v>37313</v>
      </c>
      <c r="K152" s="8">
        <v>75819</v>
      </c>
      <c r="L152" s="1">
        <v>0</v>
      </c>
      <c r="M152" s="8">
        <f>TBL_Employees[[#This Row],[Annual Salary]]*TBL_Employees[[#This Row],[Bonus %]]</f>
        <v>0</v>
      </c>
      <c r="N152" s="8">
        <f>SUM(TBL_Employees[[#This Row],[Annual Salary]],TBL_Employees[[#This Row],[TOTAL BONUS]])</f>
        <v>75819</v>
      </c>
      <c r="O152" s="8">
        <f>TBL_Employees[[#This Row],[Annual Salary]]*TBL_Employees[[#This Row],[Bonus %]]/100+TBL_Employees[[#This Row],[Annual Salary]]</f>
        <v>75819</v>
      </c>
      <c r="P152" t="s">
        <v>52</v>
      </c>
      <c r="Q152" t="s">
        <v>53</v>
      </c>
      <c r="R152" s="6" t="s">
        <v>21</v>
      </c>
    </row>
    <row r="153" spans="1:18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 s="17"/>
      <c r="I153">
        <v>49</v>
      </c>
      <c r="J153" s="6">
        <v>35200</v>
      </c>
      <c r="K153" s="8">
        <v>86658</v>
      </c>
      <c r="L153" s="1">
        <v>0</v>
      </c>
      <c r="M153" s="8">
        <f>TBL_Employees[[#This Row],[Annual Salary]]*TBL_Employees[[#This Row],[Bonus %]]</f>
        <v>0</v>
      </c>
      <c r="N153" s="8">
        <f>SUM(TBL_Employees[[#This Row],[Annual Salary]],TBL_Employees[[#This Row],[TOTAL BONUS]])</f>
        <v>86658</v>
      </c>
      <c r="O153" s="8">
        <f>TBL_Employees[[#This Row],[Annual Salary]]*TBL_Employees[[#This Row],[Bonus %]]/100+TBL_Employees[[#This Row],[Annual Salary]]</f>
        <v>86658</v>
      </c>
      <c r="P153" t="s">
        <v>19</v>
      </c>
      <c r="Q153" t="s">
        <v>39</v>
      </c>
      <c r="R153" s="6" t="s">
        <v>21</v>
      </c>
    </row>
    <row r="154" spans="1:18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 s="17"/>
      <c r="I154">
        <v>55</v>
      </c>
      <c r="J154" s="6">
        <v>41714</v>
      </c>
      <c r="K154" s="8">
        <v>74552</v>
      </c>
      <c r="L154" s="1">
        <v>0</v>
      </c>
      <c r="M154" s="8">
        <f>TBL_Employees[[#This Row],[Annual Salary]]*TBL_Employees[[#This Row],[Bonus %]]</f>
        <v>0</v>
      </c>
      <c r="N154" s="8">
        <f>SUM(TBL_Employees[[#This Row],[Annual Salary]],TBL_Employees[[#This Row],[TOTAL BONUS]])</f>
        <v>74552</v>
      </c>
      <c r="O154" s="8">
        <f>TBL_Employees[[#This Row],[Annual Salary]]*TBL_Employees[[#This Row],[Bonus %]]/100+TBL_Employees[[#This Row],[Annual Salary]]</f>
        <v>74552</v>
      </c>
      <c r="P154" t="s">
        <v>33</v>
      </c>
      <c r="Q154" t="s">
        <v>34</v>
      </c>
      <c r="R154" s="6" t="s">
        <v>21</v>
      </c>
    </row>
    <row r="155" spans="1:18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 s="17"/>
      <c r="I155">
        <v>62</v>
      </c>
      <c r="J155" s="6">
        <v>39887</v>
      </c>
      <c r="K155" s="8">
        <v>82839</v>
      </c>
      <c r="L155" s="1">
        <v>0</v>
      </c>
      <c r="M155" s="8">
        <f>TBL_Employees[[#This Row],[Annual Salary]]*TBL_Employees[[#This Row],[Bonus %]]</f>
        <v>0</v>
      </c>
      <c r="N155" s="8">
        <f>SUM(TBL_Employees[[#This Row],[Annual Salary]],TBL_Employees[[#This Row],[TOTAL BONUS]])</f>
        <v>82839</v>
      </c>
      <c r="O155" s="8">
        <f>TBL_Employees[[#This Row],[Annual Salary]]*TBL_Employees[[#This Row],[Bonus %]]/100+TBL_Employees[[#This Row],[Annual Salary]]</f>
        <v>82839</v>
      </c>
      <c r="P155" t="s">
        <v>19</v>
      </c>
      <c r="Q155" t="s">
        <v>45</v>
      </c>
      <c r="R155" s="6" t="s">
        <v>21</v>
      </c>
    </row>
    <row r="156" spans="1:18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 s="17"/>
      <c r="I156">
        <v>28</v>
      </c>
      <c r="J156" s="6">
        <v>44477</v>
      </c>
      <c r="K156" s="8">
        <v>64475</v>
      </c>
      <c r="L156" s="1">
        <v>0</v>
      </c>
      <c r="M156" s="8">
        <f>TBL_Employees[[#This Row],[Annual Salary]]*TBL_Employees[[#This Row],[Bonus %]]</f>
        <v>0</v>
      </c>
      <c r="N156" s="8">
        <f>SUM(TBL_Employees[[#This Row],[Annual Salary]],TBL_Employees[[#This Row],[TOTAL BONUS]])</f>
        <v>64475</v>
      </c>
      <c r="O156" s="8">
        <f>TBL_Employees[[#This Row],[Annual Salary]]*TBL_Employees[[#This Row],[Bonus %]]/100+TBL_Employees[[#This Row],[Annual Salary]]</f>
        <v>64475</v>
      </c>
      <c r="P156" t="s">
        <v>19</v>
      </c>
      <c r="Q156" t="s">
        <v>39</v>
      </c>
      <c r="R156" s="6" t="s">
        <v>21</v>
      </c>
    </row>
    <row r="157" spans="1:18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 s="17"/>
      <c r="I157">
        <v>33</v>
      </c>
      <c r="J157" s="6">
        <v>44036</v>
      </c>
      <c r="K157" s="8">
        <v>69453</v>
      </c>
      <c r="L157" s="1">
        <v>0</v>
      </c>
      <c r="M157" s="8">
        <f>TBL_Employees[[#This Row],[Annual Salary]]*TBL_Employees[[#This Row],[Bonus %]]</f>
        <v>0</v>
      </c>
      <c r="N157" s="8">
        <f>SUM(TBL_Employees[[#This Row],[Annual Salary]],TBL_Employees[[#This Row],[TOTAL BONUS]])</f>
        <v>69453</v>
      </c>
      <c r="O157" s="8">
        <f>TBL_Employees[[#This Row],[Annual Salary]]*TBL_Employees[[#This Row],[Bonus %]]/100+TBL_Employees[[#This Row],[Annual Salary]]</f>
        <v>69453</v>
      </c>
      <c r="P157" t="s">
        <v>33</v>
      </c>
      <c r="Q157" t="s">
        <v>34</v>
      </c>
      <c r="R157" s="6" t="s">
        <v>21</v>
      </c>
    </row>
    <row r="158" spans="1:18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 s="17"/>
      <c r="I158">
        <v>32</v>
      </c>
      <c r="J158" s="6">
        <v>41642</v>
      </c>
      <c r="K158" s="8">
        <v>127148</v>
      </c>
      <c r="L158" s="1">
        <v>0.1</v>
      </c>
      <c r="M158" s="8">
        <f>TBL_Employees[[#This Row],[Annual Salary]]*TBL_Employees[[#This Row],[Bonus %]]</f>
        <v>12714.800000000001</v>
      </c>
      <c r="N158" s="8">
        <f>SUM(TBL_Employees[[#This Row],[Annual Salary]],TBL_Employees[[#This Row],[TOTAL BONUS]])</f>
        <v>139862.79999999999</v>
      </c>
      <c r="O158" s="8">
        <f>TBL_Employees[[#This Row],[Annual Salary]]*TBL_Employees[[#This Row],[Bonus %]]/100+TBL_Employees[[#This Row],[Annual Salary]]</f>
        <v>127275.148</v>
      </c>
      <c r="P158" t="s">
        <v>19</v>
      </c>
      <c r="Q158" t="s">
        <v>45</v>
      </c>
      <c r="R158" s="6" t="s">
        <v>21</v>
      </c>
    </row>
    <row r="159" spans="1:18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 s="17"/>
      <c r="I159">
        <v>32</v>
      </c>
      <c r="J159" s="6">
        <v>43102</v>
      </c>
      <c r="K159" s="8">
        <v>190253</v>
      </c>
      <c r="L159" s="1">
        <v>0.33</v>
      </c>
      <c r="M159" s="8">
        <f>TBL_Employees[[#This Row],[Annual Salary]]*TBL_Employees[[#This Row],[Bonus %]]</f>
        <v>62783.490000000005</v>
      </c>
      <c r="N159" s="8">
        <f>SUM(TBL_Employees[[#This Row],[Annual Salary]],TBL_Employees[[#This Row],[TOTAL BONUS]])</f>
        <v>253036.49</v>
      </c>
      <c r="O159" s="8">
        <f>TBL_Employees[[#This Row],[Annual Salary]]*TBL_Employees[[#This Row],[Bonus %]]/100+TBL_Employees[[#This Row],[Annual Salary]]</f>
        <v>190880.83489999999</v>
      </c>
      <c r="P159" t="s">
        <v>19</v>
      </c>
      <c r="Q159" t="s">
        <v>25</v>
      </c>
      <c r="R159" s="6" t="s">
        <v>21</v>
      </c>
    </row>
    <row r="160" spans="1:18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 s="17"/>
      <c r="I160">
        <v>55</v>
      </c>
      <c r="J160" s="6">
        <v>36644</v>
      </c>
      <c r="K160" s="8">
        <v>115798</v>
      </c>
      <c r="L160" s="1">
        <v>0.05</v>
      </c>
      <c r="M160" s="8">
        <f>TBL_Employees[[#This Row],[Annual Salary]]*TBL_Employees[[#This Row],[Bonus %]]</f>
        <v>5789.9000000000005</v>
      </c>
      <c r="N160" s="8">
        <f>SUM(TBL_Employees[[#This Row],[Annual Salary]],TBL_Employees[[#This Row],[TOTAL BONUS]])</f>
        <v>121587.9</v>
      </c>
      <c r="O160" s="8">
        <f>TBL_Employees[[#This Row],[Annual Salary]]*TBL_Employees[[#This Row],[Bonus %]]/100+TBL_Employees[[#This Row],[Annual Salary]]</f>
        <v>115855.899</v>
      </c>
      <c r="P160" t="s">
        <v>19</v>
      </c>
      <c r="Q160" t="s">
        <v>45</v>
      </c>
      <c r="R160" s="6" t="s">
        <v>21</v>
      </c>
    </row>
    <row r="161" spans="1:18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 s="17"/>
      <c r="I161">
        <v>58</v>
      </c>
      <c r="J161" s="6">
        <v>34567</v>
      </c>
      <c r="K161" s="8">
        <v>93102</v>
      </c>
      <c r="L161" s="1">
        <v>0</v>
      </c>
      <c r="M161" s="8">
        <f>TBL_Employees[[#This Row],[Annual Salary]]*TBL_Employees[[#This Row],[Bonus %]]</f>
        <v>0</v>
      </c>
      <c r="N161" s="8">
        <f>SUM(TBL_Employees[[#This Row],[Annual Salary]],TBL_Employees[[#This Row],[TOTAL BONUS]])</f>
        <v>93102</v>
      </c>
      <c r="O161" s="8">
        <f>TBL_Employees[[#This Row],[Annual Salary]]*TBL_Employees[[#This Row],[Bonus %]]/100+TBL_Employees[[#This Row],[Annual Salary]]</f>
        <v>93102</v>
      </c>
      <c r="P161" t="s">
        <v>19</v>
      </c>
      <c r="Q161" t="s">
        <v>63</v>
      </c>
      <c r="R161" s="6">
        <v>41621</v>
      </c>
    </row>
    <row r="162" spans="1:18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 s="17"/>
      <c r="I162">
        <v>34</v>
      </c>
      <c r="J162" s="6">
        <v>43055</v>
      </c>
      <c r="K162" s="8">
        <v>110054</v>
      </c>
      <c r="L162" s="1">
        <v>0.15</v>
      </c>
      <c r="M162" s="8">
        <f>TBL_Employees[[#This Row],[Annual Salary]]*TBL_Employees[[#This Row],[Bonus %]]</f>
        <v>16508.099999999999</v>
      </c>
      <c r="N162" s="8">
        <f>SUM(TBL_Employees[[#This Row],[Annual Salary]],TBL_Employees[[#This Row],[TOTAL BONUS]])</f>
        <v>126562.1</v>
      </c>
      <c r="O162" s="8">
        <f>TBL_Employees[[#This Row],[Annual Salary]]*TBL_Employees[[#This Row],[Bonus %]]/100+TBL_Employees[[#This Row],[Annual Salary]]</f>
        <v>110219.08100000001</v>
      </c>
      <c r="P162" t="s">
        <v>19</v>
      </c>
      <c r="Q162" t="s">
        <v>45</v>
      </c>
      <c r="R162" s="6" t="s">
        <v>21</v>
      </c>
    </row>
    <row r="163" spans="1:18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 s="17"/>
      <c r="I163">
        <v>27</v>
      </c>
      <c r="J163" s="6">
        <v>44224</v>
      </c>
      <c r="K163" s="8">
        <v>95786</v>
      </c>
      <c r="L163" s="1">
        <v>0</v>
      </c>
      <c r="M163" s="8">
        <f>TBL_Employees[[#This Row],[Annual Salary]]*TBL_Employees[[#This Row],[Bonus %]]</f>
        <v>0</v>
      </c>
      <c r="N163" s="8">
        <f>SUM(TBL_Employees[[#This Row],[Annual Salary]],TBL_Employees[[#This Row],[TOTAL BONUS]])</f>
        <v>95786</v>
      </c>
      <c r="O163" s="8">
        <f>TBL_Employees[[#This Row],[Annual Salary]]*TBL_Employees[[#This Row],[Bonus %]]/100+TBL_Employees[[#This Row],[Annual Salary]]</f>
        <v>95786</v>
      </c>
      <c r="P163" t="s">
        <v>19</v>
      </c>
      <c r="Q163" t="s">
        <v>20</v>
      </c>
      <c r="R163" s="6" t="s">
        <v>21</v>
      </c>
    </row>
    <row r="164" spans="1:18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 s="17"/>
      <c r="I164">
        <v>61</v>
      </c>
      <c r="J164" s="6">
        <v>42858</v>
      </c>
      <c r="K164" s="8">
        <v>90855</v>
      </c>
      <c r="L164" s="1">
        <v>0</v>
      </c>
      <c r="M164" s="8">
        <f>TBL_Employees[[#This Row],[Annual Salary]]*TBL_Employees[[#This Row],[Bonus %]]</f>
        <v>0</v>
      </c>
      <c r="N164" s="8">
        <f>SUM(TBL_Employees[[#This Row],[Annual Salary]],TBL_Employees[[#This Row],[TOTAL BONUS]])</f>
        <v>90855</v>
      </c>
      <c r="O164" s="8">
        <f>TBL_Employees[[#This Row],[Annual Salary]]*TBL_Employees[[#This Row],[Bonus %]]/100+TBL_Employees[[#This Row],[Annual Salary]]</f>
        <v>90855</v>
      </c>
      <c r="P164" t="s">
        <v>52</v>
      </c>
      <c r="Q164" t="s">
        <v>53</v>
      </c>
      <c r="R164" s="6" t="s">
        <v>21</v>
      </c>
    </row>
    <row r="165" spans="1:18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 s="17"/>
      <c r="I165">
        <v>47</v>
      </c>
      <c r="J165" s="6">
        <v>36233</v>
      </c>
      <c r="K165" s="8">
        <v>92897</v>
      </c>
      <c r="L165" s="1">
        <v>0</v>
      </c>
      <c r="M165" s="8">
        <f>TBL_Employees[[#This Row],[Annual Salary]]*TBL_Employees[[#This Row],[Bonus %]]</f>
        <v>0</v>
      </c>
      <c r="N165" s="8">
        <f>SUM(TBL_Employees[[#This Row],[Annual Salary]],TBL_Employees[[#This Row],[TOTAL BONUS]])</f>
        <v>92897</v>
      </c>
      <c r="O165" s="8">
        <f>TBL_Employees[[#This Row],[Annual Salary]]*TBL_Employees[[#This Row],[Bonus %]]/100+TBL_Employees[[#This Row],[Annual Salary]]</f>
        <v>92897</v>
      </c>
      <c r="P165" t="s">
        <v>52</v>
      </c>
      <c r="Q165" t="s">
        <v>53</v>
      </c>
      <c r="R165" s="6" t="s">
        <v>21</v>
      </c>
    </row>
    <row r="166" spans="1:18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 s="17"/>
      <c r="I166">
        <v>40</v>
      </c>
      <c r="J166" s="6">
        <v>39872</v>
      </c>
      <c r="K166" s="8">
        <v>242919</v>
      </c>
      <c r="L166" s="1">
        <v>0.31</v>
      </c>
      <c r="M166" s="8">
        <f>TBL_Employees[[#This Row],[Annual Salary]]*TBL_Employees[[#This Row],[Bonus %]]</f>
        <v>75304.89</v>
      </c>
      <c r="N166" s="8">
        <f>SUM(TBL_Employees[[#This Row],[Annual Salary]],TBL_Employees[[#This Row],[TOTAL BONUS]])</f>
        <v>318223.89</v>
      </c>
      <c r="O166" s="8">
        <f>TBL_Employees[[#This Row],[Annual Salary]]*TBL_Employees[[#This Row],[Bonus %]]/100+TBL_Employees[[#This Row],[Annual Salary]]</f>
        <v>243672.04889999999</v>
      </c>
      <c r="P166" t="s">
        <v>33</v>
      </c>
      <c r="Q166" t="s">
        <v>80</v>
      </c>
      <c r="R166" s="6" t="s">
        <v>21</v>
      </c>
    </row>
    <row r="167" spans="1:18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 s="17"/>
      <c r="I167">
        <v>30</v>
      </c>
      <c r="J167" s="6">
        <v>43240</v>
      </c>
      <c r="K167" s="8">
        <v>184368</v>
      </c>
      <c r="L167" s="1">
        <v>0.28999999999999998</v>
      </c>
      <c r="M167" s="8">
        <f>TBL_Employees[[#This Row],[Annual Salary]]*TBL_Employees[[#This Row],[Bonus %]]</f>
        <v>53466.719999999994</v>
      </c>
      <c r="N167" s="8">
        <f>SUM(TBL_Employees[[#This Row],[Annual Salary]],TBL_Employees[[#This Row],[TOTAL BONUS]])</f>
        <v>237834.72</v>
      </c>
      <c r="O167" s="8">
        <f>TBL_Employees[[#This Row],[Annual Salary]]*TBL_Employees[[#This Row],[Bonus %]]/100+TBL_Employees[[#This Row],[Annual Salary]]</f>
        <v>184902.6672</v>
      </c>
      <c r="P167" t="s">
        <v>19</v>
      </c>
      <c r="Q167" t="s">
        <v>25</v>
      </c>
      <c r="R167" s="6" t="s">
        <v>21</v>
      </c>
    </row>
    <row r="168" spans="1:18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 s="17"/>
      <c r="I168">
        <v>45</v>
      </c>
      <c r="J168" s="6">
        <v>44554</v>
      </c>
      <c r="K168" s="8">
        <v>144754</v>
      </c>
      <c r="L168" s="1">
        <v>0.15</v>
      </c>
      <c r="M168" s="8">
        <f>TBL_Employees[[#This Row],[Annual Salary]]*TBL_Employees[[#This Row],[Bonus %]]</f>
        <v>21713.1</v>
      </c>
      <c r="N168" s="8">
        <f>SUM(TBL_Employees[[#This Row],[Annual Salary]],TBL_Employees[[#This Row],[TOTAL BONUS]])</f>
        <v>166467.1</v>
      </c>
      <c r="O168" s="8">
        <f>TBL_Employees[[#This Row],[Annual Salary]]*TBL_Employees[[#This Row],[Bonus %]]/100+TBL_Employees[[#This Row],[Annual Salary]]</f>
        <v>144971.13099999999</v>
      </c>
      <c r="P168" t="s">
        <v>19</v>
      </c>
      <c r="Q168" t="s">
        <v>39</v>
      </c>
      <c r="R168" s="6" t="s">
        <v>21</v>
      </c>
    </row>
    <row r="169" spans="1:18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 s="17"/>
      <c r="I169">
        <v>30</v>
      </c>
      <c r="J169" s="6">
        <v>42722</v>
      </c>
      <c r="K169" s="8">
        <v>89458</v>
      </c>
      <c r="L169" s="1">
        <v>0</v>
      </c>
      <c r="M169" s="8">
        <f>TBL_Employees[[#This Row],[Annual Salary]]*TBL_Employees[[#This Row],[Bonus %]]</f>
        <v>0</v>
      </c>
      <c r="N169" s="8">
        <f>SUM(TBL_Employees[[#This Row],[Annual Salary]],TBL_Employees[[#This Row],[TOTAL BONUS]])</f>
        <v>89458</v>
      </c>
      <c r="O169" s="8">
        <f>TBL_Employees[[#This Row],[Annual Salary]]*TBL_Employees[[#This Row],[Bonus %]]/100+TBL_Employees[[#This Row],[Annual Salary]]</f>
        <v>89458</v>
      </c>
      <c r="P169" t="s">
        <v>19</v>
      </c>
      <c r="Q169" t="s">
        <v>25</v>
      </c>
      <c r="R169" s="6" t="s">
        <v>21</v>
      </c>
    </row>
    <row r="170" spans="1:18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 s="17"/>
      <c r="I170">
        <v>56</v>
      </c>
      <c r="J170" s="6">
        <v>41714</v>
      </c>
      <c r="K170" s="8">
        <v>190815</v>
      </c>
      <c r="L170" s="1">
        <v>0.4</v>
      </c>
      <c r="M170" s="8">
        <f>TBL_Employees[[#This Row],[Annual Salary]]*TBL_Employees[[#This Row],[Bonus %]]</f>
        <v>76326</v>
      </c>
      <c r="N170" s="8">
        <f>SUM(TBL_Employees[[#This Row],[Annual Salary]],TBL_Employees[[#This Row],[TOTAL BONUS]])</f>
        <v>267141</v>
      </c>
      <c r="O170" s="8">
        <f>TBL_Employees[[#This Row],[Annual Salary]]*TBL_Employees[[#This Row],[Bonus %]]/100+TBL_Employees[[#This Row],[Annual Salary]]</f>
        <v>191578.26</v>
      </c>
      <c r="P170" t="s">
        <v>19</v>
      </c>
      <c r="Q170" t="s">
        <v>25</v>
      </c>
      <c r="R170" s="6" t="s">
        <v>21</v>
      </c>
    </row>
    <row r="171" spans="1:18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 s="17"/>
      <c r="I171">
        <v>62</v>
      </c>
      <c r="J171" s="6">
        <v>36374</v>
      </c>
      <c r="K171" s="8">
        <v>137995</v>
      </c>
      <c r="L171" s="1">
        <v>0.14000000000000001</v>
      </c>
      <c r="M171" s="8">
        <f>TBL_Employees[[#This Row],[Annual Salary]]*TBL_Employees[[#This Row],[Bonus %]]</f>
        <v>19319.300000000003</v>
      </c>
      <c r="N171" s="8">
        <f>SUM(TBL_Employees[[#This Row],[Annual Salary]],TBL_Employees[[#This Row],[TOTAL BONUS]])</f>
        <v>157314.29999999999</v>
      </c>
      <c r="O171" s="8">
        <f>TBL_Employees[[#This Row],[Annual Salary]]*TBL_Employees[[#This Row],[Bonus %]]/100+TBL_Employees[[#This Row],[Annual Salary]]</f>
        <v>138188.193</v>
      </c>
      <c r="P171" t="s">
        <v>19</v>
      </c>
      <c r="Q171" t="s">
        <v>25</v>
      </c>
      <c r="R171" s="6" t="s">
        <v>21</v>
      </c>
    </row>
    <row r="172" spans="1:18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 s="17"/>
      <c r="I172">
        <v>45</v>
      </c>
      <c r="J172" s="6">
        <v>39437</v>
      </c>
      <c r="K172" s="8">
        <v>93840</v>
      </c>
      <c r="L172" s="1">
        <v>0</v>
      </c>
      <c r="M172" s="8">
        <f>TBL_Employees[[#This Row],[Annual Salary]]*TBL_Employees[[#This Row],[Bonus %]]</f>
        <v>0</v>
      </c>
      <c r="N172" s="8">
        <f>SUM(TBL_Employees[[#This Row],[Annual Salary]],TBL_Employees[[#This Row],[TOTAL BONUS]])</f>
        <v>93840</v>
      </c>
      <c r="O172" s="8">
        <f>TBL_Employees[[#This Row],[Annual Salary]]*TBL_Employees[[#This Row],[Bonus %]]/100+TBL_Employees[[#This Row],[Annual Salary]]</f>
        <v>93840</v>
      </c>
      <c r="P172" t="s">
        <v>52</v>
      </c>
      <c r="Q172" t="s">
        <v>81</v>
      </c>
      <c r="R172" s="6" t="s">
        <v>21</v>
      </c>
    </row>
    <row r="173" spans="1:18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 s="17"/>
      <c r="I173">
        <v>46</v>
      </c>
      <c r="J173" s="6">
        <v>44495</v>
      </c>
      <c r="K173" s="8">
        <v>94790</v>
      </c>
      <c r="L173" s="1">
        <v>0</v>
      </c>
      <c r="M173" s="8">
        <f>TBL_Employees[[#This Row],[Annual Salary]]*TBL_Employees[[#This Row],[Bonus %]]</f>
        <v>0</v>
      </c>
      <c r="N173" s="8">
        <f>SUM(TBL_Employees[[#This Row],[Annual Salary]],TBL_Employees[[#This Row],[TOTAL BONUS]])</f>
        <v>94790</v>
      </c>
      <c r="O173" s="8">
        <f>TBL_Employees[[#This Row],[Annual Salary]]*TBL_Employees[[#This Row],[Bonus %]]/100+TBL_Employees[[#This Row],[Annual Salary]]</f>
        <v>94790</v>
      </c>
      <c r="P173" t="s">
        <v>33</v>
      </c>
      <c r="Q173" t="s">
        <v>80</v>
      </c>
      <c r="R173" s="6" t="s">
        <v>21</v>
      </c>
    </row>
    <row r="174" spans="1:18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 s="17"/>
      <c r="I174">
        <v>48</v>
      </c>
      <c r="J174" s="6">
        <v>41706</v>
      </c>
      <c r="K174" s="8">
        <v>197367</v>
      </c>
      <c r="L174" s="1">
        <v>0.39</v>
      </c>
      <c r="M174" s="8">
        <f>TBL_Employees[[#This Row],[Annual Salary]]*TBL_Employees[[#This Row],[Bonus %]]</f>
        <v>76973.13</v>
      </c>
      <c r="N174" s="8">
        <f>SUM(TBL_Employees[[#This Row],[Annual Salary]],TBL_Employees[[#This Row],[TOTAL BONUS]])</f>
        <v>274340.13</v>
      </c>
      <c r="O174" s="8">
        <f>TBL_Employees[[#This Row],[Annual Salary]]*TBL_Employees[[#This Row],[Bonus %]]/100+TBL_Employees[[#This Row],[Annual Salary]]</f>
        <v>198136.73130000001</v>
      </c>
      <c r="P174" t="s">
        <v>19</v>
      </c>
      <c r="Q174" t="s">
        <v>25</v>
      </c>
      <c r="R174" s="6" t="s">
        <v>21</v>
      </c>
    </row>
    <row r="175" spans="1:18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 s="17"/>
      <c r="I175">
        <v>27</v>
      </c>
      <c r="J175" s="6">
        <v>43276</v>
      </c>
      <c r="K175" s="8">
        <v>174097</v>
      </c>
      <c r="L175" s="1">
        <v>0.21</v>
      </c>
      <c r="M175" s="8">
        <f>TBL_Employees[[#This Row],[Annual Salary]]*TBL_Employees[[#This Row],[Bonus %]]</f>
        <v>36560.369999999995</v>
      </c>
      <c r="N175" s="8">
        <f>SUM(TBL_Employees[[#This Row],[Annual Salary]],TBL_Employees[[#This Row],[TOTAL BONUS]])</f>
        <v>210657.37</v>
      </c>
      <c r="O175" s="8">
        <f>TBL_Employees[[#This Row],[Annual Salary]]*TBL_Employees[[#This Row],[Bonus %]]/100+TBL_Employees[[#This Row],[Annual Salary]]</f>
        <v>174462.60370000001</v>
      </c>
      <c r="P175" t="s">
        <v>19</v>
      </c>
      <c r="Q175" t="s">
        <v>39</v>
      </c>
      <c r="R175" s="6" t="s">
        <v>21</v>
      </c>
    </row>
    <row r="176" spans="1:18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 s="17"/>
      <c r="I176">
        <v>53</v>
      </c>
      <c r="J176" s="6">
        <v>39021</v>
      </c>
      <c r="K176" s="8">
        <v>120128</v>
      </c>
      <c r="L176" s="1">
        <v>0.1</v>
      </c>
      <c r="M176" s="8">
        <f>TBL_Employees[[#This Row],[Annual Salary]]*TBL_Employees[[#This Row],[Bonus %]]</f>
        <v>12012.800000000001</v>
      </c>
      <c r="N176" s="8">
        <f>SUM(TBL_Employees[[#This Row],[Annual Salary]],TBL_Employees[[#This Row],[TOTAL BONUS]])</f>
        <v>132140.79999999999</v>
      </c>
      <c r="O176" s="8">
        <f>TBL_Employees[[#This Row],[Annual Salary]]*TBL_Employees[[#This Row],[Bonus %]]/100+TBL_Employees[[#This Row],[Annual Salary]]</f>
        <v>120248.128</v>
      </c>
      <c r="P176" t="s">
        <v>19</v>
      </c>
      <c r="Q176" t="s">
        <v>25</v>
      </c>
      <c r="R176" s="6" t="s">
        <v>21</v>
      </c>
    </row>
    <row r="177" spans="1:18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 s="17"/>
      <c r="I177">
        <v>59</v>
      </c>
      <c r="J177" s="6">
        <v>39197</v>
      </c>
      <c r="K177" s="8">
        <v>129708</v>
      </c>
      <c r="L177" s="1">
        <v>0.05</v>
      </c>
      <c r="M177" s="8">
        <f>TBL_Employees[[#This Row],[Annual Salary]]*TBL_Employees[[#This Row],[Bonus %]]</f>
        <v>6485.4000000000005</v>
      </c>
      <c r="N177" s="8">
        <f>SUM(TBL_Employees[[#This Row],[Annual Salary]],TBL_Employees[[#This Row],[TOTAL BONUS]])</f>
        <v>136193.4</v>
      </c>
      <c r="O177" s="8">
        <f>TBL_Employees[[#This Row],[Annual Salary]]*TBL_Employees[[#This Row],[Bonus %]]/100+TBL_Employees[[#This Row],[Annual Salary]]</f>
        <v>129772.85400000001</v>
      </c>
      <c r="P177" t="s">
        <v>19</v>
      </c>
      <c r="Q177" t="s">
        <v>45</v>
      </c>
      <c r="R177" s="6" t="s">
        <v>21</v>
      </c>
    </row>
    <row r="178" spans="1:18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 s="17"/>
      <c r="I178">
        <v>55</v>
      </c>
      <c r="J178" s="6">
        <v>34595</v>
      </c>
      <c r="K178" s="8">
        <v>102270</v>
      </c>
      <c r="L178" s="1">
        <v>0.1</v>
      </c>
      <c r="M178" s="8">
        <f>TBL_Employees[[#This Row],[Annual Salary]]*TBL_Employees[[#This Row],[Bonus %]]</f>
        <v>10227</v>
      </c>
      <c r="N178" s="8">
        <f>SUM(TBL_Employees[[#This Row],[Annual Salary]],TBL_Employees[[#This Row],[TOTAL BONUS]])</f>
        <v>112497</v>
      </c>
      <c r="O178" s="8">
        <f>TBL_Employees[[#This Row],[Annual Salary]]*TBL_Employees[[#This Row],[Bonus %]]/100+TBL_Employees[[#This Row],[Annual Salary]]</f>
        <v>102372.27</v>
      </c>
      <c r="P178" t="s">
        <v>19</v>
      </c>
      <c r="Q178" t="s">
        <v>20</v>
      </c>
      <c r="R178" s="6" t="s">
        <v>21</v>
      </c>
    </row>
    <row r="179" spans="1:18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 s="17"/>
      <c r="I179">
        <v>43</v>
      </c>
      <c r="J179" s="6">
        <v>38564</v>
      </c>
      <c r="K179" s="8">
        <v>249686</v>
      </c>
      <c r="L179" s="1">
        <v>0.31</v>
      </c>
      <c r="M179" s="8">
        <f>TBL_Employees[[#This Row],[Annual Salary]]*TBL_Employees[[#This Row],[Bonus %]]</f>
        <v>77402.66</v>
      </c>
      <c r="N179" s="8">
        <f>SUM(TBL_Employees[[#This Row],[Annual Salary]],TBL_Employees[[#This Row],[TOTAL BONUS]])</f>
        <v>327088.66000000003</v>
      </c>
      <c r="O179" s="8">
        <f>TBL_Employees[[#This Row],[Annual Salary]]*TBL_Employees[[#This Row],[Bonus %]]/100+TBL_Employees[[#This Row],[Annual Salary]]</f>
        <v>250460.02660000001</v>
      </c>
      <c r="P179" t="s">
        <v>33</v>
      </c>
      <c r="Q179" t="s">
        <v>80</v>
      </c>
      <c r="R179" s="6" t="s">
        <v>21</v>
      </c>
    </row>
    <row r="180" spans="1:18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 s="17"/>
      <c r="I180">
        <v>55</v>
      </c>
      <c r="J180" s="6">
        <v>37343</v>
      </c>
      <c r="K180" s="8">
        <v>50475</v>
      </c>
      <c r="L180" s="1">
        <v>0</v>
      </c>
      <c r="M180" s="8">
        <f>TBL_Employees[[#This Row],[Annual Salary]]*TBL_Employees[[#This Row],[Bonus %]]</f>
        <v>0</v>
      </c>
      <c r="N180" s="8">
        <f>SUM(TBL_Employees[[#This Row],[Annual Salary]],TBL_Employees[[#This Row],[TOTAL BONUS]])</f>
        <v>50475</v>
      </c>
      <c r="O180" s="8">
        <f>TBL_Employees[[#This Row],[Annual Salary]]*TBL_Employees[[#This Row],[Bonus %]]/100+TBL_Employees[[#This Row],[Annual Salary]]</f>
        <v>50475</v>
      </c>
      <c r="P180" t="s">
        <v>19</v>
      </c>
      <c r="Q180" t="s">
        <v>29</v>
      </c>
      <c r="R180" s="6" t="s">
        <v>21</v>
      </c>
    </row>
    <row r="181" spans="1:18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 s="17"/>
      <c r="I181">
        <v>51</v>
      </c>
      <c r="J181" s="6">
        <v>44014</v>
      </c>
      <c r="K181" s="8">
        <v>100099</v>
      </c>
      <c r="L181" s="1">
        <v>0.08</v>
      </c>
      <c r="M181" s="8">
        <f>TBL_Employees[[#This Row],[Annual Salary]]*TBL_Employees[[#This Row],[Bonus %]]</f>
        <v>8007.92</v>
      </c>
      <c r="N181" s="8">
        <f>SUM(TBL_Employees[[#This Row],[Annual Salary]],TBL_Employees[[#This Row],[TOTAL BONUS]])</f>
        <v>108106.92</v>
      </c>
      <c r="O181" s="8">
        <f>TBL_Employees[[#This Row],[Annual Salary]]*TBL_Employees[[#This Row],[Bonus %]]/100+TBL_Employees[[#This Row],[Annual Salary]]</f>
        <v>100179.07919999999</v>
      </c>
      <c r="P181" t="s">
        <v>19</v>
      </c>
      <c r="Q181" t="s">
        <v>45</v>
      </c>
      <c r="R181" s="6" t="s">
        <v>21</v>
      </c>
    </row>
    <row r="182" spans="1:18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 s="17"/>
      <c r="I182">
        <v>54</v>
      </c>
      <c r="J182" s="6">
        <v>42731</v>
      </c>
      <c r="K182" s="8">
        <v>41673</v>
      </c>
      <c r="L182" s="1">
        <v>0</v>
      </c>
      <c r="M182" s="8">
        <f>TBL_Employees[[#This Row],[Annual Salary]]*TBL_Employees[[#This Row],[Bonus %]]</f>
        <v>0</v>
      </c>
      <c r="N182" s="8">
        <f>SUM(TBL_Employees[[#This Row],[Annual Salary]],TBL_Employees[[#This Row],[TOTAL BONUS]])</f>
        <v>41673</v>
      </c>
      <c r="O182" s="8">
        <f>TBL_Employees[[#This Row],[Annual Salary]]*TBL_Employees[[#This Row],[Bonus %]]/100+TBL_Employees[[#This Row],[Annual Salary]]</f>
        <v>41673</v>
      </c>
      <c r="P182" t="s">
        <v>19</v>
      </c>
      <c r="Q182" t="s">
        <v>45</v>
      </c>
      <c r="R182" s="6" t="s">
        <v>21</v>
      </c>
    </row>
    <row r="183" spans="1:18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 s="17"/>
      <c r="I183">
        <v>47</v>
      </c>
      <c r="J183" s="6">
        <v>42928</v>
      </c>
      <c r="K183" s="8">
        <v>70996</v>
      </c>
      <c r="L183" s="1">
        <v>0</v>
      </c>
      <c r="M183" s="8">
        <f>TBL_Employees[[#This Row],[Annual Salary]]*TBL_Employees[[#This Row],[Bonus %]]</f>
        <v>0</v>
      </c>
      <c r="N183" s="8">
        <f>SUM(TBL_Employees[[#This Row],[Annual Salary]],TBL_Employees[[#This Row],[TOTAL BONUS]])</f>
        <v>70996</v>
      </c>
      <c r="O183" s="8">
        <f>TBL_Employees[[#This Row],[Annual Salary]]*TBL_Employees[[#This Row],[Bonus %]]/100+TBL_Employees[[#This Row],[Annual Salary]]</f>
        <v>70996</v>
      </c>
      <c r="P183" t="s">
        <v>33</v>
      </c>
      <c r="Q183" t="s">
        <v>34</v>
      </c>
      <c r="R183" s="6" t="s">
        <v>21</v>
      </c>
    </row>
    <row r="184" spans="1:18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 s="17"/>
      <c r="I184">
        <v>55</v>
      </c>
      <c r="J184" s="6">
        <v>38328</v>
      </c>
      <c r="K184" s="8">
        <v>40752</v>
      </c>
      <c r="L184" s="1">
        <v>0</v>
      </c>
      <c r="M184" s="8">
        <f>TBL_Employees[[#This Row],[Annual Salary]]*TBL_Employees[[#This Row],[Bonus %]]</f>
        <v>0</v>
      </c>
      <c r="N184" s="8">
        <f>SUM(TBL_Employees[[#This Row],[Annual Salary]],TBL_Employees[[#This Row],[TOTAL BONUS]])</f>
        <v>40752</v>
      </c>
      <c r="O184" s="8">
        <f>TBL_Employees[[#This Row],[Annual Salary]]*TBL_Employees[[#This Row],[Bonus %]]/100+TBL_Employees[[#This Row],[Annual Salary]]</f>
        <v>40752</v>
      </c>
      <c r="P184" t="s">
        <v>19</v>
      </c>
      <c r="Q184" t="s">
        <v>39</v>
      </c>
      <c r="R184" s="6" t="s">
        <v>21</v>
      </c>
    </row>
    <row r="185" spans="1:18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 s="17"/>
      <c r="I185">
        <v>50</v>
      </c>
      <c r="J185" s="6">
        <v>36914</v>
      </c>
      <c r="K185" s="8">
        <v>97537</v>
      </c>
      <c r="L185" s="1">
        <v>0</v>
      </c>
      <c r="M185" s="8">
        <f>TBL_Employees[[#This Row],[Annual Salary]]*TBL_Employees[[#This Row],[Bonus %]]</f>
        <v>0</v>
      </c>
      <c r="N185" s="8">
        <f>SUM(TBL_Employees[[#This Row],[Annual Salary]],TBL_Employees[[#This Row],[TOTAL BONUS]])</f>
        <v>97537</v>
      </c>
      <c r="O185" s="8">
        <f>TBL_Employees[[#This Row],[Annual Salary]]*TBL_Employees[[#This Row],[Bonus %]]/100+TBL_Employees[[#This Row],[Annual Salary]]</f>
        <v>97537</v>
      </c>
      <c r="P185" t="s">
        <v>33</v>
      </c>
      <c r="Q185" t="s">
        <v>34</v>
      </c>
      <c r="R185" s="6" t="s">
        <v>21</v>
      </c>
    </row>
    <row r="186" spans="1:18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 s="17"/>
      <c r="I186">
        <v>31</v>
      </c>
      <c r="J186" s="6">
        <v>44086</v>
      </c>
      <c r="K186" s="8">
        <v>96567</v>
      </c>
      <c r="L186" s="1">
        <v>0</v>
      </c>
      <c r="M186" s="8">
        <f>TBL_Employees[[#This Row],[Annual Salary]]*TBL_Employees[[#This Row],[Bonus %]]</f>
        <v>0</v>
      </c>
      <c r="N186" s="8">
        <f>SUM(TBL_Employees[[#This Row],[Annual Salary]],TBL_Employees[[#This Row],[TOTAL BONUS]])</f>
        <v>96567</v>
      </c>
      <c r="O186" s="8">
        <f>TBL_Employees[[#This Row],[Annual Salary]]*TBL_Employees[[#This Row],[Bonus %]]/100+TBL_Employees[[#This Row],[Annual Salary]]</f>
        <v>96567</v>
      </c>
      <c r="P186" t="s">
        <v>33</v>
      </c>
      <c r="Q186" t="s">
        <v>74</v>
      </c>
      <c r="R186" s="6" t="s">
        <v>21</v>
      </c>
    </row>
    <row r="187" spans="1:18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 s="17"/>
      <c r="I187">
        <v>47</v>
      </c>
      <c r="J187" s="6">
        <v>36229</v>
      </c>
      <c r="K187" s="8">
        <v>49404</v>
      </c>
      <c r="L187" s="1">
        <v>0</v>
      </c>
      <c r="M187" s="8">
        <f>TBL_Employees[[#This Row],[Annual Salary]]*TBL_Employees[[#This Row],[Bonus %]]</f>
        <v>0</v>
      </c>
      <c r="N187" s="8">
        <f>SUM(TBL_Employees[[#This Row],[Annual Salary]],TBL_Employees[[#This Row],[TOTAL BONUS]])</f>
        <v>49404</v>
      </c>
      <c r="O187" s="8">
        <f>TBL_Employees[[#This Row],[Annual Salary]]*TBL_Employees[[#This Row],[Bonus %]]/100+TBL_Employees[[#This Row],[Annual Salary]]</f>
        <v>49404</v>
      </c>
      <c r="P187" t="s">
        <v>33</v>
      </c>
      <c r="Q187" t="s">
        <v>60</v>
      </c>
      <c r="R187" s="6" t="s">
        <v>21</v>
      </c>
    </row>
    <row r="188" spans="1:18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 s="17"/>
      <c r="I188">
        <v>29</v>
      </c>
      <c r="J188" s="6">
        <v>43753</v>
      </c>
      <c r="K188" s="8">
        <v>66819</v>
      </c>
      <c r="L188" s="1">
        <v>0</v>
      </c>
      <c r="M188" s="8">
        <f>TBL_Employees[[#This Row],[Annual Salary]]*TBL_Employees[[#This Row],[Bonus %]]</f>
        <v>0</v>
      </c>
      <c r="N188" s="8">
        <f>SUM(TBL_Employees[[#This Row],[Annual Salary]],TBL_Employees[[#This Row],[TOTAL BONUS]])</f>
        <v>66819</v>
      </c>
      <c r="O188" s="8">
        <f>TBL_Employees[[#This Row],[Annual Salary]]*TBL_Employees[[#This Row],[Bonus %]]/100+TBL_Employees[[#This Row],[Annual Salary]]</f>
        <v>66819</v>
      </c>
      <c r="P188" t="s">
        <v>52</v>
      </c>
      <c r="Q188" t="s">
        <v>66</v>
      </c>
      <c r="R188" s="6" t="s">
        <v>21</v>
      </c>
    </row>
    <row r="189" spans="1:18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 s="17"/>
      <c r="I189">
        <v>38</v>
      </c>
      <c r="J189" s="6">
        <v>42492</v>
      </c>
      <c r="K189" s="8">
        <v>50784</v>
      </c>
      <c r="L189" s="1">
        <v>0</v>
      </c>
      <c r="M189" s="8">
        <f>TBL_Employees[[#This Row],[Annual Salary]]*TBL_Employees[[#This Row],[Bonus %]]</f>
        <v>0</v>
      </c>
      <c r="N189" s="8">
        <f>SUM(TBL_Employees[[#This Row],[Annual Salary]],TBL_Employees[[#This Row],[TOTAL BONUS]])</f>
        <v>50784</v>
      </c>
      <c r="O189" s="8">
        <f>TBL_Employees[[#This Row],[Annual Salary]]*TBL_Employees[[#This Row],[Bonus %]]/100+TBL_Employees[[#This Row],[Annual Salary]]</f>
        <v>50784</v>
      </c>
      <c r="P189" t="s">
        <v>52</v>
      </c>
      <c r="Q189" t="s">
        <v>66</v>
      </c>
      <c r="R189" s="6" t="s">
        <v>21</v>
      </c>
    </row>
    <row r="190" spans="1:18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 s="17"/>
      <c r="I190">
        <v>29</v>
      </c>
      <c r="J190" s="6">
        <v>43594</v>
      </c>
      <c r="K190" s="8">
        <v>125828</v>
      </c>
      <c r="L190" s="1">
        <v>0.15</v>
      </c>
      <c r="M190" s="8">
        <f>TBL_Employees[[#This Row],[Annual Salary]]*TBL_Employees[[#This Row],[Bonus %]]</f>
        <v>18874.2</v>
      </c>
      <c r="N190" s="8">
        <f>SUM(TBL_Employees[[#This Row],[Annual Salary]],TBL_Employees[[#This Row],[TOTAL BONUS]])</f>
        <v>144702.20000000001</v>
      </c>
      <c r="O190" s="8">
        <f>TBL_Employees[[#This Row],[Annual Salary]]*TBL_Employees[[#This Row],[Bonus %]]/100+TBL_Employees[[#This Row],[Annual Salary]]</f>
        <v>126016.742</v>
      </c>
      <c r="P190" t="s">
        <v>52</v>
      </c>
      <c r="Q190" t="s">
        <v>53</v>
      </c>
      <c r="R190" s="6" t="s">
        <v>21</v>
      </c>
    </row>
    <row r="191" spans="1:18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 s="17"/>
      <c r="I191">
        <v>33</v>
      </c>
      <c r="J191" s="6">
        <v>42951</v>
      </c>
      <c r="K191" s="8">
        <v>92610</v>
      </c>
      <c r="L191" s="1">
        <v>0</v>
      </c>
      <c r="M191" s="8">
        <f>TBL_Employees[[#This Row],[Annual Salary]]*TBL_Employees[[#This Row],[Bonus %]]</f>
        <v>0</v>
      </c>
      <c r="N191" s="8">
        <f>SUM(TBL_Employees[[#This Row],[Annual Salary]],TBL_Employees[[#This Row],[TOTAL BONUS]])</f>
        <v>92610</v>
      </c>
      <c r="O191" s="8">
        <f>TBL_Employees[[#This Row],[Annual Salary]]*TBL_Employees[[#This Row],[Bonus %]]/100+TBL_Employees[[#This Row],[Annual Salary]]</f>
        <v>92610</v>
      </c>
      <c r="P191" t="s">
        <v>19</v>
      </c>
      <c r="Q191" t="s">
        <v>29</v>
      </c>
      <c r="R191" s="6" t="s">
        <v>21</v>
      </c>
    </row>
    <row r="192" spans="1:18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 s="17"/>
      <c r="I192">
        <v>50</v>
      </c>
      <c r="J192" s="6">
        <v>37705</v>
      </c>
      <c r="K192" s="8">
        <v>123405</v>
      </c>
      <c r="L192" s="1">
        <v>0.13</v>
      </c>
      <c r="M192" s="8">
        <f>TBL_Employees[[#This Row],[Annual Salary]]*TBL_Employees[[#This Row],[Bonus %]]</f>
        <v>16042.650000000001</v>
      </c>
      <c r="N192" s="8">
        <f>SUM(TBL_Employees[[#This Row],[Annual Salary]],TBL_Employees[[#This Row],[TOTAL BONUS]])</f>
        <v>139447.65</v>
      </c>
      <c r="O192" s="8">
        <f>TBL_Employees[[#This Row],[Annual Salary]]*TBL_Employees[[#This Row],[Bonus %]]/100+TBL_Employees[[#This Row],[Annual Salary]]</f>
        <v>123565.4265</v>
      </c>
      <c r="P192" t="s">
        <v>19</v>
      </c>
      <c r="Q192" t="s">
        <v>29</v>
      </c>
      <c r="R192" s="6" t="s">
        <v>21</v>
      </c>
    </row>
    <row r="193" spans="1:18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 s="17"/>
      <c r="I193">
        <v>46</v>
      </c>
      <c r="J193" s="6">
        <v>38066</v>
      </c>
      <c r="K193" s="8">
        <v>73004</v>
      </c>
      <c r="L193" s="1">
        <v>0</v>
      </c>
      <c r="M193" s="8">
        <f>TBL_Employees[[#This Row],[Annual Salary]]*TBL_Employees[[#This Row],[Bonus %]]</f>
        <v>0</v>
      </c>
      <c r="N193" s="8">
        <f>SUM(TBL_Employees[[#This Row],[Annual Salary]],TBL_Employees[[#This Row],[TOTAL BONUS]])</f>
        <v>73004</v>
      </c>
      <c r="O193" s="8">
        <f>TBL_Employees[[#This Row],[Annual Salary]]*TBL_Employees[[#This Row],[Bonus %]]/100+TBL_Employees[[#This Row],[Annual Salary]]</f>
        <v>73004</v>
      </c>
      <c r="P193" t="s">
        <v>33</v>
      </c>
      <c r="Q193" t="s">
        <v>60</v>
      </c>
      <c r="R193" s="6" t="s">
        <v>21</v>
      </c>
    </row>
    <row r="194" spans="1:18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 s="17"/>
      <c r="I194">
        <v>57</v>
      </c>
      <c r="J194" s="6">
        <v>36275</v>
      </c>
      <c r="K194" s="8">
        <v>95061</v>
      </c>
      <c r="L194" s="1">
        <v>0.1</v>
      </c>
      <c r="M194" s="8">
        <f>TBL_Employees[[#This Row],[Annual Salary]]*TBL_Employees[[#This Row],[Bonus %]]</f>
        <v>9506.1</v>
      </c>
      <c r="N194" s="8">
        <f>SUM(TBL_Employees[[#This Row],[Annual Salary]],TBL_Employees[[#This Row],[TOTAL BONUS]])</f>
        <v>104567.1</v>
      </c>
      <c r="O194" s="8">
        <f>TBL_Employees[[#This Row],[Annual Salary]]*TBL_Employees[[#This Row],[Bonus %]]/100+TBL_Employees[[#This Row],[Annual Salary]]</f>
        <v>95156.061000000002</v>
      </c>
      <c r="P194" t="s">
        <v>33</v>
      </c>
      <c r="Q194" t="s">
        <v>74</v>
      </c>
      <c r="R194" s="6" t="s">
        <v>21</v>
      </c>
    </row>
    <row r="195" spans="1:18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 s="17"/>
      <c r="I195">
        <v>49</v>
      </c>
      <c r="J195" s="6">
        <v>35887</v>
      </c>
      <c r="K195" s="8">
        <v>160832</v>
      </c>
      <c r="L195" s="1">
        <v>0.3</v>
      </c>
      <c r="M195" s="8">
        <f>TBL_Employees[[#This Row],[Annual Salary]]*TBL_Employees[[#This Row],[Bonus %]]</f>
        <v>48249.599999999999</v>
      </c>
      <c r="N195" s="8">
        <f>SUM(TBL_Employees[[#This Row],[Annual Salary]],TBL_Employees[[#This Row],[TOTAL BONUS]])</f>
        <v>209081.60000000001</v>
      </c>
      <c r="O195" s="8">
        <f>TBL_Employees[[#This Row],[Annual Salary]]*TBL_Employees[[#This Row],[Bonus %]]/100+TBL_Employees[[#This Row],[Annual Salary]]</f>
        <v>161314.49600000001</v>
      </c>
      <c r="P195" t="s">
        <v>19</v>
      </c>
      <c r="Q195" t="s">
        <v>39</v>
      </c>
      <c r="R195" s="6" t="s">
        <v>21</v>
      </c>
    </row>
    <row r="196" spans="1:18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 s="17"/>
      <c r="I196">
        <v>54</v>
      </c>
      <c r="J196" s="6">
        <v>40540</v>
      </c>
      <c r="K196" s="8">
        <v>64417</v>
      </c>
      <c r="L196" s="1">
        <v>0</v>
      </c>
      <c r="M196" s="8">
        <f>TBL_Employees[[#This Row],[Annual Salary]]*TBL_Employees[[#This Row],[Bonus %]]</f>
        <v>0</v>
      </c>
      <c r="N196" s="8">
        <f>SUM(TBL_Employees[[#This Row],[Annual Salary]],TBL_Employees[[#This Row],[TOTAL BONUS]])</f>
        <v>64417</v>
      </c>
      <c r="O196" s="8">
        <f>TBL_Employees[[#This Row],[Annual Salary]]*TBL_Employees[[#This Row],[Bonus %]]/100+TBL_Employees[[#This Row],[Annual Salary]]</f>
        <v>64417</v>
      </c>
      <c r="P196" t="s">
        <v>19</v>
      </c>
      <c r="Q196" t="s">
        <v>29</v>
      </c>
      <c r="R196" s="6" t="s">
        <v>21</v>
      </c>
    </row>
    <row r="197" spans="1:18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 s="17"/>
      <c r="I197">
        <v>28</v>
      </c>
      <c r="J197" s="6">
        <v>44274</v>
      </c>
      <c r="K197" s="8">
        <v>127543</v>
      </c>
      <c r="L197" s="1">
        <v>0.06</v>
      </c>
      <c r="M197" s="8">
        <f>TBL_Employees[[#This Row],[Annual Salary]]*TBL_Employees[[#This Row],[Bonus %]]</f>
        <v>7652.58</v>
      </c>
      <c r="N197" s="8">
        <f>SUM(TBL_Employees[[#This Row],[Annual Salary]],TBL_Employees[[#This Row],[TOTAL BONUS]])</f>
        <v>135195.57999999999</v>
      </c>
      <c r="O197" s="8">
        <f>TBL_Employees[[#This Row],[Annual Salary]]*TBL_Employees[[#This Row],[Bonus %]]/100+TBL_Employees[[#This Row],[Annual Salary]]</f>
        <v>127619.5258</v>
      </c>
      <c r="P197" t="s">
        <v>33</v>
      </c>
      <c r="Q197" t="s">
        <v>74</v>
      </c>
      <c r="R197" s="6" t="s">
        <v>21</v>
      </c>
    </row>
    <row r="198" spans="1:18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 s="17"/>
      <c r="I198">
        <v>30</v>
      </c>
      <c r="J198" s="6">
        <v>43272</v>
      </c>
      <c r="K198" s="8">
        <v>56154</v>
      </c>
      <c r="L198" s="1">
        <v>0</v>
      </c>
      <c r="M198" s="8">
        <f>TBL_Employees[[#This Row],[Annual Salary]]*TBL_Employees[[#This Row],[Bonus %]]</f>
        <v>0</v>
      </c>
      <c r="N198" s="8">
        <f>SUM(TBL_Employees[[#This Row],[Annual Salary]],TBL_Employees[[#This Row],[TOTAL BONUS]])</f>
        <v>56154</v>
      </c>
      <c r="O198" s="8">
        <f>TBL_Employees[[#This Row],[Annual Salary]]*TBL_Employees[[#This Row],[Bonus %]]/100+TBL_Employees[[#This Row],[Annual Salary]]</f>
        <v>56154</v>
      </c>
      <c r="P198" t="s">
        <v>52</v>
      </c>
      <c r="Q198" t="s">
        <v>53</v>
      </c>
      <c r="R198" s="6" t="s">
        <v>21</v>
      </c>
    </row>
    <row r="199" spans="1:18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 s="17"/>
      <c r="I199">
        <v>36</v>
      </c>
      <c r="J199" s="6">
        <v>41692</v>
      </c>
      <c r="K199" s="8">
        <v>218530</v>
      </c>
      <c r="L199" s="1">
        <v>0.3</v>
      </c>
      <c r="M199" s="8">
        <f>TBL_Employees[[#This Row],[Annual Salary]]*TBL_Employees[[#This Row],[Bonus %]]</f>
        <v>65559</v>
      </c>
      <c r="N199" s="8">
        <f>SUM(TBL_Employees[[#This Row],[Annual Salary]],TBL_Employees[[#This Row],[TOTAL BONUS]])</f>
        <v>284089</v>
      </c>
      <c r="O199" s="8">
        <f>TBL_Employees[[#This Row],[Annual Salary]]*TBL_Employees[[#This Row],[Bonus %]]/100+TBL_Employees[[#This Row],[Annual Salary]]</f>
        <v>219185.59</v>
      </c>
      <c r="P199" t="s">
        <v>33</v>
      </c>
      <c r="Q199" t="s">
        <v>74</v>
      </c>
      <c r="R199" s="6" t="s">
        <v>21</v>
      </c>
    </row>
    <row r="200" spans="1:18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 s="17"/>
      <c r="I200">
        <v>36</v>
      </c>
      <c r="J200" s="6">
        <v>43818</v>
      </c>
      <c r="K200" s="8">
        <v>91954</v>
      </c>
      <c r="L200" s="1">
        <v>0</v>
      </c>
      <c r="M200" s="8">
        <f>TBL_Employees[[#This Row],[Annual Salary]]*TBL_Employees[[#This Row],[Bonus %]]</f>
        <v>0</v>
      </c>
      <c r="N200" s="8">
        <f>SUM(TBL_Employees[[#This Row],[Annual Salary]],TBL_Employees[[#This Row],[TOTAL BONUS]])</f>
        <v>91954</v>
      </c>
      <c r="O200" s="8">
        <f>TBL_Employees[[#This Row],[Annual Salary]]*TBL_Employees[[#This Row],[Bonus %]]/100+TBL_Employees[[#This Row],[Annual Salary]]</f>
        <v>91954</v>
      </c>
      <c r="P200" t="s">
        <v>19</v>
      </c>
      <c r="Q200" t="s">
        <v>29</v>
      </c>
      <c r="R200" s="6" t="s">
        <v>21</v>
      </c>
    </row>
    <row r="201" spans="1:18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 s="17"/>
      <c r="I201">
        <v>30</v>
      </c>
      <c r="J201" s="6">
        <v>42634</v>
      </c>
      <c r="K201" s="8">
        <v>221217</v>
      </c>
      <c r="L201" s="1">
        <v>0.32</v>
      </c>
      <c r="M201" s="8">
        <f>TBL_Employees[[#This Row],[Annual Salary]]*TBL_Employees[[#This Row],[Bonus %]]</f>
        <v>70789.440000000002</v>
      </c>
      <c r="N201" s="8">
        <f>SUM(TBL_Employees[[#This Row],[Annual Salary]],TBL_Employees[[#This Row],[TOTAL BONUS]])</f>
        <v>292006.44</v>
      </c>
      <c r="O201" s="8">
        <f>TBL_Employees[[#This Row],[Annual Salary]]*TBL_Employees[[#This Row],[Bonus %]]/100+TBL_Employees[[#This Row],[Annual Salary]]</f>
        <v>221924.89439999999</v>
      </c>
      <c r="P201" t="s">
        <v>19</v>
      </c>
      <c r="Q201" t="s">
        <v>29</v>
      </c>
      <c r="R201" s="6">
        <v>43003</v>
      </c>
    </row>
    <row r="202" spans="1:18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 s="17"/>
      <c r="I202">
        <v>29</v>
      </c>
      <c r="J202" s="6">
        <v>42866</v>
      </c>
      <c r="K202" s="8">
        <v>87536</v>
      </c>
      <c r="L202" s="1">
        <v>0</v>
      </c>
      <c r="M202" s="8">
        <f>TBL_Employees[[#This Row],[Annual Salary]]*TBL_Employees[[#This Row],[Bonus %]]</f>
        <v>0</v>
      </c>
      <c r="N202" s="8">
        <f>SUM(TBL_Employees[[#This Row],[Annual Salary]],TBL_Employees[[#This Row],[TOTAL BONUS]])</f>
        <v>87536</v>
      </c>
      <c r="O202" s="8">
        <f>TBL_Employees[[#This Row],[Annual Salary]]*TBL_Employees[[#This Row],[Bonus %]]/100+TBL_Employees[[#This Row],[Annual Salary]]</f>
        <v>87536</v>
      </c>
      <c r="P202" t="s">
        <v>19</v>
      </c>
      <c r="Q202" t="s">
        <v>63</v>
      </c>
      <c r="R202" s="6" t="s">
        <v>21</v>
      </c>
    </row>
    <row r="203" spans="1:18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 s="17"/>
      <c r="I203">
        <v>47</v>
      </c>
      <c r="J203" s="6">
        <v>42164</v>
      </c>
      <c r="K203" s="8">
        <v>41429</v>
      </c>
      <c r="L203" s="1">
        <v>0</v>
      </c>
      <c r="M203" s="8">
        <f>TBL_Employees[[#This Row],[Annual Salary]]*TBL_Employees[[#This Row],[Bonus %]]</f>
        <v>0</v>
      </c>
      <c r="N203" s="8">
        <f>SUM(TBL_Employees[[#This Row],[Annual Salary]],TBL_Employees[[#This Row],[TOTAL BONUS]])</f>
        <v>41429</v>
      </c>
      <c r="O203" s="8">
        <f>TBL_Employees[[#This Row],[Annual Salary]]*TBL_Employees[[#This Row],[Bonus %]]/100+TBL_Employees[[#This Row],[Annual Salary]]</f>
        <v>41429</v>
      </c>
      <c r="P203" t="s">
        <v>19</v>
      </c>
      <c r="Q203" t="s">
        <v>63</v>
      </c>
      <c r="R203" s="6" t="s">
        <v>21</v>
      </c>
    </row>
    <row r="204" spans="1:18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 s="17"/>
      <c r="I204">
        <v>35</v>
      </c>
      <c r="J204" s="6">
        <v>40826</v>
      </c>
      <c r="K204" s="8">
        <v>245482</v>
      </c>
      <c r="L204" s="1">
        <v>0.39</v>
      </c>
      <c r="M204" s="8">
        <f>TBL_Employees[[#This Row],[Annual Salary]]*TBL_Employees[[#This Row],[Bonus %]]</f>
        <v>95737.98000000001</v>
      </c>
      <c r="N204" s="8">
        <f>SUM(TBL_Employees[[#This Row],[Annual Salary]],TBL_Employees[[#This Row],[TOTAL BONUS]])</f>
        <v>341219.98</v>
      </c>
      <c r="O204" s="8">
        <f>TBL_Employees[[#This Row],[Annual Salary]]*TBL_Employees[[#This Row],[Bonus %]]/100+TBL_Employees[[#This Row],[Annual Salary]]</f>
        <v>246439.3798</v>
      </c>
      <c r="P204" t="s">
        <v>19</v>
      </c>
      <c r="Q204" t="s">
        <v>63</v>
      </c>
      <c r="R204" s="6" t="s">
        <v>21</v>
      </c>
    </row>
    <row r="205" spans="1:18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 s="17"/>
      <c r="I205">
        <v>25</v>
      </c>
      <c r="J205" s="6">
        <v>43850</v>
      </c>
      <c r="K205" s="8">
        <v>71359</v>
      </c>
      <c r="L205" s="1">
        <v>0</v>
      </c>
      <c r="M205" s="8">
        <f>TBL_Employees[[#This Row],[Annual Salary]]*TBL_Employees[[#This Row],[Bonus %]]</f>
        <v>0</v>
      </c>
      <c r="N205" s="8">
        <f>SUM(TBL_Employees[[#This Row],[Annual Salary]],TBL_Employees[[#This Row],[TOTAL BONUS]])</f>
        <v>71359</v>
      </c>
      <c r="O205" s="8">
        <f>TBL_Employees[[#This Row],[Annual Salary]]*TBL_Employees[[#This Row],[Bonus %]]/100+TBL_Employees[[#This Row],[Annual Salary]]</f>
        <v>71359</v>
      </c>
      <c r="P205" t="s">
        <v>19</v>
      </c>
      <c r="Q205" t="s">
        <v>39</v>
      </c>
      <c r="R205" s="6" t="s">
        <v>21</v>
      </c>
    </row>
    <row r="206" spans="1:18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 s="17"/>
      <c r="I206">
        <v>45</v>
      </c>
      <c r="J206" s="6">
        <v>41879</v>
      </c>
      <c r="K206" s="8">
        <v>183161</v>
      </c>
      <c r="L206" s="1">
        <v>0.22</v>
      </c>
      <c r="M206" s="8">
        <f>TBL_Employees[[#This Row],[Annual Salary]]*TBL_Employees[[#This Row],[Bonus %]]</f>
        <v>40295.42</v>
      </c>
      <c r="N206" s="8">
        <f>SUM(TBL_Employees[[#This Row],[Annual Salary]],TBL_Employees[[#This Row],[TOTAL BONUS]])</f>
        <v>223456.41999999998</v>
      </c>
      <c r="O206" s="8">
        <f>TBL_Employees[[#This Row],[Annual Salary]]*TBL_Employees[[#This Row],[Bonus %]]/100+TBL_Employees[[#This Row],[Annual Salary]]</f>
        <v>183563.95420000001</v>
      </c>
      <c r="P206" t="s">
        <v>19</v>
      </c>
      <c r="Q206" t="s">
        <v>45</v>
      </c>
      <c r="R206" s="6" t="s">
        <v>21</v>
      </c>
    </row>
    <row r="207" spans="1:18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 s="17"/>
      <c r="I207">
        <v>58</v>
      </c>
      <c r="J207" s="6">
        <v>34176</v>
      </c>
      <c r="K207" s="8">
        <v>69260</v>
      </c>
      <c r="L207" s="1">
        <v>0</v>
      </c>
      <c r="M207" s="8">
        <f>TBL_Employees[[#This Row],[Annual Salary]]*TBL_Employees[[#This Row],[Bonus %]]</f>
        <v>0</v>
      </c>
      <c r="N207" s="8">
        <f>SUM(TBL_Employees[[#This Row],[Annual Salary]],TBL_Employees[[#This Row],[TOTAL BONUS]])</f>
        <v>69260</v>
      </c>
      <c r="O207" s="8">
        <f>TBL_Employees[[#This Row],[Annual Salary]]*TBL_Employees[[#This Row],[Bonus %]]/100+TBL_Employees[[#This Row],[Annual Salary]]</f>
        <v>69260</v>
      </c>
      <c r="P207" t="s">
        <v>19</v>
      </c>
      <c r="Q207" t="s">
        <v>39</v>
      </c>
      <c r="R207" s="6" t="s">
        <v>21</v>
      </c>
    </row>
    <row r="208" spans="1:18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 s="17"/>
      <c r="I208">
        <v>51</v>
      </c>
      <c r="J208" s="6">
        <v>36442</v>
      </c>
      <c r="K208" s="8">
        <v>95639</v>
      </c>
      <c r="L208" s="1">
        <v>0</v>
      </c>
      <c r="M208" s="8">
        <f>TBL_Employees[[#This Row],[Annual Salary]]*TBL_Employees[[#This Row],[Bonus %]]</f>
        <v>0</v>
      </c>
      <c r="N208" s="8">
        <f>SUM(TBL_Employees[[#This Row],[Annual Salary]],TBL_Employees[[#This Row],[TOTAL BONUS]])</f>
        <v>95639</v>
      </c>
      <c r="O208" s="8">
        <f>TBL_Employees[[#This Row],[Annual Salary]]*TBL_Employees[[#This Row],[Bonus %]]/100+TBL_Employees[[#This Row],[Annual Salary]]</f>
        <v>95639</v>
      </c>
      <c r="P208" t="s">
        <v>19</v>
      </c>
      <c r="Q208" t="s">
        <v>25</v>
      </c>
      <c r="R208" s="6" t="s">
        <v>21</v>
      </c>
    </row>
    <row r="209" spans="1:18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 s="17"/>
      <c r="I209">
        <v>48</v>
      </c>
      <c r="J209" s="6">
        <v>38168</v>
      </c>
      <c r="K209" s="8">
        <v>120660</v>
      </c>
      <c r="L209" s="1">
        <v>7.0000000000000007E-2</v>
      </c>
      <c r="M209" s="8">
        <f>TBL_Employees[[#This Row],[Annual Salary]]*TBL_Employees[[#This Row],[Bonus %]]</f>
        <v>8446.2000000000007</v>
      </c>
      <c r="N209" s="8">
        <f>SUM(TBL_Employees[[#This Row],[Annual Salary]],TBL_Employees[[#This Row],[TOTAL BONUS]])</f>
        <v>129106.2</v>
      </c>
      <c r="O209" s="8">
        <f>TBL_Employees[[#This Row],[Annual Salary]]*TBL_Employees[[#This Row],[Bonus %]]/100+TBL_Employees[[#This Row],[Annual Salary]]</f>
        <v>120744.462</v>
      </c>
      <c r="P209" t="s">
        <v>33</v>
      </c>
      <c r="Q209" t="s">
        <v>34</v>
      </c>
      <c r="R209" s="6" t="s">
        <v>21</v>
      </c>
    </row>
    <row r="210" spans="1:18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 s="17"/>
      <c r="I210">
        <v>36</v>
      </c>
      <c r="J210" s="6">
        <v>44556</v>
      </c>
      <c r="K210" s="8">
        <v>75119</v>
      </c>
      <c r="L210" s="1">
        <v>0</v>
      </c>
      <c r="M210" s="8">
        <f>TBL_Employees[[#This Row],[Annual Salary]]*TBL_Employees[[#This Row],[Bonus %]]</f>
        <v>0</v>
      </c>
      <c r="N210" s="8">
        <f>SUM(TBL_Employees[[#This Row],[Annual Salary]],TBL_Employees[[#This Row],[TOTAL BONUS]])</f>
        <v>75119</v>
      </c>
      <c r="O210" s="8">
        <f>TBL_Employees[[#This Row],[Annual Salary]]*TBL_Employees[[#This Row],[Bonus %]]/100+TBL_Employees[[#This Row],[Annual Salary]]</f>
        <v>75119</v>
      </c>
      <c r="P210" t="s">
        <v>19</v>
      </c>
      <c r="Q210" t="s">
        <v>20</v>
      </c>
      <c r="R210" s="6" t="s">
        <v>21</v>
      </c>
    </row>
    <row r="211" spans="1:18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 s="17"/>
      <c r="I211">
        <v>59</v>
      </c>
      <c r="J211" s="6">
        <v>40681</v>
      </c>
      <c r="K211" s="8">
        <v>192213</v>
      </c>
      <c r="L211" s="1">
        <v>0.4</v>
      </c>
      <c r="M211" s="8">
        <f>TBL_Employees[[#This Row],[Annual Salary]]*TBL_Employees[[#This Row],[Bonus %]]</f>
        <v>76885.2</v>
      </c>
      <c r="N211" s="8">
        <f>SUM(TBL_Employees[[#This Row],[Annual Salary]],TBL_Employees[[#This Row],[TOTAL BONUS]])</f>
        <v>269098.2</v>
      </c>
      <c r="O211" s="8">
        <f>TBL_Employees[[#This Row],[Annual Salary]]*TBL_Employees[[#This Row],[Bonus %]]/100+TBL_Employees[[#This Row],[Annual Salary]]</f>
        <v>192981.85200000001</v>
      </c>
      <c r="P211" t="s">
        <v>19</v>
      </c>
      <c r="Q211" t="s">
        <v>20</v>
      </c>
      <c r="R211" s="6" t="s">
        <v>21</v>
      </c>
    </row>
    <row r="212" spans="1:18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 s="17"/>
      <c r="I212">
        <v>45</v>
      </c>
      <c r="J212" s="6">
        <v>41769</v>
      </c>
      <c r="K212" s="8">
        <v>65047</v>
      </c>
      <c r="L212" s="1">
        <v>0</v>
      </c>
      <c r="M212" s="8">
        <f>TBL_Employees[[#This Row],[Annual Salary]]*TBL_Employees[[#This Row],[Bonus %]]</f>
        <v>0</v>
      </c>
      <c r="N212" s="8">
        <f>SUM(TBL_Employees[[#This Row],[Annual Salary]],TBL_Employees[[#This Row],[TOTAL BONUS]])</f>
        <v>65047</v>
      </c>
      <c r="O212" s="8">
        <f>TBL_Employees[[#This Row],[Annual Salary]]*TBL_Employees[[#This Row],[Bonus %]]/100+TBL_Employees[[#This Row],[Annual Salary]]</f>
        <v>65047</v>
      </c>
      <c r="P212" t="s">
        <v>52</v>
      </c>
      <c r="Q212" t="s">
        <v>53</v>
      </c>
      <c r="R212" s="6" t="s">
        <v>21</v>
      </c>
    </row>
    <row r="213" spans="1:18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 s="17"/>
      <c r="I213">
        <v>29</v>
      </c>
      <c r="J213" s="6">
        <v>42810</v>
      </c>
      <c r="K213" s="8">
        <v>151413</v>
      </c>
      <c r="L213" s="1">
        <v>0.15</v>
      </c>
      <c r="M213" s="8">
        <f>TBL_Employees[[#This Row],[Annual Salary]]*TBL_Employees[[#This Row],[Bonus %]]</f>
        <v>22711.95</v>
      </c>
      <c r="N213" s="8">
        <f>SUM(TBL_Employees[[#This Row],[Annual Salary]],TBL_Employees[[#This Row],[TOTAL BONUS]])</f>
        <v>174124.95</v>
      </c>
      <c r="O213" s="8">
        <f>TBL_Employees[[#This Row],[Annual Salary]]*TBL_Employees[[#This Row],[Bonus %]]/100+TBL_Employees[[#This Row],[Annual Salary]]</f>
        <v>151640.1195</v>
      </c>
      <c r="P213" t="s">
        <v>19</v>
      </c>
      <c r="Q213" t="s">
        <v>63</v>
      </c>
      <c r="R213" s="6" t="s">
        <v>21</v>
      </c>
    </row>
    <row r="214" spans="1:18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 s="17"/>
      <c r="I214">
        <v>62</v>
      </c>
      <c r="J214" s="6">
        <v>37733</v>
      </c>
      <c r="K214" s="8">
        <v>76906</v>
      </c>
      <c r="L214" s="1">
        <v>0</v>
      </c>
      <c r="M214" s="8">
        <f>TBL_Employees[[#This Row],[Annual Salary]]*TBL_Employees[[#This Row],[Bonus %]]</f>
        <v>0</v>
      </c>
      <c r="N214" s="8">
        <f>SUM(TBL_Employees[[#This Row],[Annual Salary]],TBL_Employees[[#This Row],[TOTAL BONUS]])</f>
        <v>76906</v>
      </c>
      <c r="O214" s="8">
        <f>TBL_Employees[[#This Row],[Annual Salary]]*TBL_Employees[[#This Row],[Bonus %]]/100+TBL_Employees[[#This Row],[Annual Salary]]</f>
        <v>76906</v>
      </c>
      <c r="P214" t="s">
        <v>19</v>
      </c>
      <c r="Q214" t="s">
        <v>63</v>
      </c>
      <c r="R214" s="6" t="s">
        <v>21</v>
      </c>
    </row>
    <row r="215" spans="1:18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 s="17"/>
      <c r="I215">
        <v>51</v>
      </c>
      <c r="J215" s="6">
        <v>34388</v>
      </c>
      <c r="K215" s="8">
        <v>122802</v>
      </c>
      <c r="L215" s="1">
        <v>0.05</v>
      </c>
      <c r="M215" s="8">
        <f>TBL_Employees[[#This Row],[Annual Salary]]*TBL_Employees[[#This Row],[Bonus %]]</f>
        <v>6140.1</v>
      </c>
      <c r="N215" s="8">
        <f>SUM(TBL_Employees[[#This Row],[Annual Salary]],TBL_Employees[[#This Row],[TOTAL BONUS]])</f>
        <v>128942.1</v>
      </c>
      <c r="O215" s="8">
        <f>TBL_Employees[[#This Row],[Annual Salary]]*TBL_Employees[[#This Row],[Bonus %]]/100+TBL_Employees[[#This Row],[Annual Salary]]</f>
        <v>122863.401</v>
      </c>
      <c r="P215" t="s">
        <v>33</v>
      </c>
      <c r="Q215" t="s">
        <v>74</v>
      </c>
      <c r="R215" s="6" t="s">
        <v>21</v>
      </c>
    </row>
    <row r="216" spans="1:18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 s="17"/>
      <c r="I216">
        <v>47</v>
      </c>
      <c r="J216" s="6">
        <v>35990</v>
      </c>
      <c r="K216" s="8">
        <v>99091</v>
      </c>
      <c r="L216" s="1">
        <v>0</v>
      </c>
      <c r="M216" s="8">
        <f>TBL_Employees[[#This Row],[Annual Salary]]*TBL_Employees[[#This Row],[Bonus %]]</f>
        <v>0</v>
      </c>
      <c r="N216" s="8">
        <f>SUM(TBL_Employees[[#This Row],[Annual Salary]],TBL_Employees[[#This Row],[TOTAL BONUS]])</f>
        <v>99091</v>
      </c>
      <c r="O216" s="8">
        <f>TBL_Employees[[#This Row],[Annual Salary]]*TBL_Employees[[#This Row],[Bonus %]]/100+TBL_Employees[[#This Row],[Annual Salary]]</f>
        <v>99091</v>
      </c>
      <c r="P216" t="s">
        <v>19</v>
      </c>
      <c r="Q216" t="s">
        <v>25</v>
      </c>
      <c r="R216" s="6" t="s">
        <v>21</v>
      </c>
    </row>
    <row r="217" spans="1:18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 s="17"/>
      <c r="I217">
        <v>40</v>
      </c>
      <c r="J217" s="6">
        <v>39506</v>
      </c>
      <c r="K217" s="8">
        <v>113987</v>
      </c>
      <c r="L217" s="1">
        <v>0</v>
      </c>
      <c r="M217" s="8">
        <f>TBL_Employees[[#This Row],[Annual Salary]]*TBL_Employees[[#This Row],[Bonus %]]</f>
        <v>0</v>
      </c>
      <c r="N217" s="8">
        <f>SUM(TBL_Employees[[#This Row],[Annual Salary]],TBL_Employees[[#This Row],[TOTAL BONUS]])</f>
        <v>113987</v>
      </c>
      <c r="O217" s="8">
        <f>TBL_Employees[[#This Row],[Annual Salary]]*TBL_Employees[[#This Row],[Bonus %]]/100+TBL_Employees[[#This Row],[Annual Salary]]</f>
        <v>113987</v>
      </c>
      <c r="P217" t="s">
        <v>52</v>
      </c>
      <c r="Q217" t="s">
        <v>81</v>
      </c>
      <c r="R217" s="6" t="s">
        <v>21</v>
      </c>
    </row>
    <row r="218" spans="1:18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 s="17"/>
      <c r="I218">
        <v>28</v>
      </c>
      <c r="J218" s="6">
        <v>44078</v>
      </c>
      <c r="K218" s="8">
        <v>95045</v>
      </c>
      <c r="L218" s="1">
        <v>0</v>
      </c>
      <c r="M218" s="8">
        <f>TBL_Employees[[#This Row],[Annual Salary]]*TBL_Employees[[#This Row],[Bonus %]]</f>
        <v>0</v>
      </c>
      <c r="N218" s="8">
        <f>SUM(TBL_Employees[[#This Row],[Annual Salary]],TBL_Employees[[#This Row],[TOTAL BONUS]])</f>
        <v>95045</v>
      </c>
      <c r="O218" s="8">
        <f>TBL_Employees[[#This Row],[Annual Salary]]*TBL_Employees[[#This Row],[Bonus %]]/100+TBL_Employees[[#This Row],[Annual Salary]]</f>
        <v>95045</v>
      </c>
      <c r="P218" t="s">
        <v>19</v>
      </c>
      <c r="Q218" t="s">
        <v>20</v>
      </c>
      <c r="R218" s="6" t="s">
        <v>21</v>
      </c>
    </row>
    <row r="219" spans="1:18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 s="17"/>
      <c r="I219">
        <v>29</v>
      </c>
      <c r="J219" s="6">
        <v>42740</v>
      </c>
      <c r="K219" s="8">
        <v>190401</v>
      </c>
      <c r="L219" s="1">
        <v>0.37</v>
      </c>
      <c r="M219" s="8">
        <f>TBL_Employees[[#This Row],[Annual Salary]]*TBL_Employees[[#This Row],[Bonus %]]</f>
        <v>70448.37</v>
      </c>
      <c r="N219" s="8">
        <f>SUM(TBL_Employees[[#This Row],[Annual Salary]],TBL_Employees[[#This Row],[TOTAL BONUS]])</f>
        <v>260849.37</v>
      </c>
      <c r="O219" s="8">
        <f>TBL_Employees[[#This Row],[Annual Salary]]*TBL_Employees[[#This Row],[Bonus %]]/100+TBL_Employees[[#This Row],[Annual Salary]]</f>
        <v>191105.48370000001</v>
      </c>
      <c r="P219" t="s">
        <v>19</v>
      </c>
      <c r="Q219" t="s">
        <v>29</v>
      </c>
      <c r="R219" s="6" t="s">
        <v>21</v>
      </c>
    </row>
    <row r="220" spans="1:18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 s="17"/>
      <c r="I220">
        <v>46</v>
      </c>
      <c r="J220" s="6">
        <v>41294</v>
      </c>
      <c r="K220" s="8">
        <v>86061</v>
      </c>
      <c r="L220" s="1">
        <v>0</v>
      </c>
      <c r="M220" s="8">
        <f>TBL_Employees[[#This Row],[Annual Salary]]*TBL_Employees[[#This Row],[Bonus %]]</f>
        <v>0</v>
      </c>
      <c r="N220" s="8">
        <f>SUM(TBL_Employees[[#This Row],[Annual Salary]],TBL_Employees[[#This Row],[TOTAL BONUS]])</f>
        <v>86061</v>
      </c>
      <c r="O220" s="8">
        <f>TBL_Employees[[#This Row],[Annual Salary]]*TBL_Employees[[#This Row],[Bonus %]]/100+TBL_Employees[[#This Row],[Annual Salary]]</f>
        <v>86061</v>
      </c>
      <c r="P220" t="s">
        <v>52</v>
      </c>
      <c r="Q220" t="s">
        <v>66</v>
      </c>
      <c r="R220" s="6" t="s">
        <v>21</v>
      </c>
    </row>
    <row r="221" spans="1:18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 s="17"/>
      <c r="I221">
        <v>45</v>
      </c>
      <c r="J221" s="6">
        <v>44237</v>
      </c>
      <c r="K221" s="8">
        <v>79882</v>
      </c>
      <c r="L221" s="1">
        <v>0</v>
      </c>
      <c r="M221" s="8">
        <f>TBL_Employees[[#This Row],[Annual Salary]]*TBL_Employees[[#This Row],[Bonus %]]</f>
        <v>0</v>
      </c>
      <c r="N221" s="8">
        <f>SUM(TBL_Employees[[#This Row],[Annual Salary]],TBL_Employees[[#This Row],[TOTAL BONUS]])</f>
        <v>79882</v>
      </c>
      <c r="O221" s="8">
        <f>TBL_Employees[[#This Row],[Annual Salary]]*TBL_Employees[[#This Row],[Bonus %]]/100+TBL_Employees[[#This Row],[Annual Salary]]</f>
        <v>79882</v>
      </c>
      <c r="P221" t="s">
        <v>19</v>
      </c>
      <c r="Q221" t="s">
        <v>39</v>
      </c>
      <c r="R221" s="6" t="s">
        <v>21</v>
      </c>
    </row>
    <row r="222" spans="1:18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 s="17"/>
      <c r="I222">
        <v>30</v>
      </c>
      <c r="J222" s="6">
        <v>43165</v>
      </c>
      <c r="K222" s="8">
        <v>255431</v>
      </c>
      <c r="L222" s="1">
        <v>0.36</v>
      </c>
      <c r="M222" s="8">
        <f>TBL_Employees[[#This Row],[Annual Salary]]*TBL_Employees[[#This Row],[Bonus %]]</f>
        <v>91955.16</v>
      </c>
      <c r="N222" s="8">
        <f>SUM(TBL_Employees[[#This Row],[Annual Salary]],TBL_Employees[[#This Row],[TOTAL BONUS]])</f>
        <v>347386.16000000003</v>
      </c>
      <c r="O222" s="8">
        <f>TBL_Employees[[#This Row],[Annual Salary]]*TBL_Employees[[#This Row],[Bonus %]]/100+TBL_Employees[[#This Row],[Annual Salary]]</f>
        <v>256350.55160000001</v>
      </c>
      <c r="P222" t="s">
        <v>19</v>
      </c>
      <c r="Q222" t="s">
        <v>29</v>
      </c>
      <c r="R222" s="6" t="s">
        <v>21</v>
      </c>
    </row>
    <row r="223" spans="1:18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 s="17"/>
      <c r="I223">
        <v>48</v>
      </c>
      <c r="J223" s="6">
        <v>37855</v>
      </c>
      <c r="K223" s="8">
        <v>82017</v>
      </c>
      <c r="L223" s="1">
        <v>0</v>
      </c>
      <c r="M223" s="8">
        <f>TBL_Employees[[#This Row],[Annual Salary]]*TBL_Employees[[#This Row],[Bonus %]]</f>
        <v>0</v>
      </c>
      <c r="N223" s="8">
        <f>SUM(TBL_Employees[[#This Row],[Annual Salary]],TBL_Employees[[#This Row],[TOTAL BONUS]])</f>
        <v>82017</v>
      </c>
      <c r="O223" s="8">
        <f>TBL_Employees[[#This Row],[Annual Salary]]*TBL_Employees[[#This Row],[Bonus %]]/100+TBL_Employees[[#This Row],[Annual Salary]]</f>
        <v>82017</v>
      </c>
      <c r="P223" t="s">
        <v>33</v>
      </c>
      <c r="Q223" t="s">
        <v>60</v>
      </c>
      <c r="R223" s="6" t="s">
        <v>21</v>
      </c>
    </row>
    <row r="224" spans="1:18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 s="17"/>
      <c r="I224">
        <v>51</v>
      </c>
      <c r="J224" s="6">
        <v>42753</v>
      </c>
      <c r="K224" s="8">
        <v>53799</v>
      </c>
      <c r="L224" s="1">
        <v>0</v>
      </c>
      <c r="M224" s="8">
        <f>TBL_Employees[[#This Row],[Annual Salary]]*TBL_Employees[[#This Row],[Bonus %]]</f>
        <v>0</v>
      </c>
      <c r="N224" s="8">
        <f>SUM(TBL_Employees[[#This Row],[Annual Salary]],TBL_Employees[[#This Row],[TOTAL BONUS]])</f>
        <v>53799</v>
      </c>
      <c r="O224" s="8">
        <f>TBL_Employees[[#This Row],[Annual Salary]]*TBL_Employees[[#This Row],[Bonus %]]/100+TBL_Employees[[#This Row],[Annual Salary]]</f>
        <v>53799</v>
      </c>
      <c r="P224" t="s">
        <v>19</v>
      </c>
      <c r="Q224" t="s">
        <v>29</v>
      </c>
      <c r="R224" s="6" t="s">
        <v>21</v>
      </c>
    </row>
    <row r="225" spans="1:18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 s="17"/>
      <c r="I225">
        <v>28</v>
      </c>
      <c r="J225" s="6">
        <v>44380</v>
      </c>
      <c r="K225" s="8">
        <v>82739</v>
      </c>
      <c r="L225" s="1">
        <v>0</v>
      </c>
      <c r="M225" s="8">
        <f>TBL_Employees[[#This Row],[Annual Salary]]*TBL_Employees[[#This Row],[Bonus %]]</f>
        <v>0</v>
      </c>
      <c r="N225" s="8">
        <f>SUM(TBL_Employees[[#This Row],[Annual Salary]],TBL_Employees[[#This Row],[TOTAL BONUS]])</f>
        <v>82739</v>
      </c>
      <c r="O225" s="8">
        <f>TBL_Employees[[#This Row],[Annual Salary]]*TBL_Employees[[#This Row],[Bonus %]]/100+TBL_Employees[[#This Row],[Annual Salary]]</f>
        <v>82739</v>
      </c>
      <c r="P225" t="s">
        <v>19</v>
      </c>
      <c r="Q225" t="s">
        <v>39</v>
      </c>
      <c r="R225" s="6" t="s">
        <v>21</v>
      </c>
    </row>
    <row r="226" spans="1:18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 s="17"/>
      <c r="I226">
        <v>36</v>
      </c>
      <c r="J226" s="6">
        <v>41789</v>
      </c>
      <c r="K226" s="8">
        <v>99080</v>
      </c>
      <c r="L226" s="1">
        <v>0</v>
      </c>
      <c r="M226" s="8">
        <f>TBL_Employees[[#This Row],[Annual Salary]]*TBL_Employees[[#This Row],[Bonus %]]</f>
        <v>0</v>
      </c>
      <c r="N226" s="8">
        <f>SUM(TBL_Employees[[#This Row],[Annual Salary]],TBL_Employees[[#This Row],[TOTAL BONUS]])</f>
        <v>99080</v>
      </c>
      <c r="O226" s="8">
        <f>TBL_Employees[[#This Row],[Annual Salary]]*TBL_Employees[[#This Row],[Bonus %]]/100+TBL_Employees[[#This Row],[Annual Salary]]</f>
        <v>99080</v>
      </c>
      <c r="P226" t="s">
        <v>19</v>
      </c>
      <c r="Q226" t="s">
        <v>20</v>
      </c>
      <c r="R226" s="6" t="s">
        <v>21</v>
      </c>
    </row>
    <row r="227" spans="1:18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 s="17"/>
      <c r="I227">
        <v>40</v>
      </c>
      <c r="J227" s="6">
        <v>40563</v>
      </c>
      <c r="K227" s="8">
        <v>96719</v>
      </c>
      <c r="L227" s="1">
        <v>0</v>
      </c>
      <c r="M227" s="8">
        <f>TBL_Employees[[#This Row],[Annual Salary]]*TBL_Employees[[#This Row],[Bonus %]]</f>
        <v>0</v>
      </c>
      <c r="N227" s="8">
        <f>SUM(TBL_Employees[[#This Row],[Annual Salary]],TBL_Employees[[#This Row],[TOTAL BONUS]])</f>
        <v>96719</v>
      </c>
      <c r="O227" s="8">
        <f>TBL_Employees[[#This Row],[Annual Salary]]*TBL_Employees[[#This Row],[Bonus %]]/100+TBL_Employees[[#This Row],[Annual Salary]]</f>
        <v>96719</v>
      </c>
      <c r="P227" t="s">
        <v>33</v>
      </c>
      <c r="Q227" t="s">
        <v>34</v>
      </c>
      <c r="R227" s="6" t="s">
        <v>21</v>
      </c>
    </row>
    <row r="228" spans="1:18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 s="17"/>
      <c r="I228">
        <v>51</v>
      </c>
      <c r="J228" s="6">
        <v>44283</v>
      </c>
      <c r="K228" s="8">
        <v>180687</v>
      </c>
      <c r="L228" s="1">
        <v>0.19</v>
      </c>
      <c r="M228" s="8">
        <f>TBL_Employees[[#This Row],[Annual Salary]]*TBL_Employees[[#This Row],[Bonus %]]</f>
        <v>34330.53</v>
      </c>
      <c r="N228" s="8">
        <f>SUM(TBL_Employees[[#This Row],[Annual Salary]],TBL_Employees[[#This Row],[TOTAL BONUS]])</f>
        <v>215017.53</v>
      </c>
      <c r="O228" s="8">
        <f>TBL_Employees[[#This Row],[Annual Salary]]*TBL_Employees[[#This Row],[Bonus %]]/100+TBL_Employees[[#This Row],[Annual Salary]]</f>
        <v>181030.30530000001</v>
      </c>
      <c r="P228" t="s">
        <v>19</v>
      </c>
      <c r="Q228" t="s">
        <v>39</v>
      </c>
      <c r="R228" s="6" t="s">
        <v>21</v>
      </c>
    </row>
    <row r="229" spans="1:18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 s="17"/>
      <c r="I229">
        <v>45</v>
      </c>
      <c r="J229" s="6">
        <v>36993</v>
      </c>
      <c r="K229" s="8">
        <v>95743</v>
      </c>
      <c r="L229" s="1">
        <v>0.15</v>
      </c>
      <c r="M229" s="8">
        <f>TBL_Employees[[#This Row],[Annual Salary]]*TBL_Employees[[#This Row],[Bonus %]]</f>
        <v>14361.449999999999</v>
      </c>
      <c r="N229" s="8">
        <f>SUM(TBL_Employees[[#This Row],[Annual Salary]],TBL_Employees[[#This Row],[TOTAL BONUS]])</f>
        <v>110104.45</v>
      </c>
      <c r="O229" s="8">
        <f>TBL_Employees[[#This Row],[Annual Salary]]*TBL_Employees[[#This Row],[Bonus %]]/100+TBL_Employees[[#This Row],[Annual Salary]]</f>
        <v>95886.614499999996</v>
      </c>
      <c r="P229" t="s">
        <v>19</v>
      </c>
      <c r="Q229" t="s">
        <v>25</v>
      </c>
      <c r="R229" s="6">
        <v>40193</v>
      </c>
    </row>
    <row r="230" spans="1:18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 s="17"/>
      <c r="I230">
        <v>44</v>
      </c>
      <c r="J230" s="6">
        <v>40060</v>
      </c>
      <c r="K230" s="8">
        <v>89695</v>
      </c>
      <c r="L230" s="1">
        <v>0</v>
      </c>
      <c r="M230" s="8">
        <f>TBL_Employees[[#This Row],[Annual Salary]]*TBL_Employees[[#This Row],[Bonus %]]</f>
        <v>0</v>
      </c>
      <c r="N230" s="8">
        <f>SUM(TBL_Employees[[#This Row],[Annual Salary]],TBL_Employees[[#This Row],[TOTAL BONUS]])</f>
        <v>89695</v>
      </c>
      <c r="O230" s="8">
        <f>TBL_Employees[[#This Row],[Annual Salary]]*TBL_Employees[[#This Row],[Bonus %]]/100+TBL_Employees[[#This Row],[Annual Salary]]</f>
        <v>89695</v>
      </c>
      <c r="P230" t="s">
        <v>19</v>
      </c>
      <c r="Q230" t="s">
        <v>25</v>
      </c>
      <c r="R230" s="6" t="s">
        <v>21</v>
      </c>
    </row>
    <row r="231" spans="1:18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 s="17"/>
      <c r="I231">
        <v>64</v>
      </c>
      <c r="J231" s="6">
        <v>35996</v>
      </c>
      <c r="K231" s="8">
        <v>122753</v>
      </c>
      <c r="L231" s="1">
        <v>0.09</v>
      </c>
      <c r="M231" s="8">
        <f>TBL_Employees[[#This Row],[Annual Salary]]*TBL_Employees[[#This Row],[Bonus %]]</f>
        <v>11047.77</v>
      </c>
      <c r="N231" s="8">
        <f>SUM(TBL_Employees[[#This Row],[Annual Salary]],TBL_Employees[[#This Row],[TOTAL BONUS]])</f>
        <v>133800.76999999999</v>
      </c>
      <c r="O231" s="8">
        <f>TBL_Employees[[#This Row],[Annual Salary]]*TBL_Employees[[#This Row],[Bonus %]]/100+TBL_Employees[[#This Row],[Annual Salary]]</f>
        <v>122863.4777</v>
      </c>
      <c r="P231" t="s">
        <v>33</v>
      </c>
      <c r="Q231" t="s">
        <v>80</v>
      </c>
      <c r="R231" s="6" t="s">
        <v>21</v>
      </c>
    </row>
    <row r="232" spans="1:18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 s="17"/>
      <c r="I232">
        <v>30</v>
      </c>
      <c r="J232" s="6">
        <v>42078</v>
      </c>
      <c r="K232" s="8">
        <v>93734</v>
      </c>
      <c r="L232" s="1">
        <v>0</v>
      </c>
      <c r="M232" s="8">
        <f>TBL_Employees[[#This Row],[Annual Salary]]*TBL_Employees[[#This Row],[Bonus %]]</f>
        <v>0</v>
      </c>
      <c r="N232" s="8">
        <f>SUM(TBL_Employees[[#This Row],[Annual Salary]],TBL_Employees[[#This Row],[TOTAL BONUS]])</f>
        <v>93734</v>
      </c>
      <c r="O232" s="8">
        <f>TBL_Employees[[#This Row],[Annual Salary]]*TBL_Employees[[#This Row],[Bonus %]]/100+TBL_Employees[[#This Row],[Annual Salary]]</f>
        <v>93734</v>
      </c>
      <c r="P232" t="s">
        <v>19</v>
      </c>
      <c r="Q232" t="s">
        <v>39</v>
      </c>
      <c r="R232" s="6" t="s">
        <v>21</v>
      </c>
    </row>
    <row r="233" spans="1:18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 s="17"/>
      <c r="I233">
        <v>28</v>
      </c>
      <c r="J233" s="6">
        <v>42867</v>
      </c>
      <c r="K233" s="8">
        <v>52069</v>
      </c>
      <c r="L233" s="1">
        <v>0</v>
      </c>
      <c r="M233" s="8">
        <f>TBL_Employees[[#This Row],[Annual Salary]]*TBL_Employees[[#This Row],[Bonus %]]</f>
        <v>0</v>
      </c>
      <c r="N233" s="8">
        <f>SUM(TBL_Employees[[#This Row],[Annual Salary]],TBL_Employees[[#This Row],[TOTAL BONUS]])</f>
        <v>52069</v>
      </c>
      <c r="O233" s="8">
        <f>TBL_Employees[[#This Row],[Annual Salary]]*TBL_Employees[[#This Row],[Bonus %]]/100+TBL_Employees[[#This Row],[Annual Salary]]</f>
        <v>52069</v>
      </c>
      <c r="P233" t="s">
        <v>33</v>
      </c>
      <c r="Q233" t="s">
        <v>80</v>
      </c>
      <c r="R233" s="6" t="s">
        <v>21</v>
      </c>
    </row>
    <row r="234" spans="1:18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 s="17"/>
      <c r="I234">
        <v>33</v>
      </c>
      <c r="J234" s="6">
        <v>44181</v>
      </c>
      <c r="K234" s="8">
        <v>258426</v>
      </c>
      <c r="L234" s="1">
        <v>0.4</v>
      </c>
      <c r="M234" s="8">
        <f>TBL_Employees[[#This Row],[Annual Salary]]*TBL_Employees[[#This Row],[Bonus %]]</f>
        <v>103370.40000000001</v>
      </c>
      <c r="N234" s="8">
        <f>SUM(TBL_Employees[[#This Row],[Annual Salary]],TBL_Employees[[#This Row],[TOTAL BONUS]])</f>
        <v>361796.4</v>
      </c>
      <c r="O234" s="8">
        <f>TBL_Employees[[#This Row],[Annual Salary]]*TBL_Employees[[#This Row],[Bonus %]]/100+TBL_Employees[[#This Row],[Annual Salary]]</f>
        <v>259459.704</v>
      </c>
      <c r="P234" t="s">
        <v>52</v>
      </c>
      <c r="Q234" t="s">
        <v>66</v>
      </c>
      <c r="R234" s="6" t="s">
        <v>21</v>
      </c>
    </row>
    <row r="235" spans="1:18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 s="17"/>
      <c r="I235">
        <v>51</v>
      </c>
      <c r="J235" s="6">
        <v>34746</v>
      </c>
      <c r="K235" s="8">
        <v>125375</v>
      </c>
      <c r="L235" s="1">
        <v>0.09</v>
      </c>
      <c r="M235" s="8">
        <f>TBL_Employees[[#This Row],[Annual Salary]]*TBL_Employees[[#This Row],[Bonus %]]</f>
        <v>11283.75</v>
      </c>
      <c r="N235" s="8">
        <f>SUM(TBL_Employees[[#This Row],[Annual Salary]],TBL_Employees[[#This Row],[TOTAL BONUS]])</f>
        <v>136658.75</v>
      </c>
      <c r="O235" s="8">
        <f>TBL_Employees[[#This Row],[Annual Salary]]*TBL_Employees[[#This Row],[Bonus %]]/100+TBL_Employees[[#This Row],[Annual Salary]]</f>
        <v>125487.83749999999</v>
      </c>
      <c r="P235" t="s">
        <v>19</v>
      </c>
      <c r="Q235" t="s">
        <v>20</v>
      </c>
      <c r="R235" s="6" t="s">
        <v>21</v>
      </c>
    </row>
    <row r="236" spans="1:18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 s="17"/>
      <c r="I236">
        <v>25</v>
      </c>
      <c r="J236" s="6">
        <v>44235</v>
      </c>
      <c r="K236" s="8">
        <v>198243</v>
      </c>
      <c r="L236" s="1">
        <v>0.31</v>
      </c>
      <c r="M236" s="8">
        <f>TBL_Employees[[#This Row],[Annual Salary]]*TBL_Employees[[#This Row],[Bonus %]]</f>
        <v>61455.33</v>
      </c>
      <c r="N236" s="8">
        <f>SUM(TBL_Employees[[#This Row],[Annual Salary]],TBL_Employees[[#This Row],[TOTAL BONUS]])</f>
        <v>259698.33000000002</v>
      </c>
      <c r="O236" s="8">
        <f>TBL_Employees[[#This Row],[Annual Salary]]*TBL_Employees[[#This Row],[Bonus %]]/100+TBL_Employees[[#This Row],[Annual Salary]]</f>
        <v>198857.5533</v>
      </c>
      <c r="P236" t="s">
        <v>19</v>
      </c>
      <c r="Q236" t="s">
        <v>45</v>
      </c>
      <c r="R236" s="6" t="s">
        <v>21</v>
      </c>
    </row>
    <row r="237" spans="1:18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 s="17"/>
      <c r="I237">
        <v>42</v>
      </c>
      <c r="J237" s="6">
        <v>43062</v>
      </c>
      <c r="K237" s="8">
        <v>96023</v>
      </c>
      <c r="L237" s="1">
        <v>0</v>
      </c>
      <c r="M237" s="8">
        <f>TBL_Employees[[#This Row],[Annual Salary]]*TBL_Employees[[#This Row],[Bonus %]]</f>
        <v>0</v>
      </c>
      <c r="N237" s="8">
        <f>SUM(TBL_Employees[[#This Row],[Annual Salary]],TBL_Employees[[#This Row],[TOTAL BONUS]])</f>
        <v>96023</v>
      </c>
      <c r="O237" s="8">
        <f>TBL_Employees[[#This Row],[Annual Salary]]*TBL_Employees[[#This Row],[Bonus %]]/100+TBL_Employees[[#This Row],[Annual Salary]]</f>
        <v>96023</v>
      </c>
      <c r="P237" t="s">
        <v>19</v>
      </c>
      <c r="Q237" t="s">
        <v>45</v>
      </c>
      <c r="R237" s="6" t="s">
        <v>21</v>
      </c>
    </row>
    <row r="238" spans="1:18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 s="17"/>
      <c r="I238">
        <v>34</v>
      </c>
      <c r="J238" s="6">
        <v>41085</v>
      </c>
      <c r="K238" s="8">
        <v>83066</v>
      </c>
      <c r="L238" s="1">
        <v>0</v>
      </c>
      <c r="M238" s="8">
        <f>TBL_Employees[[#This Row],[Annual Salary]]*TBL_Employees[[#This Row],[Bonus %]]</f>
        <v>0</v>
      </c>
      <c r="N238" s="8">
        <f>SUM(TBL_Employees[[#This Row],[Annual Salary]],TBL_Employees[[#This Row],[TOTAL BONUS]])</f>
        <v>83066</v>
      </c>
      <c r="O238" s="8">
        <f>TBL_Employees[[#This Row],[Annual Salary]]*TBL_Employees[[#This Row],[Bonus %]]/100+TBL_Employees[[#This Row],[Annual Salary]]</f>
        <v>83066</v>
      </c>
      <c r="P238" t="s">
        <v>19</v>
      </c>
      <c r="Q238" t="s">
        <v>20</v>
      </c>
      <c r="R238" s="6">
        <v>41430</v>
      </c>
    </row>
    <row r="239" spans="1:18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 s="17"/>
      <c r="I239">
        <v>48</v>
      </c>
      <c r="J239" s="6">
        <v>41773</v>
      </c>
      <c r="K239" s="8">
        <v>61216</v>
      </c>
      <c r="L239" s="1">
        <v>0</v>
      </c>
      <c r="M239" s="8">
        <f>TBL_Employees[[#This Row],[Annual Salary]]*TBL_Employees[[#This Row],[Bonus %]]</f>
        <v>0</v>
      </c>
      <c r="N239" s="8">
        <f>SUM(TBL_Employees[[#This Row],[Annual Salary]],TBL_Employees[[#This Row],[TOTAL BONUS]])</f>
        <v>61216</v>
      </c>
      <c r="O239" s="8">
        <f>TBL_Employees[[#This Row],[Annual Salary]]*TBL_Employees[[#This Row],[Bonus %]]/100+TBL_Employees[[#This Row],[Annual Salary]]</f>
        <v>61216</v>
      </c>
      <c r="P239" t="s">
        <v>19</v>
      </c>
      <c r="Q239" t="s">
        <v>63</v>
      </c>
      <c r="R239" s="6" t="s">
        <v>21</v>
      </c>
    </row>
    <row r="240" spans="1:18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 s="17"/>
      <c r="I240">
        <v>33</v>
      </c>
      <c r="J240" s="6">
        <v>41315</v>
      </c>
      <c r="K240" s="8">
        <v>144231</v>
      </c>
      <c r="L240" s="1">
        <v>0.14000000000000001</v>
      </c>
      <c r="M240" s="8">
        <f>TBL_Employees[[#This Row],[Annual Salary]]*TBL_Employees[[#This Row],[Bonus %]]</f>
        <v>20192.34</v>
      </c>
      <c r="N240" s="8">
        <f>SUM(TBL_Employees[[#This Row],[Annual Salary]],TBL_Employees[[#This Row],[TOTAL BONUS]])</f>
        <v>164423.34</v>
      </c>
      <c r="O240" s="8">
        <f>TBL_Employees[[#This Row],[Annual Salary]]*TBL_Employees[[#This Row],[Bonus %]]/100+TBL_Employees[[#This Row],[Annual Salary]]</f>
        <v>144432.9234</v>
      </c>
      <c r="P240" t="s">
        <v>19</v>
      </c>
      <c r="Q240" t="s">
        <v>29</v>
      </c>
      <c r="R240" s="6">
        <v>44029</v>
      </c>
    </row>
    <row r="241" spans="1:18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 s="17"/>
      <c r="I241">
        <v>41</v>
      </c>
      <c r="J241" s="6">
        <v>39379</v>
      </c>
      <c r="K241" s="8">
        <v>51630</v>
      </c>
      <c r="L241" s="1">
        <v>0</v>
      </c>
      <c r="M241" s="8">
        <f>TBL_Employees[[#This Row],[Annual Salary]]*TBL_Employees[[#This Row],[Bonus %]]</f>
        <v>0</v>
      </c>
      <c r="N241" s="8">
        <f>SUM(TBL_Employees[[#This Row],[Annual Salary]],TBL_Employees[[#This Row],[TOTAL BONUS]])</f>
        <v>51630</v>
      </c>
      <c r="O241" s="8">
        <f>TBL_Employees[[#This Row],[Annual Salary]]*TBL_Employees[[#This Row],[Bonus %]]/100+TBL_Employees[[#This Row],[Annual Salary]]</f>
        <v>51630</v>
      </c>
      <c r="P241" t="s">
        <v>33</v>
      </c>
      <c r="Q241" t="s">
        <v>60</v>
      </c>
      <c r="R241" s="6" t="s">
        <v>21</v>
      </c>
    </row>
    <row r="242" spans="1:18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 s="17"/>
      <c r="I242">
        <v>55</v>
      </c>
      <c r="J242" s="6">
        <v>41594</v>
      </c>
      <c r="K242" s="8">
        <v>124129</v>
      </c>
      <c r="L242" s="1">
        <v>0.15</v>
      </c>
      <c r="M242" s="8">
        <f>TBL_Employees[[#This Row],[Annual Salary]]*TBL_Employees[[#This Row],[Bonus %]]</f>
        <v>18619.349999999999</v>
      </c>
      <c r="N242" s="8">
        <f>SUM(TBL_Employees[[#This Row],[Annual Salary]],TBL_Employees[[#This Row],[TOTAL BONUS]])</f>
        <v>142748.35</v>
      </c>
      <c r="O242" s="8">
        <f>TBL_Employees[[#This Row],[Annual Salary]]*TBL_Employees[[#This Row],[Bonus %]]/100+TBL_Employees[[#This Row],[Annual Salary]]</f>
        <v>124315.19349999999</v>
      </c>
      <c r="P242" t="s">
        <v>52</v>
      </c>
      <c r="Q242" t="s">
        <v>53</v>
      </c>
      <c r="R242" s="6" t="s">
        <v>21</v>
      </c>
    </row>
    <row r="243" spans="1:18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 s="17"/>
      <c r="I243">
        <v>36</v>
      </c>
      <c r="J243" s="6">
        <v>39912</v>
      </c>
      <c r="K243" s="8">
        <v>60055</v>
      </c>
      <c r="L243" s="1">
        <v>0</v>
      </c>
      <c r="M243" s="8">
        <f>TBL_Employees[[#This Row],[Annual Salary]]*TBL_Employees[[#This Row],[Bonus %]]</f>
        <v>0</v>
      </c>
      <c r="N243" s="8">
        <f>SUM(TBL_Employees[[#This Row],[Annual Salary]],TBL_Employees[[#This Row],[TOTAL BONUS]])</f>
        <v>60055</v>
      </c>
      <c r="O243" s="8">
        <f>TBL_Employees[[#This Row],[Annual Salary]]*TBL_Employees[[#This Row],[Bonus %]]/100+TBL_Employees[[#This Row],[Annual Salary]]</f>
        <v>60055</v>
      </c>
      <c r="P243" t="s">
        <v>19</v>
      </c>
      <c r="Q243" t="s">
        <v>63</v>
      </c>
      <c r="R243" s="6" t="s">
        <v>21</v>
      </c>
    </row>
    <row r="244" spans="1:18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 s="17"/>
      <c r="I244">
        <v>31</v>
      </c>
      <c r="J244" s="6">
        <v>44069</v>
      </c>
      <c r="K244" s="8">
        <v>189290</v>
      </c>
      <c r="L244" s="1">
        <v>0.22</v>
      </c>
      <c r="M244" s="8">
        <f>TBL_Employees[[#This Row],[Annual Salary]]*TBL_Employees[[#This Row],[Bonus %]]</f>
        <v>41643.800000000003</v>
      </c>
      <c r="N244" s="8">
        <f>SUM(TBL_Employees[[#This Row],[Annual Salary]],TBL_Employees[[#This Row],[TOTAL BONUS]])</f>
        <v>230933.8</v>
      </c>
      <c r="O244" s="8">
        <f>TBL_Employees[[#This Row],[Annual Salary]]*TBL_Employees[[#This Row],[Bonus %]]/100+TBL_Employees[[#This Row],[Annual Salary]]</f>
        <v>189706.43799999999</v>
      </c>
      <c r="P244" t="s">
        <v>52</v>
      </c>
      <c r="Q244" t="s">
        <v>53</v>
      </c>
      <c r="R244" s="6">
        <v>44099</v>
      </c>
    </row>
    <row r="245" spans="1:18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 s="17"/>
      <c r="I245">
        <v>53</v>
      </c>
      <c r="J245" s="6">
        <v>39568</v>
      </c>
      <c r="K245" s="8">
        <v>182202</v>
      </c>
      <c r="L245" s="1">
        <v>0.3</v>
      </c>
      <c r="M245" s="8">
        <f>TBL_Employees[[#This Row],[Annual Salary]]*TBL_Employees[[#This Row],[Bonus %]]</f>
        <v>54660.6</v>
      </c>
      <c r="N245" s="8">
        <f>SUM(TBL_Employees[[#This Row],[Annual Salary]],TBL_Employees[[#This Row],[TOTAL BONUS]])</f>
        <v>236862.6</v>
      </c>
      <c r="O245" s="8">
        <f>TBL_Employees[[#This Row],[Annual Salary]]*TBL_Employees[[#This Row],[Bonus %]]/100+TBL_Employees[[#This Row],[Annual Salary]]</f>
        <v>182748.606</v>
      </c>
      <c r="P245" t="s">
        <v>19</v>
      </c>
      <c r="Q245" t="s">
        <v>25</v>
      </c>
      <c r="R245" s="6" t="s">
        <v>21</v>
      </c>
    </row>
    <row r="246" spans="1:18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 s="17"/>
      <c r="I246">
        <v>43</v>
      </c>
      <c r="J246" s="6">
        <v>38748</v>
      </c>
      <c r="K246" s="8">
        <v>117518</v>
      </c>
      <c r="L246" s="1">
        <v>7.0000000000000007E-2</v>
      </c>
      <c r="M246" s="8">
        <f>TBL_Employees[[#This Row],[Annual Salary]]*TBL_Employees[[#This Row],[Bonus %]]</f>
        <v>8226.26</v>
      </c>
      <c r="N246" s="8">
        <f>SUM(TBL_Employees[[#This Row],[Annual Salary]],TBL_Employees[[#This Row],[TOTAL BONUS]])</f>
        <v>125744.26</v>
      </c>
      <c r="O246" s="8">
        <f>TBL_Employees[[#This Row],[Annual Salary]]*TBL_Employees[[#This Row],[Bonus %]]/100+TBL_Employees[[#This Row],[Annual Salary]]</f>
        <v>117600.2626</v>
      </c>
      <c r="P246" t="s">
        <v>19</v>
      </c>
      <c r="Q246" t="s">
        <v>63</v>
      </c>
      <c r="R246" s="6" t="s">
        <v>21</v>
      </c>
    </row>
    <row r="247" spans="1:18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 s="17"/>
      <c r="I247">
        <v>37</v>
      </c>
      <c r="J247" s="6">
        <v>41329</v>
      </c>
      <c r="K247" s="8">
        <v>157474</v>
      </c>
      <c r="L247" s="1">
        <v>0.11</v>
      </c>
      <c r="M247" s="8">
        <f>TBL_Employees[[#This Row],[Annual Salary]]*TBL_Employees[[#This Row],[Bonus %]]</f>
        <v>17322.14</v>
      </c>
      <c r="N247" s="8">
        <f>SUM(TBL_Employees[[#This Row],[Annual Salary]],TBL_Employees[[#This Row],[TOTAL BONUS]])</f>
        <v>174796.14</v>
      </c>
      <c r="O247" s="8">
        <f>TBL_Employees[[#This Row],[Annual Salary]]*TBL_Employees[[#This Row],[Bonus %]]/100+TBL_Employees[[#This Row],[Annual Salary]]</f>
        <v>157647.22140000001</v>
      </c>
      <c r="P247" t="s">
        <v>52</v>
      </c>
      <c r="Q247" t="s">
        <v>66</v>
      </c>
      <c r="R247" s="6" t="s">
        <v>21</v>
      </c>
    </row>
    <row r="248" spans="1:18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 s="17"/>
      <c r="I248">
        <v>38</v>
      </c>
      <c r="J248" s="6">
        <v>39544</v>
      </c>
      <c r="K248" s="8">
        <v>126856</v>
      </c>
      <c r="L248" s="1">
        <v>0.06</v>
      </c>
      <c r="M248" s="8">
        <f>TBL_Employees[[#This Row],[Annual Salary]]*TBL_Employees[[#This Row],[Bonus %]]</f>
        <v>7611.36</v>
      </c>
      <c r="N248" s="8">
        <f>SUM(TBL_Employees[[#This Row],[Annual Salary]],TBL_Employees[[#This Row],[TOTAL BONUS]])</f>
        <v>134467.35999999999</v>
      </c>
      <c r="O248" s="8">
        <f>TBL_Employees[[#This Row],[Annual Salary]]*TBL_Employees[[#This Row],[Bonus %]]/100+TBL_Employees[[#This Row],[Annual Salary]]</f>
        <v>126932.1136</v>
      </c>
      <c r="P248" t="s">
        <v>19</v>
      </c>
      <c r="Q248" t="s">
        <v>29</v>
      </c>
      <c r="R248" s="6" t="s">
        <v>21</v>
      </c>
    </row>
    <row r="249" spans="1:18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 s="17"/>
      <c r="I249">
        <v>49</v>
      </c>
      <c r="J249" s="6">
        <v>36983</v>
      </c>
      <c r="K249" s="8">
        <v>129124</v>
      </c>
      <c r="L249" s="1">
        <v>0.12</v>
      </c>
      <c r="M249" s="8">
        <f>TBL_Employees[[#This Row],[Annual Salary]]*TBL_Employees[[#This Row],[Bonus %]]</f>
        <v>15494.88</v>
      </c>
      <c r="N249" s="8">
        <f>SUM(TBL_Employees[[#This Row],[Annual Salary]],TBL_Employees[[#This Row],[TOTAL BONUS]])</f>
        <v>144618.88</v>
      </c>
      <c r="O249" s="8">
        <f>TBL_Employees[[#This Row],[Annual Salary]]*TBL_Employees[[#This Row],[Bonus %]]/100+TBL_Employees[[#This Row],[Annual Salary]]</f>
        <v>129278.9488</v>
      </c>
      <c r="P249" t="s">
        <v>33</v>
      </c>
      <c r="Q249" t="s">
        <v>74</v>
      </c>
      <c r="R249" s="6" t="s">
        <v>21</v>
      </c>
    </row>
    <row r="250" spans="1:18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 s="17"/>
      <c r="I250">
        <v>45</v>
      </c>
      <c r="J250" s="6">
        <v>37316</v>
      </c>
      <c r="K250" s="8">
        <v>165181</v>
      </c>
      <c r="L250" s="1">
        <v>0.16</v>
      </c>
      <c r="M250" s="8">
        <f>TBL_Employees[[#This Row],[Annual Salary]]*TBL_Employees[[#This Row],[Bonus %]]</f>
        <v>26428.959999999999</v>
      </c>
      <c r="N250" s="8">
        <f>SUM(TBL_Employees[[#This Row],[Annual Salary]],TBL_Employees[[#This Row],[TOTAL BONUS]])</f>
        <v>191609.96</v>
      </c>
      <c r="O250" s="8">
        <f>TBL_Employees[[#This Row],[Annual Salary]]*TBL_Employees[[#This Row],[Bonus %]]/100+TBL_Employees[[#This Row],[Annual Salary]]</f>
        <v>165445.28959999999</v>
      </c>
      <c r="P250" t="s">
        <v>19</v>
      </c>
      <c r="Q250" t="s">
        <v>63</v>
      </c>
      <c r="R250" s="6" t="s">
        <v>21</v>
      </c>
    </row>
    <row r="251" spans="1:18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 s="17"/>
      <c r="I251">
        <v>50</v>
      </c>
      <c r="J251" s="6">
        <v>38004</v>
      </c>
      <c r="K251" s="8">
        <v>247939</v>
      </c>
      <c r="L251" s="1">
        <v>0.35</v>
      </c>
      <c r="M251" s="8">
        <f>TBL_Employees[[#This Row],[Annual Salary]]*TBL_Employees[[#This Row],[Bonus %]]</f>
        <v>86778.65</v>
      </c>
      <c r="N251" s="8">
        <f>SUM(TBL_Employees[[#This Row],[Annual Salary]],TBL_Employees[[#This Row],[TOTAL BONUS]])</f>
        <v>334717.65000000002</v>
      </c>
      <c r="O251" s="8">
        <f>TBL_Employees[[#This Row],[Annual Salary]]*TBL_Employees[[#This Row],[Bonus %]]/100+TBL_Employees[[#This Row],[Annual Salary]]</f>
        <v>248806.78649999999</v>
      </c>
      <c r="P251" t="s">
        <v>52</v>
      </c>
      <c r="Q251" t="s">
        <v>66</v>
      </c>
      <c r="R251" s="6" t="s">
        <v>21</v>
      </c>
    </row>
    <row r="252" spans="1:18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 s="17"/>
      <c r="I252">
        <v>64</v>
      </c>
      <c r="J252" s="6">
        <v>42972</v>
      </c>
      <c r="K252" s="8">
        <v>169509</v>
      </c>
      <c r="L252" s="1">
        <v>0.18</v>
      </c>
      <c r="M252" s="8">
        <f>TBL_Employees[[#This Row],[Annual Salary]]*TBL_Employees[[#This Row],[Bonus %]]</f>
        <v>30511.62</v>
      </c>
      <c r="N252" s="8">
        <f>SUM(TBL_Employees[[#This Row],[Annual Salary]],TBL_Employees[[#This Row],[TOTAL BONUS]])</f>
        <v>200020.62</v>
      </c>
      <c r="O252" s="8">
        <f>TBL_Employees[[#This Row],[Annual Salary]]*TBL_Employees[[#This Row],[Bonus %]]/100+TBL_Employees[[#This Row],[Annual Salary]]</f>
        <v>169814.11619999999</v>
      </c>
      <c r="P252" t="s">
        <v>52</v>
      </c>
      <c r="Q252" t="s">
        <v>81</v>
      </c>
      <c r="R252" s="6" t="s">
        <v>21</v>
      </c>
    </row>
    <row r="253" spans="1:18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 s="17"/>
      <c r="I253">
        <v>55</v>
      </c>
      <c r="J253" s="6">
        <v>40552</v>
      </c>
      <c r="K253" s="8">
        <v>138521</v>
      </c>
      <c r="L253" s="1">
        <v>0.1</v>
      </c>
      <c r="M253" s="8">
        <f>TBL_Employees[[#This Row],[Annual Salary]]*TBL_Employees[[#This Row],[Bonus %]]</f>
        <v>13852.1</v>
      </c>
      <c r="N253" s="8">
        <f>SUM(TBL_Employees[[#This Row],[Annual Salary]],TBL_Employees[[#This Row],[TOTAL BONUS]])</f>
        <v>152373.1</v>
      </c>
      <c r="O253" s="8">
        <f>TBL_Employees[[#This Row],[Annual Salary]]*TBL_Employees[[#This Row],[Bonus %]]/100+TBL_Employees[[#This Row],[Annual Salary]]</f>
        <v>138659.52100000001</v>
      </c>
      <c r="P253" t="s">
        <v>19</v>
      </c>
      <c r="Q253" t="s">
        <v>45</v>
      </c>
      <c r="R253" s="6" t="s">
        <v>21</v>
      </c>
    </row>
    <row r="254" spans="1:18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 s="17"/>
      <c r="I254">
        <v>45</v>
      </c>
      <c r="J254" s="6">
        <v>41712</v>
      </c>
      <c r="K254" s="8">
        <v>113873</v>
      </c>
      <c r="L254" s="1">
        <v>0.11</v>
      </c>
      <c r="M254" s="8">
        <f>TBL_Employees[[#This Row],[Annual Salary]]*TBL_Employees[[#This Row],[Bonus %]]</f>
        <v>12526.03</v>
      </c>
      <c r="N254" s="8">
        <f>SUM(TBL_Employees[[#This Row],[Annual Salary]],TBL_Employees[[#This Row],[TOTAL BONUS]])</f>
        <v>126399.03</v>
      </c>
      <c r="O254" s="8">
        <f>TBL_Employees[[#This Row],[Annual Salary]]*TBL_Employees[[#This Row],[Bonus %]]/100+TBL_Employees[[#This Row],[Annual Salary]]</f>
        <v>113998.26029999999</v>
      </c>
      <c r="P254" t="s">
        <v>52</v>
      </c>
      <c r="Q254" t="s">
        <v>66</v>
      </c>
      <c r="R254" s="6" t="s">
        <v>21</v>
      </c>
    </row>
    <row r="255" spans="1:18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 s="17"/>
      <c r="I255">
        <v>39</v>
      </c>
      <c r="J255" s="6">
        <v>43229</v>
      </c>
      <c r="K255" s="8">
        <v>73317</v>
      </c>
      <c r="L255" s="1">
        <v>0</v>
      </c>
      <c r="M255" s="8">
        <f>TBL_Employees[[#This Row],[Annual Salary]]*TBL_Employees[[#This Row],[Bonus %]]</f>
        <v>0</v>
      </c>
      <c r="N255" s="8">
        <f>SUM(TBL_Employees[[#This Row],[Annual Salary]],TBL_Employees[[#This Row],[TOTAL BONUS]])</f>
        <v>73317</v>
      </c>
      <c r="O255" s="8">
        <f>TBL_Employees[[#This Row],[Annual Salary]]*TBL_Employees[[#This Row],[Bonus %]]/100+TBL_Employees[[#This Row],[Annual Salary]]</f>
        <v>73317</v>
      </c>
      <c r="P255" t="s">
        <v>19</v>
      </c>
      <c r="Q255" t="s">
        <v>45</v>
      </c>
      <c r="R255" s="6" t="s">
        <v>21</v>
      </c>
    </row>
    <row r="256" spans="1:18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 s="17"/>
      <c r="I256">
        <v>40</v>
      </c>
      <c r="J256" s="6">
        <v>41451</v>
      </c>
      <c r="K256" s="8">
        <v>69096</v>
      </c>
      <c r="L256" s="1">
        <v>0</v>
      </c>
      <c r="M256" s="8">
        <f>TBL_Employees[[#This Row],[Annual Salary]]*TBL_Employees[[#This Row],[Bonus %]]</f>
        <v>0</v>
      </c>
      <c r="N256" s="8">
        <f>SUM(TBL_Employees[[#This Row],[Annual Salary]],TBL_Employees[[#This Row],[TOTAL BONUS]])</f>
        <v>69096</v>
      </c>
      <c r="O256" s="8">
        <f>TBL_Employees[[#This Row],[Annual Salary]]*TBL_Employees[[#This Row],[Bonus %]]/100+TBL_Employees[[#This Row],[Annual Salary]]</f>
        <v>69096</v>
      </c>
      <c r="P256" t="s">
        <v>19</v>
      </c>
      <c r="Q256" t="s">
        <v>63</v>
      </c>
      <c r="R256" s="6" t="s">
        <v>21</v>
      </c>
    </row>
    <row r="257" spans="1:18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 s="17"/>
      <c r="I257">
        <v>48</v>
      </c>
      <c r="J257" s="6">
        <v>38454</v>
      </c>
      <c r="K257" s="8">
        <v>87158</v>
      </c>
      <c r="L257" s="1">
        <v>0</v>
      </c>
      <c r="M257" s="8">
        <f>TBL_Employees[[#This Row],[Annual Salary]]*TBL_Employees[[#This Row],[Bonus %]]</f>
        <v>0</v>
      </c>
      <c r="N257" s="8">
        <f>SUM(TBL_Employees[[#This Row],[Annual Salary]],TBL_Employees[[#This Row],[TOTAL BONUS]])</f>
        <v>87158</v>
      </c>
      <c r="O257" s="8">
        <f>TBL_Employees[[#This Row],[Annual Salary]]*TBL_Employees[[#This Row],[Bonus %]]/100+TBL_Employees[[#This Row],[Annual Salary]]</f>
        <v>87158</v>
      </c>
      <c r="P257" t="s">
        <v>52</v>
      </c>
      <c r="Q257" t="s">
        <v>81</v>
      </c>
      <c r="R257" s="6" t="s">
        <v>21</v>
      </c>
    </row>
    <row r="258" spans="1:18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 s="17"/>
      <c r="I258">
        <v>64</v>
      </c>
      <c r="J258" s="6">
        <v>33875</v>
      </c>
      <c r="K258" s="8">
        <v>70778</v>
      </c>
      <c r="L258" s="1">
        <v>0</v>
      </c>
      <c r="M258" s="8">
        <f>TBL_Employees[[#This Row],[Annual Salary]]*TBL_Employees[[#This Row],[Bonus %]]</f>
        <v>0</v>
      </c>
      <c r="N258" s="8">
        <f>SUM(TBL_Employees[[#This Row],[Annual Salary]],TBL_Employees[[#This Row],[TOTAL BONUS]])</f>
        <v>70778</v>
      </c>
      <c r="O258" s="8">
        <f>TBL_Employees[[#This Row],[Annual Salary]]*TBL_Employees[[#This Row],[Bonus %]]/100+TBL_Employees[[#This Row],[Annual Salary]]</f>
        <v>70778</v>
      </c>
      <c r="P258" t="s">
        <v>19</v>
      </c>
      <c r="Q258" t="s">
        <v>25</v>
      </c>
      <c r="R258" s="6" t="s">
        <v>21</v>
      </c>
    </row>
    <row r="259" spans="1:18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 s="17"/>
      <c r="I259">
        <v>65</v>
      </c>
      <c r="J259" s="6">
        <v>38130</v>
      </c>
      <c r="K259" s="8">
        <v>153938</v>
      </c>
      <c r="L259" s="1">
        <v>0.2</v>
      </c>
      <c r="M259" s="8">
        <f>TBL_Employees[[#This Row],[Annual Salary]]*TBL_Employees[[#This Row],[Bonus %]]</f>
        <v>30787.600000000002</v>
      </c>
      <c r="N259" s="8">
        <f>SUM(TBL_Employees[[#This Row],[Annual Salary]],TBL_Employees[[#This Row],[TOTAL BONUS]])</f>
        <v>184725.6</v>
      </c>
      <c r="O259" s="8">
        <f>TBL_Employees[[#This Row],[Annual Salary]]*TBL_Employees[[#This Row],[Bonus %]]/100+TBL_Employees[[#This Row],[Annual Salary]]</f>
        <v>154245.87599999999</v>
      </c>
      <c r="P259" t="s">
        <v>19</v>
      </c>
      <c r="Q259" t="s">
        <v>39</v>
      </c>
      <c r="R259" s="6" t="s">
        <v>21</v>
      </c>
    </row>
    <row r="260" spans="1:18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 s="17"/>
      <c r="I260">
        <v>43</v>
      </c>
      <c r="J260" s="6">
        <v>43224</v>
      </c>
      <c r="K260" s="8">
        <v>59888</v>
      </c>
      <c r="L260" s="1">
        <v>0</v>
      </c>
      <c r="M260" s="8">
        <f>TBL_Employees[[#This Row],[Annual Salary]]*TBL_Employees[[#This Row],[Bonus %]]</f>
        <v>0</v>
      </c>
      <c r="N260" s="8">
        <f>SUM(TBL_Employees[[#This Row],[Annual Salary]],TBL_Employees[[#This Row],[TOTAL BONUS]])</f>
        <v>59888</v>
      </c>
      <c r="O260" s="8">
        <f>TBL_Employees[[#This Row],[Annual Salary]]*TBL_Employees[[#This Row],[Bonus %]]/100+TBL_Employees[[#This Row],[Annual Salary]]</f>
        <v>59888</v>
      </c>
      <c r="P260" t="s">
        <v>33</v>
      </c>
      <c r="Q260" t="s">
        <v>60</v>
      </c>
      <c r="R260" s="6" t="s">
        <v>21</v>
      </c>
    </row>
    <row r="261" spans="1:18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 s="17"/>
      <c r="I261">
        <v>50</v>
      </c>
      <c r="J261" s="6">
        <v>43447</v>
      </c>
      <c r="K261" s="8">
        <v>63098</v>
      </c>
      <c r="L261" s="1">
        <v>0</v>
      </c>
      <c r="M261" s="8">
        <f>TBL_Employees[[#This Row],[Annual Salary]]*TBL_Employees[[#This Row],[Bonus %]]</f>
        <v>0</v>
      </c>
      <c r="N261" s="8">
        <f>SUM(TBL_Employees[[#This Row],[Annual Salary]],TBL_Employees[[#This Row],[TOTAL BONUS]])</f>
        <v>63098</v>
      </c>
      <c r="O261" s="8">
        <f>TBL_Employees[[#This Row],[Annual Salary]]*TBL_Employees[[#This Row],[Bonus %]]/100+TBL_Employees[[#This Row],[Annual Salary]]</f>
        <v>63098</v>
      </c>
      <c r="P261" t="s">
        <v>19</v>
      </c>
      <c r="Q261" t="s">
        <v>29</v>
      </c>
      <c r="R261" s="6" t="s">
        <v>21</v>
      </c>
    </row>
    <row r="262" spans="1:18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 s="17"/>
      <c r="I262">
        <v>27</v>
      </c>
      <c r="J262" s="6">
        <v>44545</v>
      </c>
      <c r="K262" s="8">
        <v>255369</v>
      </c>
      <c r="L262" s="1">
        <v>0.33</v>
      </c>
      <c r="M262" s="8">
        <f>TBL_Employees[[#This Row],[Annual Salary]]*TBL_Employees[[#This Row],[Bonus %]]</f>
        <v>84271.77</v>
      </c>
      <c r="N262" s="8">
        <f>SUM(TBL_Employees[[#This Row],[Annual Salary]],TBL_Employees[[#This Row],[TOTAL BONUS]])</f>
        <v>339640.77</v>
      </c>
      <c r="O262" s="8">
        <f>TBL_Employees[[#This Row],[Annual Salary]]*TBL_Employees[[#This Row],[Bonus %]]/100+TBL_Employees[[#This Row],[Annual Salary]]</f>
        <v>256211.71770000001</v>
      </c>
      <c r="P262" t="s">
        <v>52</v>
      </c>
      <c r="Q262" t="s">
        <v>53</v>
      </c>
      <c r="R262" s="6" t="s">
        <v>21</v>
      </c>
    </row>
    <row r="263" spans="1:18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 s="17"/>
      <c r="I263">
        <v>55</v>
      </c>
      <c r="J263" s="6">
        <v>38301</v>
      </c>
      <c r="K263" s="8">
        <v>142318</v>
      </c>
      <c r="L263" s="1">
        <v>0.14000000000000001</v>
      </c>
      <c r="M263" s="8">
        <f>TBL_Employees[[#This Row],[Annual Salary]]*TBL_Employees[[#This Row],[Bonus %]]</f>
        <v>19924.52</v>
      </c>
      <c r="N263" s="8">
        <f>SUM(TBL_Employees[[#This Row],[Annual Salary]],TBL_Employees[[#This Row],[TOTAL BONUS]])</f>
        <v>162242.51999999999</v>
      </c>
      <c r="O263" s="8">
        <f>TBL_Employees[[#This Row],[Annual Salary]]*TBL_Employees[[#This Row],[Bonus %]]/100+TBL_Employees[[#This Row],[Annual Salary]]</f>
        <v>142517.2452</v>
      </c>
      <c r="P263" t="s">
        <v>19</v>
      </c>
      <c r="Q263" t="s">
        <v>20</v>
      </c>
      <c r="R263" s="6" t="s">
        <v>21</v>
      </c>
    </row>
    <row r="264" spans="1:18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 s="17"/>
      <c r="I264">
        <v>41</v>
      </c>
      <c r="J264" s="6">
        <v>38219</v>
      </c>
      <c r="K264" s="8">
        <v>49186</v>
      </c>
      <c r="L264" s="1">
        <v>0</v>
      </c>
      <c r="M264" s="8">
        <f>TBL_Employees[[#This Row],[Annual Salary]]*TBL_Employees[[#This Row],[Bonus %]]</f>
        <v>0</v>
      </c>
      <c r="N264" s="8">
        <f>SUM(TBL_Employees[[#This Row],[Annual Salary]],TBL_Employees[[#This Row],[TOTAL BONUS]])</f>
        <v>49186</v>
      </c>
      <c r="O264" s="8">
        <f>TBL_Employees[[#This Row],[Annual Salary]]*TBL_Employees[[#This Row],[Bonus %]]/100+TBL_Employees[[#This Row],[Annual Salary]]</f>
        <v>49186</v>
      </c>
      <c r="P264" t="s">
        <v>19</v>
      </c>
      <c r="Q264" t="s">
        <v>25</v>
      </c>
      <c r="R264" s="6">
        <v>39616</v>
      </c>
    </row>
    <row r="265" spans="1:18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 s="17"/>
      <c r="I265">
        <v>34</v>
      </c>
      <c r="J265" s="6">
        <v>43673</v>
      </c>
      <c r="K265" s="8">
        <v>220937</v>
      </c>
      <c r="L265" s="1">
        <v>0.38</v>
      </c>
      <c r="M265" s="8">
        <f>TBL_Employees[[#This Row],[Annual Salary]]*TBL_Employees[[#This Row],[Bonus %]]</f>
        <v>83956.06</v>
      </c>
      <c r="N265" s="8">
        <f>SUM(TBL_Employees[[#This Row],[Annual Salary]],TBL_Employees[[#This Row],[TOTAL BONUS]])</f>
        <v>304893.06</v>
      </c>
      <c r="O265" s="8">
        <f>TBL_Employees[[#This Row],[Annual Salary]]*TBL_Employees[[#This Row],[Bonus %]]/100+TBL_Employees[[#This Row],[Annual Salary]]</f>
        <v>221776.5606</v>
      </c>
      <c r="P265" t="s">
        <v>19</v>
      </c>
      <c r="Q265" t="s">
        <v>25</v>
      </c>
      <c r="R265" s="6" t="s">
        <v>21</v>
      </c>
    </row>
    <row r="266" spans="1:18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 s="17"/>
      <c r="I266">
        <v>47</v>
      </c>
      <c r="J266" s="6">
        <v>41208</v>
      </c>
      <c r="K266" s="8">
        <v>183156</v>
      </c>
      <c r="L266" s="1">
        <v>0.3</v>
      </c>
      <c r="M266" s="8">
        <f>TBL_Employees[[#This Row],[Annual Salary]]*TBL_Employees[[#This Row],[Bonus %]]</f>
        <v>54946.799999999996</v>
      </c>
      <c r="N266" s="8">
        <f>SUM(TBL_Employees[[#This Row],[Annual Salary]],TBL_Employees[[#This Row],[TOTAL BONUS]])</f>
        <v>238102.8</v>
      </c>
      <c r="O266" s="8">
        <f>TBL_Employees[[#This Row],[Annual Salary]]*TBL_Employees[[#This Row],[Bonus %]]/100+TBL_Employees[[#This Row],[Annual Salary]]</f>
        <v>183705.46799999999</v>
      </c>
      <c r="P266" t="s">
        <v>19</v>
      </c>
      <c r="Q266" t="s">
        <v>63</v>
      </c>
      <c r="R266" s="6" t="s">
        <v>21</v>
      </c>
    </row>
    <row r="267" spans="1:18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 s="17"/>
      <c r="I267">
        <v>32</v>
      </c>
      <c r="J267" s="6">
        <v>44034</v>
      </c>
      <c r="K267" s="8">
        <v>192749</v>
      </c>
      <c r="L267" s="1">
        <v>0.31</v>
      </c>
      <c r="M267" s="8">
        <f>TBL_Employees[[#This Row],[Annual Salary]]*TBL_Employees[[#This Row],[Bonus %]]</f>
        <v>59752.19</v>
      </c>
      <c r="N267" s="8">
        <f>SUM(TBL_Employees[[#This Row],[Annual Salary]],TBL_Employees[[#This Row],[TOTAL BONUS]])</f>
        <v>252501.19</v>
      </c>
      <c r="O267" s="8">
        <f>TBL_Employees[[#This Row],[Annual Salary]]*TBL_Employees[[#This Row],[Bonus %]]/100+TBL_Employees[[#This Row],[Annual Salary]]</f>
        <v>193346.52189999999</v>
      </c>
      <c r="P267" t="s">
        <v>19</v>
      </c>
      <c r="Q267" t="s">
        <v>20</v>
      </c>
      <c r="R267" s="6" t="s">
        <v>21</v>
      </c>
    </row>
    <row r="268" spans="1:18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 s="17"/>
      <c r="I268">
        <v>39</v>
      </c>
      <c r="J268" s="6">
        <v>42819</v>
      </c>
      <c r="K268" s="8">
        <v>135325</v>
      </c>
      <c r="L268" s="1">
        <v>0.14000000000000001</v>
      </c>
      <c r="M268" s="8">
        <f>TBL_Employees[[#This Row],[Annual Salary]]*TBL_Employees[[#This Row],[Bonus %]]</f>
        <v>18945.5</v>
      </c>
      <c r="N268" s="8">
        <f>SUM(TBL_Employees[[#This Row],[Annual Salary]],TBL_Employees[[#This Row],[TOTAL BONUS]])</f>
        <v>154270.5</v>
      </c>
      <c r="O268" s="8">
        <f>TBL_Employees[[#This Row],[Annual Salary]]*TBL_Employees[[#This Row],[Bonus %]]/100+TBL_Employees[[#This Row],[Annual Salary]]</f>
        <v>135514.45499999999</v>
      </c>
      <c r="P268" t="s">
        <v>19</v>
      </c>
      <c r="Q268" t="s">
        <v>39</v>
      </c>
      <c r="R268" s="6" t="s">
        <v>21</v>
      </c>
    </row>
    <row r="269" spans="1:18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 s="17"/>
      <c r="I269">
        <v>26</v>
      </c>
      <c r="J269" s="6">
        <v>43752</v>
      </c>
      <c r="K269" s="8">
        <v>79356</v>
      </c>
      <c r="L269" s="1">
        <v>0</v>
      </c>
      <c r="M269" s="8">
        <f>TBL_Employees[[#This Row],[Annual Salary]]*TBL_Employees[[#This Row],[Bonus %]]</f>
        <v>0</v>
      </c>
      <c r="N269" s="8">
        <f>SUM(TBL_Employees[[#This Row],[Annual Salary]],TBL_Employees[[#This Row],[TOTAL BONUS]])</f>
        <v>79356</v>
      </c>
      <c r="O269" s="8">
        <f>TBL_Employees[[#This Row],[Annual Salary]]*TBL_Employees[[#This Row],[Bonus %]]/100+TBL_Employees[[#This Row],[Annual Salary]]</f>
        <v>79356</v>
      </c>
      <c r="P269" t="s">
        <v>19</v>
      </c>
      <c r="Q269" t="s">
        <v>39</v>
      </c>
      <c r="R269" s="6" t="s">
        <v>21</v>
      </c>
    </row>
    <row r="270" spans="1:18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 s="17"/>
      <c r="I270">
        <v>40</v>
      </c>
      <c r="J270" s="6">
        <v>38540</v>
      </c>
      <c r="K270" s="8">
        <v>74412</v>
      </c>
      <c r="L270" s="1">
        <v>0</v>
      </c>
      <c r="M270" s="8">
        <f>TBL_Employees[[#This Row],[Annual Salary]]*TBL_Employees[[#This Row],[Bonus %]]</f>
        <v>0</v>
      </c>
      <c r="N270" s="8">
        <f>SUM(TBL_Employees[[#This Row],[Annual Salary]],TBL_Employees[[#This Row],[TOTAL BONUS]])</f>
        <v>74412</v>
      </c>
      <c r="O270" s="8">
        <f>TBL_Employees[[#This Row],[Annual Salary]]*TBL_Employees[[#This Row],[Bonus %]]/100+TBL_Employees[[#This Row],[Annual Salary]]</f>
        <v>74412</v>
      </c>
      <c r="P270" t="s">
        <v>19</v>
      </c>
      <c r="Q270" t="s">
        <v>63</v>
      </c>
      <c r="R270" s="6" t="s">
        <v>21</v>
      </c>
    </row>
    <row r="271" spans="1:18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 s="17"/>
      <c r="I271">
        <v>32</v>
      </c>
      <c r="J271" s="6">
        <v>43010</v>
      </c>
      <c r="K271" s="8">
        <v>61886</v>
      </c>
      <c r="L271" s="1">
        <v>0.09</v>
      </c>
      <c r="M271" s="8">
        <f>TBL_Employees[[#This Row],[Annual Salary]]*TBL_Employees[[#This Row],[Bonus %]]</f>
        <v>5569.74</v>
      </c>
      <c r="N271" s="8">
        <f>SUM(TBL_Employees[[#This Row],[Annual Salary]],TBL_Employees[[#This Row],[TOTAL BONUS]])</f>
        <v>67455.740000000005</v>
      </c>
      <c r="O271" s="8">
        <f>TBL_Employees[[#This Row],[Annual Salary]]*TBL_Employees[[#This Row],[Bonus %]]/100+TBL_Employees[[#This Row],[Annual Salary]]</f>
        <v>61941.697399999997</v>
      </c>
      <c r="P271" t="s">
        <v>52</v>
      </c>
      <c r="Q271" t="s">
        <v>66</v>
      </c>
      <c r="R271" s="6" t="s">
        <v>21</v>
      </c>
    </row>
    <row r="272" spans="1:18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 s="17"/>
      <c r="I272">
        <v>58</v>
      </c>
      <c r="J272" s="6">
        <v>37755</v>
      </c>
      <c r="K272" s="8">
        <v>173071</v>
      </c>
      <c r="L272" s="1">
        <v>0.28999999999999998</v>
      </c>
      <c r="M272" s="8">
        <f>TBL_Employees[[#This Row],[Annual Salary]]*TBL_Employees[[#This Row],[Bonus %]]</f>
        <v>50190.59</v>
      </c>
      <c r="N272" s="8">
        <f>SUM(TBL_Employees[[#This Row],[Annual Salary]],TBL_Employees[[#This Row],[TOTAL BONUS]])</f>
        <v>223261.59</v>
      </c>
      <c r="O272" s="8">
        <f>TBL_Employees[[#This Row],[Annual Salary]]*TBL_Employees[[#This Row],[Bonus %]]/100+TBL_Employees[[#This Row],[Annual Salary]]</f>
        <v>173572.90590000001</v>
      </c>
      <c r="P272" t="s">
        <v>19</v>
      </c>
      <c r="Q272" t="s">
        <v>29</v>
      </c>
      <c r="R272" s="6" t="s">
        <v>21</v>
      </c>
    </row>
    <row r="273" spans="1:18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 s="17"/>
      <c r="I273">
        <v>58</v>
      </c>
      <c r="J273" s="6">
        <v>34999</v>
      </c>
      <c r="K273" s="8">
        <v>70189</v>
      </c>
      <c r="L273" s="1">
        <v>0</v>
      </c>
      <c r="M273" s="8">
        <f>TBL_Employees[[#This Row],[Annual Salary]]*TBL_Employees[[#This Row],[Bonus %]]</f>
        <v>0</v>
      </c>
      <c r="N273" s="8">
        <f>SUM(TBL_Employees[[#This Row],[Annual Salary]],TBL_Employees[[#This Row],[TOTAL BONUS]])</f>
        <v>70189</v>
      </c>
      <c r="O273" s="8">
        <f>TBL_Employees[[#This Row],[Annual Salary]]*TBL_Employees[[#This Row],[Bonus %]]/100+TBL_Employees[[#This Row],[Annual Salary]]</f>
        <v>70189</v>
      </c>
      <c r="P273" t="s">
        <v>19</v>
      </c>
      <c r="Q273" t="s">
        <v>29</v>
      </c>
      <c r="R273" s="6" t="s">
        <v>21</v>
      </c>
    </row>
    <row r="274" spans="1:18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 s="17"/>
      <c r="I274">
        <v>42</v>
      </c>
      <c r="J274" s="6">
        <v>41528</v>
      </c>
      <c r="K274" s="8">
        <v>181452</v>
      </c>
      <c r="L274" s="1">
        <v>0.3</v>
      </c>
      <c r="M274" s="8">
        <f>TBL_Employees[[#This Row],[Annual Salary]]*TBL_Employees[[#This Row],[Bonus %]]</f>
        <v>54435.6</v>
      </c>
      <c r="N274" s="8">
        <f>SUM(TBL_Employees[[#This Row],[Annual Salary]],TBL_Employees[[#This Row],[TOTAL BONUS]])</f>
        <v>235887.6</v>
      </c>
      <c r="O274" s="8">
        <f>TBL_Employees[[#This Row],[Annual Salary]]*TBL_Employees[[#This Row],[Bonus %]]/100+TBL_Employees[[#This Row],[Annual Salary]]</f>
        <v>181996.356</v>
      </c>
      <c r="P274" t="s">
        <v>19</v>
      </c>
      <c r="Q274" t="s">
        <v>29</v>
      </c>
      <c r="R274" s="6" t="s">
        <v>21</v>
      </c>
    </row>
    <row r="275" spans="1:18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 s="17"/>
      <c r="I275">
        <v>26</v>
      </c>
      <c r="J275" s="6">
        <v>44267</v>
      </c>
      <c r="K275" s="8">
        <v>70369</v>
      </c>
      <c r="L275" s="1">
        <v>0</v>
      </c>
      <c r="M275" s="8">
        <f>TBL_Employees[[#This Row],[Annual Salary]]*TBL_Employees[[#This Row],[Bonus %]]</f>
        <v>0</v>
      </c>
      <c r="N275" s="8">
        <f>SUM(TBL_Employees[[#This Row],[Annual Salary]],TBL_Employees[[#This Row],[TOTAL BONUS]])</f>
        <v>70369</v>
      </c>
      <c r="O275" s="8">
        <f>TBL_Employees[[#This Row],[Annual Salary]]*TBL_Employees[[#This Row],[Bonus %]]/100+TBL_Employees[[#This Row],[Annual Salary]]</f>
        <v>70369</v>
      </c>
      <c r="P275" t="s">
        <v>19</v>
      </c>
      <c r="Q275" t="s">
        <v>63</v>
      </c>
      <c r="R275" s="6" t="s">
        <v>21</v>
      </c>
    </row>
    <row r="276" spans="1:18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 s="17"/>
      <c r="I276">
        <v>38</v>
      </c>
      <c r="J276" s="6">
        <v>39634</v>
      </c>
      <c r="K276" s="8">
        <v>78056</v>
      </c>
      <c r="L276" s="1">
        <v>0</v>
      </c>
      <c r="M276" s="8">
        <f>TBL_Employees[[#This Row],[Annual Salary]]*TBL_Employees[[#This Row],[Bonus %]]</f>
        <v>0</v>
      </c>
      <c r="N276" s="8">
        <f>SUM(TBL_Employees[[#This Row],[Annual Salary]],TBL_Employees[[#This Row],[TOTAL BONUS]])</f>
        <v>78056</v>
      </c>
      <c r="O276" s="8">
        <f>TBL_Employees[[#This Row],[Annual Salary]]*TBL_Employees[[#This Row],[Bonus %]]/100+TBL_Employees[[#This Row],[Annual Salary]]</f>
        <v>78056</v>
      </c>
      <c r="P276" t="s">
        <v>52</v>
      </c>
      <c r="Q276" t="s">
        <v>53</v>
      </c>
      <c r="R276" s="6" t="s">
        <v>21</v>
      </c>
    </row>
    <row r="277" spans="1:18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 s="17"/>
      <c r="I277">
        <v>64</v>
      </c>
      <c r="J277" s="6">
        <v>35187</v>
      </c>
      <c r="K277" s="8">
        <v>189933</v>
      </c>
      <c r="L277" s="1">
        <v>0.23</v>
      </c>
      <c r="M277" s="8">
        <f>TBL_Employees[[#This Row],[Annual Salary]]*TBL_Employees[[#This Row],[Bonus %]]</f>
        <v>43684.590000000004</v>
      </c>
      <c r="N277" s="8">
        <f>SUM(TBL_Employees[[#This Row],[Annual Salary]],TBL_Employees[[#This Row],[TOTAL BONUS]])</f>
        <v>233617.59</v>
      </c>
      <c r="O277" s="8">
        <f>TBL_Employees[[#This Row],[Annual Salary]]*TBL_Employees[[#This Row],[Bonus %]]/100+TBL_Employees[[#This Row],[Annual Salary]]</f>
        <v>190369.84589999999</v>
      </c>
      <c r="P277" t="s">
        <v>19</v>
      </c>
      <c r="Q277" t="s">
        <v>45</v>
      </c>
      <c r="R277" s="6" t="s">
        <v>21</v>
      </c>
    </row>
    <row r="278" spans="1:18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 s="17"/>
      <c r="I278">
        <v>38</v>
      </c>
      <c r="J278" s="6">
        <v>40360</v>
      </c>
      <c r="K278" s="8">
        <v>78237</v>
      </c>
      <c r="L278" s="1">
        <v>0</v>
      </c>
      <c r="M278" s="8">
        <f>TBL_Employees[[#This Row],[Annual Salary]]*TBL_Employees[[#This Row],[Bonus %]]</f>
        <v>0</v>
      </c>
      <c r="N278" s="8">
        <f>SUM(TBL_Employees[[#This Row],[Annual Salary]],TBL_Employees[[#This Row],[TOTAL BONUS]])</f>
        <v>78237</v>
      </c>
      <c r="O278" s="8">
        <f>TBL_Employees[[#This Row],[Annual Salary]]*TBL_Employees[[#This Row],[Bonus %]]/100+TBL_Employees[[#This Row],[Annual Salary]]</f>
        <v>78237</v>
      </c>
      <c r="P278" t="s">
        <v>19</v>
      </c>
      <c r="Q278" t="s">
        <v>39</v>
      </c>
      <c r="R278" s="6" t="s">
        <v>21</v>
      </c>
    </row>
    <row r="279" spans="1:18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 s="17"/>
      <c r="I279">
        <v>55</v>
      </c>
      <c r="J279" s="6">
        <v>35242</v>
      </c>
      <c r="K279" s="8">
        <v>48687</v>
      </c>
      <c r="L279" s="1">
        <v>0</v>
      </c>
      <c r="M279" s="8">
        <f>TBL_Employees[[#This Row],[Annual Salary]]*TBL_Employees[[#This Row],[Bonus %]]</f>
        <v>0</v>
      </c>
      <c r="N279" s="8">
        <f>SUM(TBL_Employees[[#This Row],[Annual Salary]],TBL_Employees[[#This Row],[TOTAL BONUS]])</f>
        <v>48687</v>
      </c>
      <c r="O279" s="8">
        <f>TBL_Employees[[#This Row],[Annual Salary]]*TBL_Employees[[#This Row],[Bonus %]]/100+TBL_Employees[[#This Row],[Annual Salary]]</f>
        <v>48687</v>
      </c>
      <c r="P279" t="s">
        <v>52</v>
      </c>
      <c r="Q279" t="s">
        <v>66</v>
      </c>
      <c r="R279" s="6" t="s">
        <v>21</v>
      </c>
    </row>
    <row r="280" spans="1:18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 s="17"/>
      <c r="I280">
        <v>45</v>
      </c>
      <c r="J280" s="6">
        <v>38218</v>
      </c>
      <c r="K280" s="8">
        <v>121065</v>
      </c>
      <c r="L280" s="1">
        <v>0.15</v>
      </c>
      <c r="M280" s="8">
        <f>TBL_Employees[[#This Row],[Annual Salary]]*TBL_Employees[[#This Row],[Bonus %]]</f>
        <v>18159.75</v>
      </c>
      <c r="N280" s="8">
        <f>SUM(TBL_Employees[[#This Row],[Annual Salary]],TBL_Employees[[#This Row],[TOTAL BONUS]])</f>
        <v>139224.75</v>
      </c>
      <c r="O280" s="8">
        <f>TBL_Employees[[#This Row],[Annual Salary]]*TBL_Employees[[#This Row],[Bonus %]]/100+TBL_Employees[[#This Row],[Annual Salary]]</f>
        <v>121246.5975</v>
      </c>
      <c r="P280" t="s">
        <v>52</v>
      </c>
      <c r="Q280" t="s">
        <v>66</v>
      </c>
      <c r="R280" s="6" t="s">
        <v>21</v>
      </c>
    </row>
    <row r="281" spans="1:18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 s="17"/>
      <c r="I281">
        <v>43</v>
      </c>
      <c r="J281" s="6">
        <v>38093</v>
      </c>
      <c r="K281" s="8">
        <v>94246</v>
      </c>
      <c r="L281" s="1">
        <v>0</v>
      </c>
      <c r="M281" s="8">
        <f>TBL_Employees[[#This Row],[Annual Salary]]*TBL_Employees[[#This Row],[Bonus %]]</f>
        <v>0</v>
      </c>
      <c r="N281" s="8">
        <f>SUM(TBL_Employees[[#This Row],[Annual Salary]],TBL_Employees[[#This Row],[TOTAL BONUS]])</f>
        <v>94246</v>
      </c>
      <c r="O281" s="8">
        <f>TBL_Employees[[#This Row],[Annual Salary]]*TBL_Employees[[#This Row],[Bonus %]]/100+TBL_Employees[[#This Row],[Annual Salary]]</f>
        <v>94246</v>
      </c>
      <c r="P281" t="s">
        <v>19</v>
      </c>
      <c r="Q281" t="s">
        <v>25</v>
      </c>
      <c r="R281" s="6" t="s">
        <v>21</v>
      </c>
    </row>
    <row r="282" spans="1:18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 s="17"/>
      <c r="I282">
        <v>34</v>
      </c>
      <c r="J282" s="6">
        <v>42512</v>
      </c>
      <c r="K282" s="8">
        <v>44614</v>
      </c>
      <c r="L282" s="1">
        <v>0</v>
      </c>
      <c r="M282" s="8">
        <f>TBL_Employees[[#This Row],[Annual Salary]]*TBL_Employees[[#This Row],[Bonus %]]</f>
        <v>0</v>
      </c>
      <c r="N282" s="8">
        <f>SUM(TBL_Employees[[#This Row],[Annual Salary]],TBL_Employees[[#This Row],[TOTAL BONUS]])</f>
        <v>44614</v>
      </c>
      <c r="O282" s="8">
        <f>TBL_Employees[[#This Row],[Annual Salary]]*TBL_Employees[[#This Row],[Bonus %]]/100+TBL_Employees[[#This Row],[Annual Salary]]</f>
        <v>44614</v>
      </c>
      <c r="P282" t="s">
        <v>19</v>
      </c>
      <c r="Q282" t="s">
        <v>45</v>
      </c>
      <c r="R282" s="6" t="s">
        <v>21</v>
      </c>
    </row>
    <row r="283" spans="1:18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 s="17"/>
      <c r="I283">
        <v>40</v>
      </c>
      <c r="J283" s="6">
        <v>44143</v>
      </c>
      <c r="K283" s="8">
        <v>234469</v>
      </c>
      <c r="L283" s="1">
        <v>0.31</v>
      </c>
      <c r="M283" s="8">
        <f>TBL_Employees[[#This Row],[Annual Salary]]*TBL_Employees[[#This Row],[Bonus %]]</f>
        <v>72685.39</v>
      </c>
      <c r="N283" s="8">
        <f>SUM(TBL_Employees[[#This Row],[Annual Salary]],TBL_Employees[[#This Row],[TOTAL BONUS]])</f>
        <v>307154.39</v>
      </c>
      <c r="O283" s="8">
        <f>TBL_Employees[[#This Row],[Annual Salary]]*TBL_Employees[[#This Row],[Bonus %]]/100+TBL_Employees[[#This Row],[Annual Salary]]</f>
        <v>235195.85389999999</v>
      </c>
      <c r="P283" t="s">
        <v>33</v>
      </c>
      <c r="Q283" t="s">
        <v>34</v>
      </c>
      <c r="R283" s="6" t="s">
        <v>21</v>
      </c>
    </row>
    <row r="284" spans="1:18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 s="17"/>
      <c r="I284">
        <v>52</v>
      </c>
      <c r="J284" s="6">
        <v>44022</v>
      </c>
      <c r="K284" s="8">
        <v>88272</v>
      </c>
      <c r="L284" s="1">
        <v>0</v>
      </c>
      <c r="M284" s="8">
        <f>TBL_Employees[[#This Row],[Annual Salary]]*TBL_Employees[[#This Row],[Bonus %]]</f>
        <v>0</v>
      </c>
      <c r="N284" s="8">
        <f>SUM(TBL_Employees[[#This Row],[Annual Salary]],TBL_Employees[[#This Row],[TOTAL BONUS]])</f>
        <v>88272</v>
      </c>
      <c r="O284" s="8">
        <f>TBL_Employees[[#This Row],[Annual Salary]]*TBL_Employees[[#This Row],[Bonus %]]/100+TBL_Employees[[#This Row],[Annual Salary]]</f>
        <v>88272</v>
      </c>
      <c r="P284" t="s">
        <v>52</v>
      </c>
      <c r="Q284" t="s">
        <v>53</v>
      </c>
      <c r="R284" s="6" t="s">
        <v>21</v>
      </c>
    </row>
    <row r="285" spans="1:18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 s="17"/>
      <c r="I285">
        <v>52</v>
      </c>
      <c r="J285" s="6">
        <v>42992</v>
      </c>
      <c r="K285" s="8">
        <v>74449</v>
      </c>
      <c r="L285" s="1">
        <v>0</v>
      </c>
      <c r="M285" s="8">
        <f>TBL_Employees[[#This Row],[Annual Salary]]*TBL_Employees[[#This Row],[Bonus %]]</f>
        <v>0</v>
      </c>
      <c r="N285" s="8">
        <f>SUM(TBL_Employees[[#This Row],[Annual Salary]],TBL_Employees[[#This Row],[TOTAL BONUS]])</f>
        <v>74449</v>
      </c>
      <c r="O285" s="8">
        <f>TBL_Employees[[#This Row],[Annual Salary]]*TBL_Employees[[#This Row],[Bonus %]]/100+TBL_Employees[[#This Row],[Annual Salary]]</f>
        <v>74449</v>
      </c>
      <c r="P285" t="s">
        <v>33</v>
      </c>
      <c r="Q285" t="s">
        <v>60</v>
      </c>
      <c r="R285" s="6" t="s">
        <v>21</v>
      </c>
    </row>
    <row r="286" spans="1:18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 s="17"/>
      <c r="I286">
        <v>47</v>
      </c>
      <c r="J286" s="6">
        <v>41071</v>
      </c>
      <c r="K286" s="8">
        <v>222941</v>
      </c>
      <c r="L286" s="1">
        <v>0.39</v>
      </c>
      <c r="M286" s="8">
        <f>TBL_Employees[[#This Row],[Annual Salary]]*TBL_Employees[[#This Row],[Bonus %]]</f>
        <v>86946.99</v>
      </c>
      <c r="N286" s="8">
        <f>SUM(TBL_Employees[[#This Row],[Annual Salary]],TBL_Employees[[#This Row],[TOTAL BONUS]])</f>
        <v>309887.99</v>
      </c>
      <c r="O286" s="8">
        <f>TBL_Employees[[#This Row],[Annual Salary]]*TBL_Employees[[#This Row],[Bonus %]]/100+TBL_Employees[[#This Row],[Annual Salary]]</f>
        <v>223810.4699</v>
      </c>
      <c r="P286" t="s">
        <v>33</v>
      </c>
      <c r="Q286" t="s">
        <v>60</v>
      </c>
      <c r="R286" s="6" t="s">
        <v>21</v>
      </c>
    </row>
    <row r="287" spans="1:18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 s="17"/>
      <c r="I287">
        <v>65</v>
      </c>
      <c r="J287" s="6">
        <v>41543</v>
      </c>
      <c r="K287" s="8">
        <v>50341</v>
      </c>
      <c r="L287" s="1">
        <v>0</v>
      </c>
      <c r="M287" s="8">
        <f>TBL_Employees[[#This Row],[Annual Salary]]*TBL_Employees[[#This Row],[Bonus %]]</f>
        <v>0</v>
      </c>
      <c r="N287" s="8">
        <f>SUM(TBL_Employees[[#This Row],[Annual Salary]],TBL_Employees[[#This Row],[TOTAL BONUS]])</f>
        <v>50341</v>
      </c>
      <c r="O287" s="8">
        <f>TBL_Employees[[#This Row],[Annual Salary]]*TBL_Employees[[#This Row],[Bonus %]]/100+TBL_Employees[[#This Row],[Annual Salary]]</f>
        <v>50341</v>
      </c>
      <c r="P287" t="s">
        <v>33</v>
      </c>
      <c r="Q287" t="s">
        <v>60</v>
      </c>
      <c r="R287" s="6" t="s">
        <v>21</v>
      </c>
    </row>
    <row r="288" spans="1:18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 s="17"/>
      <c r="I288">
        <v>31</v>
      </c>
      <c r="J288" s="6">
        <v>44297</v>
      </c>
      <c r="K288" s="8">
        <v>72235</v>
      </c>
      <c r="L288" s="1">
        <v>0</v>
      </c>
      <c r="M288" s="8">
        <f>TBL_Employees[[#This Row],[Annual Salary]]*TBL_Employees[[#This Row],[Bonus %]]</f>
        <v>0</v>
      </c>
      <c r="N288" s="8">
        <f>SUM(TBL_Employees[[#This Row],[Annual Salary]],TBL_Employees[[#This Row],[TOTAL BONUS]])</f>
        <v>72235</v>
      </c>
      <c r="O288" s="8">
        <f>TBL_Employees[[#This Row],[Annual Salary]]*TBL_Employees[[#This Row],[Bonus %]]/100+TBL_Employees[[#This Row],[Annual Salary]]</f>
        <v>72235</v>
      </c>
      <c r="P288" t="s">
        <v>52</v>
      </c>
      <c r="Q288" t="s">
        <v>81</v>
      </c>
      <c r="R288" s="6" t="s">
        <v>21</v>
      </c>
    </row>
    <row r="289" spans="1:18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 s="17"/>
      <c r="I289">
        <v>41</v>
      </c>
      <c r="J289" s="6">
        <v>42533</v>
      </c>
      <c r="K289" s="8">
        <v>70165</v>
      </c>
      <c r="L289" s="1">
        <v>0</v>
      </c>
      <c r="M289" s="8">
        <f>TBL_Employees[[#This Row],[Annual Salary]]*TBL_Employees[[#This Row],[Bonus %]]</f>
        <v>0</v>
      </c>
      <c r="N289" s="8">
        <f>SUM(TBL_Employees[[#This Row],[Annual Salary]],TBL_Employees[[#This Row],[TOTAL BONUS]])</f>
        <v>70165</v>
      </c>
      <c r="O289" s="8">
        <f>TBL_Employees[[#This Row],[Annual Salary]]*TBL_Employees[[#This Row],[Bonus %]]/100+TBL_Employees[[#This Row],[Annual Salary]]</f>
        <v>70165</v>
      </c>
      <c r="P289" t="s">
        <v>19</v>
      </c>
      <c r="Q289" t="s">
        <v>29</v>
      </c>
      <c r="R289" s="6" t="s">
        <v>21</v>
      </c>
    </row>
    <row r="290" spans="1:18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 s="17"/>
      <c r="I290">
        <v>30</v>
      </c>
      <c r="J290" s="6">
        <v>44030</v>
      </c>
      <c r="K290" s="8">
        <v>148485</v>
      </c>
      <c r="L290" s="1">
        <v>0.15</v>
      </c>
      <c r="M290" s="8">
        <f>TBL_Employees[[#This Row],[Annual Salary]]*TBL_Employees[[#This Row],[Bonus %]]</f>
        <v>22272.75</v>
      </c>
      <c r="N290" s="8">
        <f>SUM(TBL_Employees[[#This Row],[Annual Salary]],TBL_Employees[[#This Row],[TOTAL BONUS]])</f>
        <v>170757.75</v>
      </c>
      <c r="O290" s="8">
        <f>TBL_Employees[[#This Row],[Annual Salary]]*TBL_Employees[[#This Row],[Bonus %]]/100+TBL_Employees[[#This Row],[Annual Salary]]</f>
        <v>148707.72750000001</v>
      </c>
      <c r="P290" t="s">
        <v>19</v>
      </c>
      <c r="Q290" t="s">
        <v>45</v>
      </c>
      <c r="R290" s="6" t="s">
        <v>21</v>
      </c>
    </row>
    <row r="291" spans="1:18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 s="17"/>
      <c r="I291">
        <v>58</v>
      </c>
      <c r="J291" s="6">
        <v>38521</v>
      </c>
      <c r="K291" s="8">
        <v>86089</v>
      </c>
      <c r="L291" s="1">
        <v>0</v>
      </c>
      <c r="M291" s="8">
        <f>TBL_Employees[[#This Row],[Annual Salary]]*TBL_Employees[[#This Row],[Bonus %]]</f>
        <v>0</v>
      </c>
      <c r="N291" s="8">
        <f>SUM(TBL_Employees[[#This Row],[Annual Salary]],TBL_Employees[[#This Row],[TOTAL BONUS]])</f>
        <v>86089</v>
      </c>
      <c r="O291" s="8">
        <f>TBL_Employees[[#This Row],[Annual Salary]]*TBL_Employees[[#This Row],[Bonus %]]/100+TBL_Employees[[#This Row],[Annual Salary]]</f>
        <v>86089</v>
      </c>
      <c r="P291" t="s">
        <v>19</v>
      </c>
      <c r="Q291" t="s">
        <v>20</v>
      </c>
      <c r="R291" s="6" t="s">
        <v>21</v>
      </c>
    </row>
    <row r="292" spans="1:18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 s="17"/>
      <c r="I292">
        <v>54</v>
      </c>
      <c r="J292" s="6">
        <v>39382</v>
      </c>
      <c r="K292" s="8">
        <v>106313</v>
      </c>
      <c r="L292" s="1">
        <v>0.15</v>
      </c>
      <c r="M292" s="8">
        <f>TBL_Employees[[#This Row],[Annual Salary]]*TBL_Employees[[#This Row],[Bonus %]]</f>
        <v>15946.949999999999</v>
      </c>
      <c r="N292" s="8">
        <f>SUM(TBL_Employees[[#This Row],[Annual Salary]],TBL_Employees[[#This Row],[TOTAL BONUS]])</f>
        <v>122259.95</v>
      </c>
      <c r="O292" s="8">
        <f>TBL_Employees[[#This Row],[Annual Salary]]*TBL_Employees[[#This Row],[Bonus %]]/100+TBL_Employees[[#This Row],[Annual Salary]]</f>
        <v>106472.46950000001</v>
      </c>
      <c r="P292" t="s">
        <v>19</v>
      </c>
      <c r="Q292" t="s">
        <v>20</v>
      </c>
      <c r="R292" s="6" t="s">
        <v>21</v>
      </c>
    </row>
    <row r="293" spans="1:18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 s="17"/>
      <c r="I293">
        <v>40</v>
      </c>
      <c r="J293" s="6">
        <v>44251</v>
      </c>
      <c r="K293" s="8">
        <v>46833</v>
      </c>
      <c r="L293" s="1">
        <v>0</v>
      </c>
      <c r="M293" s="8">
        <f>TBL_Employees[[#This Row],[Annual Salary]]*TBL_Employees[[#This Row],[Bonus %]]</f>
        <v>0</v>
      </c>
      <c r="N293" s="8">
        <f>SUM(TBL_Employees[[#This Row],[Annual Salary]],TBL_Employees[[#This Row],[TOTAL BONUS]])</f>
        <v>46833</v>
      </c>
      <c r="O293" s="8">
        <f>TBL_Employees[[#This Row],[Annual Salary]]*TBL_Employees[[#This Row],[Bonus %]]/100+TBL_Employees[[#This Row],[Annual Salary]]</f>
        <v>46833</v>
      </c>
      <c r="P293" t="s">
        <v>33</v>
      </c>
      <c r="Q293" t="s">
        <v>34</v>
      </c>
      <c r="R293" s="6">
        <v>44510</v>
      </c>
    </row>
    <row r="294" spans="1:18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 s="17"/>
      <c r="I294">
        <v>63</v>
      </c>
      <c r="J294" s="6">
        <v>36826</v>
      </c>
      <c r="K294" s="8">
        <v>155320</v>
      </c>
      <c r="L294" s="1">
        <v>0.17</v>
      </c>
      <c r="M294" s="8">
        <f>TBL_Employees[[#This Row],[Annual Salary]]*TBL_Employees[[#This Row],[Bonus %]]</f>
        <v>26404.400000000001</v>
      </c>
      <c r="N294" s="8">
        <f>SUM(TBL_Employees[[#This Row],[Annual Salary]],TBL_Employees[[#This Row],[TOTAL BONUS]])</f>
        <v>181724.4</v>
      </c>
      <c r="O294" s="8">
        <f>TBL_Employees[[#This Row],[Annual Salary]]*TBL_Employees[[#This Row],[Bonus %]]/100+TBL_Employees[[#This Row],[Annual Salary]]</f>
        <v>155584.04399999999</v>
      </c>
      <c r="P294" t="s">
        <v>33</v>
      </c>
      <c r="Q294" t="s">
        <v>80</v>
      </c>
      <c r="R294" s="6" t="s">
        <v>21</v>
      </c>
    </row>
    <row r="295" spans="1:18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 s="17"/>
      <c r="I295">
        <v>40</v>
      </c>
      <c r="J295" s="6">
        <v>42384</v>
      </c>
      <c r="K295" s="8">
        <v>89984</v>
      </c>
      <c r="L295" s="1">
        <v>0</v>
      </c>
      <c r="M295" s="8">
        <f>TBL_Employees[[#This Row],[Annual Salary]]*TBL_Employees[[#This Row],[Bonus %]]</f>
        <v>0</v>
      </c>
      <c r="N295" s="8">
        <f>SUM(TBL_Employees[[#This Row],[Annual Salary]],TBL_Employees[[#This Row],[TOTAL BONUS]])</f>
        <v>89984</v>
      </c>
      <c r="O295" s="8">
        <f>TBL_Employees[[#This Row],[Annual Salary]]*TBL_Employees[[#This Row],[Bonus %]]/100+TBL_Employees[[#This Row],[Annual Salary]]</f>
        <v>89984</v>
      </c>
      <c r="P295" t="s">
        <v>33</v>
      </c>
      <c r="Q295" t="s">
        <v>34</v>
      </c>
      <c r="R295" s="6" t="s">
        <v>21</v>
      </c>
    </row>
    <row r="296" spans="1:18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 s="17"/>
      <c r="I296">
        <v>65</v>
      </c>
      <c r="J296" s="6">
        <v>38792</v>
      </c>
      <c r="K296" s="8">
        <v>83756</v>
      </c>
      <c r="L296" s="1">
        <v>0.14000000000000001</v>
      </c>
      <c r="M296" s="8">
        <f>TBL_Employees[[#This Row],[Annual Salary]]*TBL_Employees[[#This Row],[Bonus %]]</f>
        <v>11725.840000000002</v>
      </c>
      <c r="N296" s="8">
        <f>SUM(TBL_Employees[[#This Row],[Annual Salary]],TBL_Employees[[#This Row],[TOTAL BONUS]])</f>
        <v>95481.84</v>
      </c>
      <c r="O296" s="8">
        <f>TBL_Employees[[#This Row],[Annual Salary]]*TBL_Employees[[#This Row],[Bonus %]]/100+TBL_Employees[[#This Row],[Annual Salary]]</f>
        <v>83873.258400000006</v>
      </c>
      <c r="P296" t="s">
        <v>33</v>
      </c>
      <c r="Q296" t="s">
        <v>74</v>
      </c>
      <c r="R296" s="6" t="s">
        <v>21</v>
      </c>
    </row>
    <row r="297" spans="1:18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 s="17"/>
      <c r="I297">
        <v>57</v>
      </c>
      <c r="J297" s="6">
        <v>42667</v>
      </c>
      <c r="K297" s="8">
        <v>176324</v>
      </c>
      <c r="L297" s="1">
        <v>0.23</v>
      </c>
      <c r="M297" s="8">
        <f>TBL_Employees[[#This Row],[Annual Salary]]*TBL_Employees[[#This Row],[Bonus %]]</f>
        <v>40554.520000000004</v>
      </c>
      <c r="N297" s="8">
        <f>SUM(TBL_Employees[[#This Row],[Annual Salary]],TBL_Employees[[#This Row],[TOTAL BONUS]])</f>
        <v>216878.52000000002</v>
      </c>
      <c r="O297" s="8">
        <f>TBL_Employees[[#This Row],[Annual Salary]]*TBL_Employees[[#This Row],[Bonus %]]/100+TBL_Employees[[#This Row],[Annual Salary]]</f>
        <v>176729.54519999999</v>
      </c>
      <c r="P297" t="s">
        <v>33</v>
      </c>
      <c r="Q297" t="s">
        <v>74</v>
      </c>
      <c r="R297" s="6" t="s">
        <v>21</v>
      </c>
    </row>
    <row r="298" spans="1:18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 s="17"/>
      <c r="I298">
        <v>27</v>
      </c>
      <c r="J298" s="6">
        <v>44482</v>
      </c>
      <c r="K298" s="8">
        <v>74077</v>
      </c>
      <c r="L298" s="1">
        <v>0</v>
      </c>
      <c r="M298" s="8">
        <f>TBL_Employees[[#This Row],[Annual Salary]]*TBL_Employees[[#This Row],[Bonus %]]</f>
        <v>0</v>
      </c>
      <c r="N298" s="8">
        <f>SUM(TBL_Employees[[#This Row],[Annual Salary]],TBL_Employees[[#This Row],[TOTAL BONUS]])</f>
        <v>74077</v>
      </c>
      <c r="O298" s="8">
        <f>TBL_Employees[[#This Row],[Annual Salary]]*TBL_Employees[[#This Row],[Bonus %]]/100+TBL_Employees[[#This Row],[Annual Salary]]</f>
        <v>74077</v>
      </c>
      <c r="P298" t="s">
        <v>19</v>
      </c>
      <c r="Q298" t="s">
        <v>63</v>
      </c>
      <c r="R298" s="6" t="s">
        <v>21</v>
      </c>
    </row>
    <row r="299" spans="1:18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 s="17"/>
      <c r="I299">
        <v>31</v>
      </c>
      <c r="J299" s="6">
        <v>44214</v>
      </c>
      <c r="K299" s="8">
        <v>104162</v>
      </c>
      <c r="L299" s="1">
        <v>7.0000000000000007E-2</v>
      </c>
      <c r="M299" s="8">
        <f>TBL_Employees[[#This Row],[Annual Salary]]*TBL_Employees[[#This Row],[Bonus %]]</f>
        <v>7291.3400000000011</v>
      </c>
      <c r="N299" s="8">
        <f>SUM(TBL_Employees[[#This Row],[Annual Salary]],TBL_Employees[[#This Row],[TOTAL BONUS]])</f>
        <v>111453.34</v>
      </c>
      <c r="O299" s="8">
        <f>TBL_Employees[[#This Row],[Annual Salary]]*TBL_Employees[[#This Row],[Bonus %]]/100+TBL_Employees[[#This Row],[Annual Salary]]</f>
        <v>104234.9134</v>
      </c>
      <c r="P299" t="s">
        <v>19</v>
      </c>
      <c r="Q299" t="s">
        <v>25</v>
      </c>
      <c r="R299" s="6" t="s">
        <v>21</v>
      </c>
    </row>
    <row r="300" spans="1:18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 s="17"/>
      <c r="I300">
        <v>45</v>
      </c>
      <c r="J300" s="6">
        <v>40418</v>
      </c>
      <c r="K300" s="8">
        <v>82162</v>
      </c>
      <c r="L300" s="1">
        <v>0</v>
      </c>
      <c r="M300" s="8">
        <f>TBL_Employees[[#This Row],[Annual Salary]]*TBL_Employees[[#This Row],[Bonus %]]</f>
        <v>0</v>
      </c>
      <c r="N300" s="8">
        <f>SUM(TBL_Employees[[#This Row],[Annual Salary]],TBL_Employees[[#This Row],[TOTAL BONUS]])</f>
        <v>82162</v>
      </c>
      <c r="O300" s="8">
        <f>TBL_Employees[[#This Row],[Annual Salary]]*TBL_Employees[[#This Row],[Bonus %]]/100+TBL_Employees[[#This Row],[Annual Salary]]</f>
        <v>82162</v>
      </c>
      <c r="P300" t="s">
        <v>33</v>
      </c>
      <c r="Q300" t="s">
        <v>60</v>
      </c>
      <c r="R300" s="6">
        <v>44107</v>
      </c>
    </row>
    <row r="301" spans="1:18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 s="17"/>
      <c r="I301">
        <v>47</v>
      </c>
      <c r="J301" s="6">
        <v>42195</v>
      </c>
      <c r="K301" s="8">
        <v>63880</v>
      </c>
      <c r="L301" s="1">
        <v>0</v>
      </c>
      <c r="M301" s="8">
        <f>TBL_Employees[[#This Row],[Annual Salary]]*TBL_Employees[[#This Row],[Bonus %]]</f>
        <v>0</v>
      </c>
      <c r="N301" s="8">
        <f>SUM(TBL_Employees[[#This Row],[Annual Salary]],TBL_Employees[[#This Row],[TOTAL BONUS]])</f>
        <v>63880</v>
      </c>
      <c r="O301" s="8">
        <f>TBL_Employees[[#This Row],[Annual Salary]]*TBL_Employees[[#This Row],[Bonus %]]/100+TBL_Employees[[#This Row],[Annual Salary]]</f>
        <v>63880</v>
      </c>
      <c r="P301" t="s">
        <v>33</v>
      </c>
      <c r="Q301" t="s">
        <v>80</v>
      </c>
      <c r="R301" s="6" t="s">
        <v>21</v>
      </c>
    </row>
    <row r="302" spans="1:18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 s="17"/>
      <c r="I302">
        <v>55</v>
      </c>
      <c r="J302" s="6">
        <v>41525</v>
      </c>
      <c r="K302" s="8">
        <v>73248</v>
      </c>
      <c r="L302" s="1">
        <v>0</v>
      </c>
      <c r="M302" s="8">
        <f>TBL_Employees[[#This Row],[Annual Salary]]*TBL_Employees[[#This Row],[Bonus %]]</f>
        <v>0</v>
      </c>
      <c r="N302" s="8">
        <f>SUM(TBL_Employees[[#This Row],[Annual Salary]],TBL_Employees[[#This Row],[TOTAL BONUS]])</f>
        <v>73248</v>
      </c>
      <c r="O302" s="8">
        <f>TBL_Employees[[#This Row],[Annual Salary]]*TBL_Employees[[#This Row],[Bonus %]]/100+TBL_Employees[[#This Row],[Annual Salary]]</f>
        <v>73248</v>
      </c>
      <c r="P302" t="s">
        <v>19</v>
      </c>
      <c r="Q302" t="s">
        <v>29</v>
      </c>
      <c r="R302" s="6" t="s">
        <v>21</v>
      </c>
    </row>
    <row r="303" spans="1:18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 s="17"/>
      <c r="I303">
        <v>51</v>
      </c>
      <c r="J303" s="6">
        <v>44113</v>
      </c>
      <c r="K303" s="8">
        <v>91853</v>
      </c>
      <c r="L303" s="1">
        <v>0</v>
      </c>
      <c r="M303" s="8">
        <f>TBL_Employees[[#This Row],[Annual Salary]]*TBL_Employees[[#This Row],[Bonus %]]</f>
        <v>0</v>
      </c>
      <c r="N303" s="8">
        <f>SUM(TBL_Employees[[#This Row],[Annual Salary]],TBL_Employees[[#This Row],[TOTAL BONUS]])</f>
        <v>91853</v>
      </c>
      <c r="O303" s="8">
        <f>TBL_Employees[[#This Row],[Annual Salary]]*TBL_Employees[[#This Row],[Bonus %]]/100+TBL_Employees[[#This Row],[Annual Salary]]</f>
        <v>91853</v>
      </c>
      <c r="P303" t="s">
        <v>19</v>
      </c>
      <c r="Q303" t="s">
        <v>20</v>
      </c>
      <c r="R303" s="6" t="s">
        <v>21</v>
      </c>
    </row>
    <row r="304" spans="1:18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 s="17"/>
      <c r="I304">
        <v>25</v>
      </c>
      <c r="J304" s="6">
        <v>43844</v>
      </c>
      <c r="K304" s="8">
        <v>168014</v>
      </c>
      <c r="L304" s="1">
        <v>0.27</v>
      </c>
      <c r="M304" s="8">
        <f>TBL_Employees[[#This Row],[Annual Salary]]*TBL_Employees[[#This Row],[Bonus %]]</f>
        <v>45363.780000000006</v>
      </c>
      <c r="N304" s="8">
        <f>SUM(TBL_Employees[[#This Row],[Annual Salary]],TBL_Employees[[#This Row],[TOTAL BONUS]])</f>
        <v>213377.78</v>
      </c>
      <c r="O304" s="8">
        <f>TBL_Employees[[#This Row],[Annual Salary]]*TBL_Employees[[#This Row],[Bonus %]]/100+TBL_Employees[[#This Row],[Annual Salary]]</f>
        <v>168467.6378</v>
      </c>
      <c r="P304" t="s">
        <v>19</v>
      </c>
      <c r="Q304" t="s">
        <v>20</v>
      </c>
      <c r="R304" s="6">
        <v>44404</v>
      </c>
    </row>
    <row r="305" spans="1:18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 s="17"/>
      <c r="I305">
        <v>37</v>
      </c>
      <c r="J305" s="6">
        <v>42995</v>
      </c>
      <c r="K305" s="8">
        <v>70770</v>
      </c>
      <c r="L305" s="1">
        <v>0</v>
      </c>
      <c r="M305" s="8">
        <f>TBL_Employees[[#This Row],[Annual Salary]]*TBL_Employees[[#This Row],[Bonus %]]</f>
        <v>0</v>
      </c>
      <c r="N305" s="8">
        <f>SUM(TBL_Employees[[#This Row],[Annual Salary]],TBL_Employees[[#This Row],[TOTAL BONUS]])</f>
        <v>70770</v>
      </c>
      <c r="O305" s="8">
        <f>TBL_Employees[[#This Row],[Annual Salary]]*TBL_Employees[[#This Row],[Bonus %]]/100+TBL_Employees[[#This Row],[Annual Salary]]</f>
        <v>70770</v>
      </c>
      <c r="P305" t="s">
        <v>19</v>
      </c>
      <c r="Q305" t="s">
        <v>45</v>
      </c>
      <c r="R305" s="6" t="s">
        <v>21</v>
      </c>
    </row>
    <row r="306" spans="1:18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 s="17"/>
      <c r="I306">
        <v>62</v>
      </c>
      <c r="J306" s="6">
        <v>38271</v>
      </c>
      <c r="K306" s="8">
        <v>50825</v>
      </c>
      <c r="L306" s="1">
        <v>0</v>
      </c>
      <c r="M306" s="8">
        <f>TBL_Employees[[#This Row],[Annual Salary]]*TBL_Employees[[#This Row],[Bonus %]]</f>
        <v>0</v>
      </c>
      <c r="N306" s="8">
        <f>SUM(TBL_Employees[[#This Row],[Annual Salary]],TBL_Employees[[#This Row],[TOTAL BONUS]])</f>
        <v>50825</v>
      </c>
      <c r="O306" s="8">
        <f>TBL_Employees[[#This Row],[Annual Salary]]*TBL_Employees[[#This Row],[Bonus %]]/100+TBL_Employees[[#This Row],[Annual Salary]]</f>
        <v>50825</v>
      </c>
      <c r="P306" t="s">
        <v>19</v>
      </c>
      <c r="Q306" t="s">
        <v>63</v>
      </c>
      <c r="R306" s="6" t="s">
        <v>21</v>
      </c>
    </row>
    <row r="307" spans="1:18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 s="17"/>
      <c r="I307">
        <v>31</v>
      </c>
      <c r="J307" s="6">
        <v>42266</v>
      </c>
      <c r="K307" s="8">
        <v>145846</v>
      </c>
      <c r="L307" s="1">
        <v>0.15</v>
      </c>
      <c r="M307" s="8">
        <f>TBL_Employees[[#This Row],[Annual Salary]]*TBL_Employees[[#This Row],[Bonus %]]</f>
        <v>21876.899999999998</v>
      </c>
      <c r="N307" s="8">
        <f>SUM(TBL_Employees[[#This Row],[Annual Salary]],TBL_Employees[[#This Row],[TOTAL BONUS]])</f>
        <v>167722.9</v>
      </c>
      <c r="O307" s="8">
        <f>TBL_Employees[[#This Row],[Annual Salary]]*TBL_Employees[[#This Row],[Bonus %]]/100+TBL_Employees[[#This Row],[Annual Salary]]</f>
        <v>146064.769</v>
      </c>
      <c r="P307" t="s">
        <v>52</v>
      </c>
      <c r="Q307" t="s">
        <v>81</v>
      </c>
      <c r="R307" s="6" t="s">
        <v>21</v>
      </c>
    </row>
    <row r="308" spans="1:18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 s="17"/>
      <c r="I308">
        <v>64</v>
      </c>
      <c r="J308" s="6">
        <v>37962</v>
      </c>
      <c r="K308" s="8">
        <v>125807</v>
      </c>
      <c r="L308" s="1">
        <v>0.15</v>
      </c>
      <c r="M308" s="8">
        <f>TBL_Employees[[#This Row],[Annual Salary]]*TBL_Employees[[#This Row],[Bonus %]]</f>
        <v>18871.05</v>
      </c>
      <c r="N308" s="8">
        <f>SUM(TBL_Employees[[#This Row],[Annual Salary]],TBL_Employees[[#This Row],[TOTAL BONUS]])</f>
        <v>144678.04999999999</v>
      </c>
      <c r="O308" s="8">
        <f>TBL_Employees[[#This Row],[Annual Salary]]*TBL_Employees[[#This Row],[Bonus %]]/100+TBL_Employees[[#This Row],[Annual Salary]]</f>
        <v>125995.7105</v>
      </c>
      <c r="P308" t="s">
        <v>19</v>
      </c>
      <c r="Q308" t="s">
        <v>20</v>
      </c>
      <c r="R308" s="6" t="s">
        <v>21</v>
      </c>
    </row>
    <row r="309" spans="1:18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 s="17"/>
      <c r="I309">
        <v>25</v>
      </c>
      <c r="J309" s="6">
        <v>44405</v>
      </c>
      <c r="K309" s="8">
        <v>46845</v>
      </c>
      <c r="L309" s="1">
        <v>0</v>
      </c>
      <c r="M309" s="8">
        <f>TBL_Employees[[#This Row],[Annual Salary]]*TBL_Employees[[#This Row],[Bonus %]]</f>
        <v>0</v>
      </c>
      <c r="N309" s="8">
        <f>SUM(TBL_Employees[[#This Row],[Annual Salary]],TBL_Employees[[#This Row],[TOTAL BONUS]])</f>
        <v>46845</v>
      </c>
      <c r="O309" s="8">
        <f>TBL_Employees[[#This Row],[Annual Salary]]*TBL_Employees[[#This Row],[Bonus %]]/100+TBL_Employees[[#This Row],[Annual Salary]]</f>
        <v>46845</v>
      </c>
      <c r="P309" t="s">
        <v>19</v>
      </c>
      <c r="Q309" t="s">
        <v>45</v>
      </c>
      <c r="R309" s="6" t="s">
        <v>21</v>
      </c>
    </row>
    <row r="310" spans="1:18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 s="17"/>
      <c r="I310">
        <v>59</v>
      </c>
      <c r="J310" s="6">
        <v>39689</v>
      </c>
      <c r="K310" s="8">
        <v>157969</v>
      </c>
      <c r="L310" s="1">
        <v>0.1</v>
      </c>
      <c r="M310" s="8">
        <f>TBL_Employees[[#This Row],[Annual Salary]]*TBL_Employees[[#This Row],[Bonus %]]</f>
        <v>15796.900000000001</v>
      </c>
      <c r="N310" s="8">
        <f>SUM(TBL_Employees[[#This Row],[Annual Salary]],TBL_Employees[[#This Row],[TOTAL BONUS]])</f>
        <v>173765.9</v>
      </c>
      <c r="O310" s="8">
        <f>TBL_Employees[[#This Row],[Annual Salary]]*TBL_Employees[[#This Row],[Bonus %]]/100+TBL_Employees[[#This Row],[Annual Salary]]</f>
        <v>158126.96900000001</v>
      </c>
      <c r="P310" t="s">
        <v>33</v>
      </c>
      <c r="Q310" t="s">
        <v>80</v>
      </c>
      <c r="R310" s="6" t="s">
        <v>21</v>
      </c>
    </row>
    <row r="311" spans="1:18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 s="17"/>
      <c r="I311">
        <v>40</v>
      </c>
      <c r="J311" s="6">
        <v>40522</v>
      </c>
      <c r="K311" s="8">
        <v>97807</v>
      </c>
      <c r="L311" s="1">
        <v>0</v>
      </c>
      <c r="M311" s="8">
        <f>TBL_Employees[[#This Row],[Annual Salary]]*TBL_Employees[[#This Row],[Bonus %]]</f>
        <v>0</v>
      </c>
      <c r="N311" s="8">
        <f>SUM(TBL_Employees[[#This Row],[Annual Salary]],TBL_Employees[[#This Row],[TOTAL BONUS]])</f>
        <v>97807</v>
      </c>
      <c r="O311" s="8">
        <f>TBL_Employees[[#This Row],[Annual Salary]]*TBL_Employees[[#This Row],[Bonus %]]/100+TBL_Employees[[#This Row],[Annual Salary]]</f>
        <v>97807</v>
      </c>
      <c r="P311" t="s">
        <v>19</v>
      </c>
      <c r="Q311" t="s">
        <v>20</v>
      </c>
      <c r="R311" s="6" t="s">
        <v>21</v>
      </c>
    </row>
    <row r="312" spans="1:18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 s="17"/>
      <c r="I312">
        <v>31</v>
      </c>
      <c r="J312" s="6">
        <v>42347</v>
      </c>
      <c r="K312" s="8">
        <v>73854</v>
      </c>
      <c r="L312" s="1">
        <v>0</v>
      </c>
      <c r="M312" s="8">
        <f>TBL_Employees[[#This Row],[Annual Salary]]*TBL_Employees[[#This Row],[Bonus %]]</f>
        <v>0</v>
      </c>
      <c r="N312" s="8">
        <f>SUM(TBL_Employees[[#This Row],[Annual Salary]],TBL_Employees[[#This Row],[TOTAL BONUS]])</f>
        <v>73854</v>
      </c>
      <c r="O312" s="8">
        <f>TBL_Employees[[#This Row],[Annual Salary]]*TBL_Employees[[#This Row],[Bonus %]]/100+TBL_Employees[[#This Row],[Annual Salary]]</f>
        <v>73854</v>
      </c>
      <c r="P312" t="s">
        <v>19</v>
      </c>
      <c r="Q312" t="s">
        <v>63</v>
      </c>
      <c r="R312" s="6" t="s">
        <v>21</v>
      </c>
    </row>
    <row r="313" spans="1:18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 s="17"/>
      <c r="I313">
        <v>45</v>
      </c>
      <c r="J313" s="6">
        <v>39063</v>
      </c>
      <c r="K313" s="8">
        <v>149537</v>
      </c>
      <c r="L313" s="1">
        <v>0.14000000000000001</v>
      </c>
      <c r="M313" s="8">
        <f>TBL_Employees[[#This Row],[Annual Salary]]*TBL_Employees[[#This Row],[Bonus %]]</f>
        <v>20935.18</v>
      </c>
      <c r="N313" s="8">
        <f>SUM(TBL_Employees[[#This Row],[Annual Salary]],TBL_Employees[[#This Row],[TOTAL BONUS]])</f>
        <v>170472.18</v>
      </c>
      <c r="O313" s="8">
        <f>TBL_Employees[[#This Row],[Annual Salary]]*TBL_Employees[[#This Row],[Bonus %]]/100+TBL_Employees[[#This Row],[Annual Salary]]</f>
        <v>149746.3518</v>
      </c>
      <c r="P313" t="s">
        <v>19</v>
      </c>
      <c r="Q313" t="s">
        <v>63</v>
      </c>
      <c r="R313" s="6" t="s">
        <v>21</v>
      </c>
    </row>
    <row r="314" spans="1:18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 s="17"/>
      <c r="I314">
        <v>49</v>
      </c>
      <c r="J314" s="6">
        <v>41379</v>
      </c>
      <c r="K314" s="8">
        <v>128303</v>
      </c>
      <c r="L314" s="1">
        <v>0.15</v>
      </c>
      <c r="M314" s="8">
        <f>TBL_Employees[[#This Row],[Annual Salary]]*TBL_Employees[[#This Row],[Bonus %]]</f>
        <v>19245.45</v>
      </c>
      <c r="N314" s="8">
        <f>SUM(TBL_Employees[[#This Row],[Annual Salary]],TBL_Employees[[#This Row],[TOTAL BONUS]])</f>
        <v>147548.45000000001</v>
      </c>
      <c r="O314" s="8">
        <f>TBL_Employees[[#This Row],[Annual Salary]]*TBL_Employees[[#This Row],[Bonus %]]/100+TBL_Employees[[#This Row],[Annual Salary]]</f>
        <v>128495.45450000001</v>
      </c>
      <c r="P314" t="s">
        <v>19</v>
      </c>
      <c r="Q314" t="s">
        <v>39</v>
      </c>
      <c r="R314" s="6" t="s">
        <v>21</v>
      </c>
    </row>
    <row r="315" spans="1:18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 s="17"/>
      <c r="I315">
        <v>46</v>
      </c>
      <c r="J315" s="6">
        <v>38513</v>
      </c>
      <c r="K315" s="8">
        <v>67374</v>
      </c>
      <c r="L315" s="1">
        <v>0</v>
      </c>
      <c r="M315" s="8">
        <f>TBL_Employees[[#This Row],[Annual Salary]]*TBL_Employees[[#This Row],[Bonus %]]</f>
        <v>0</v>
      </c>
      <c r="N315" s="8">
        <f>SUM(TBL_Employees[[#This Row],[Annual Salary]],TBL_Employees[[#This Row],[TOTAL BONUS]])</f>
        <v>67374</v>
      </c>
      <c r="O315" s="8">
        <f>TBL_Employees[[#This Row],[Annual Salary]]*TBL_Employees[[#This Row],[Bonus %]]/100+TBL_Employees[[#This Row],[Annual Salary]]</f>
        <v>67374</v>
      </c>
      <c r="P315" t="s">
        <v>19</v>
      </c>
      <c r="Q315" t="s">
        <v>25</v>
      </c>
      <c r="R315" s="6" t="s">
        <v>21</v>
      </c>
    </row>
    <row r="316" spans="1:18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 s="17"/>
      <c r="I316">
        <v>46</v>
      </c>
      <c r="J316" s="6">
        <v>40810</v>
      </c>
      <c r="K316" s="8">
        <v>102167</v>
      </c>
      <c r="L316" s="1">
        <v>0.06</v>
      </c>
      <c r="M316" s="8">
        <f>TBL_Employees[[#This Row],[Annual Salary]]*TBL_Employees[[#This Row],[Bonus %]]</f>
        <v>6130.0199999999995</v>
      </c>
      <c r="N316" s="8">
        <f>SUM(TBL_Employees[[#This Row],[Annual Salary]],TBL_Employees[[#This Row],[TOTAL BONUS]])</f>
        <v>108297.02</v>
      </c>
      <c r="O316" s="8">
        <f>TBL_Employees[[#This Row],[Annual Salary]]*TBL_Employees[[#This Row],[Bonus %]]/100+TBL_Employees[[#This Row],[Annual Salary]]</f>
        <v>102228.3002</v>
      </c>
      <c r="P316" t="s">
        <v>52</v>
      </c>
      <c r="Q316" t="s">
        <v>66</v>
      </c>
      <c r="R316" s="6" t="s">
        <v>21</v>
      </c>
    </row>
    <row r="317" spans="1:18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 s="17"/>
      <c r="I317">
        <v>45</v>
      </c>
      <c r="J317" s="6">
        <v>39332</v>
      </c>
      <c r="K317" s="8">
        <v>151027</v>
      </c>
      <c r="L317" s="1">
        <v>0.1</v>
      </c>
      <c r="M317" s="8">
        <f>TBL_Employees[[#This Row],[Annual Salary]]*TBL_Employees[[#This Row],[Bonus %]]</f>
        <v>15102.7</v>
      </c>
      <c r="N317" s="8">
        <f>SUM(TBL_Employees[[#This Row],[Annual Salary]],TBL_Employees[[#This Row],[TOTAL BONUS]])</f>
        <v>166129.70000000001</v>
      </c>
      <c r="O317" s="8">
        <f>TBL_Employees[[#This Row],[Annual Salary]]*TBL_Employees[[#This Row],[Bonus %]]/100+TBL_Employees[[#This Row],[Annual Salary]]</f>
        <v>151178.027</v>
      </c>
      <c r="P317" t="s">
        <v>33</v>
      </c>
      <c r="Q317" t="s">
        <v>74</v>
      </c>
      <c r="R317" s="6" t="s">
        <v>21</v>
      </c>
    </row>
    <row r="318" spans="1:18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 s="17"/>
      <c r="I318">
        <v>40</v>
      </c>
      <c r="J318" s="6">
        <v>43147</v>
      </c>
      <c r="K318" s="8">
        <v>120905</v>
      </c>
      <c r="L318" s="1">
        <v>0.05</v>
      </c>
      <c r="M318" s="8">
        <f>TBL_Employees[[#This Row],[Annual Salary]]*TBL_Employees[[#This Row],[Bonus %]]</f>
        <v>6045.25</v>
      </c>
      <c r="N318" s="8">
        <f>SUM(TBL_Employees[[#This Row],[Annual Salary]],TBL_Employees[[#This Row],[TOTAL BONUS]])</f>
        <v>126950.25</v>
      </c>
      <c r="O318" s="8">
        <f>TBL_Employees[[#This Row],[Annual Salary]]*TBL_Employees[[#This Row],[Bonus %]]/100+TBL_Employees[[#This Row],[Annual Salary]]</f>
        <v>120965.4525</v>
      </c>
      <c r="P318" t="s">
        <v>19</v>
      </c>
      <c r="Q318" t="s">
        <v>63</v>
      </c>
      <c r="R318" s="6" t="s">
        <v>21</v>
      </c>
    </row>
    <row r="319" spans="1:18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 s="17"/>
      <c r="I319">
        <v>48</v>
      </c>
      <c r="J319" s="6">
        <v>43253</v>
      </c>
      <c r="K319" s="8">
        <v>231567</v>
      </c>
      <c r="L319" s="1">
        <v>0.36</v>
      </c>
      <c r="M319" s="8">
        <f>TBL_Employees[[#This Row],[Annual Salary]]*TBL_Employees[[#This Row],[Bonus %]]</f>
        <v>83364.12</v>
      </c>
      <c r="N319" s="8">
        <f>SUM(TBL_Employees[[#This Row],[Annual Salary]],TBL_Employees[[#This Row],[TOTAL BONUS]])</f>
        <v>314931.12</v>
      </c>
      <c r="O319" s="8">
        <f>TBL_Employees[[#This Row],[Annual Salary]]*TBL_Employees[[#This Row],[Bonus %]]/100+TBL_Employees[[#This Row],[Annual Salary]]</f>
        <v>232400.64120000001</v>
      </c>
      <c r="P319" t="s">
        <v>19</v>
      </c>
      <c r="Q319" t="s">
        <v>63</v>
      </c>
      <c r="R319" s="6" t="s">
        <v>21</v>
      </c>
    </row>
    <row r="320" spans="1:18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 s="17"/>
      <c r="I320">
        <v>31</v>
      </c>
      <c r="J320" s="6">
        <v>42197</v>
      </c>
      <c r="K320" s="8">
        <v>215388</v>
      </c>
      <c r="L320" s="1">
        <v>0.33</v>
      </c>
      <c r="M320" s="8">
        <f>TBL_Employees[[#This Row],[Annual Salary]]*TBL_Employees[[#This Row],[Bonus %]]</f>
        <v>71078.040000000008</v>
      </c>
      <c r="N320" s="8">
        <f>SUM(TBL_Employees[[#This Row],[Annual Salary]],TBL_Employees[[#This Row],[TOTAL BONUS]])</f>
        <v>286466.04000000004</v>
      </c>
      <c r="O320" s="8">
        <f>TBL_Employees[[#This Row],[Annual Salary]]*TBL_Employees[[#This Row],[Bonus %]]/100+TBL_Employees[[#This Row],[Annual Salary]]</f>
        <v>216098.78039999999</v>
      </c>
      <c r="P320" t="s">
        <v>19</v>
      </c>
      <c r="Q320" t="s">
        <v>45</v>
      </c>
      <c r="R320" s="6" t="s">
        <v>21</v>
      </c>
    </row>
    <row r="321" spans="1:18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 s="17"/>
      <c r="I321">
        <v>30</v>
      </c>
      <c r="J321" s="6">
        <v>42168</v>
      </c>
      <c r="K321" s="8">
        <v>127972</v>
      </c>
      <c r="L321" s="1">
        <v>0.11</v>
      </c>
      <c r="M321" s="8">
        <f>TBL_Employees[[#This Row],[Annual Salary]]*TBL_Employees[[#This Row],[Bonus %]]</f>
        <v>14076.92</v>
      </c>
      <c r="N321" s="8">
        <f>SUM(TBL_Employees[[#This Row],[Annual Salary]],TBL_Employees[[#This Row],[TOTAL BONUS]])</f>
        <v>142048.92000000001</v>
      </c>
      <c r="O321" s="8">
        <f>TBL_Employees[[#This Row],[Annual Salary]]*TBL_Employees[[#This Row],[Bonus %]]/100+TBL_Employees[[#This Row],[Annual Salary]]</f>
        <v>128112.7692</v>
      </c>
      <c r="P321" t="s">
        <v>19</v>
      </c>
      <c r="Q321" t="s">
        <v>63</v>
      </c>
      <c r="R321" s="6" t="s">
        <v>21</v>
      </c>
    </row>
    <row r="322" spans="1:18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 s="17"/>
      <c r="I322">
        <v>55</v>
      </c>
      <c r="J322" s="6">
        <v>34915</v>
      </c>
      <c r="K322" s="8">
        <v>80701</v>
      </c>
      <c r="L322" s="1">
        <v>0</v>
      </c>
      <c r="M322" s="8">
        <f>TBL_Employees[[#This Row],[Annual Salary]]*TBL_Employees[[#This Row],[Bonus %]]</f>
        <v>0</v>
      </c>
      <c r="N322" s="8">
        <f>SUM(TBL_Employees[[#This Row],[Annual Salary]],TBL_Employees[[#This Row],[TOTAL BONUS]])</f>
        <v>80701</v>
      </c>
      <c r="O322" s="8">
        <f>TBL_Employees[[#This Row],[Annual Salary]]*TBL_Employees[[#This Row],[Bonus %]]/100+TBL_Employees[[#This Row],[Annual Salary]]</f>
        <v>80701</v>
      </c>
      <c r="P322" t="s">
        <v>19</v>
      </c>
      <c r="Q322" t="s">
        <v>20</v>
      </c>
      <c r="R322" s="6">
        <v>38456</v>
      </c>
    </row>
    <row r="323" spans="1:18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 s="17"/>
      <c r="I323">
        <v>28</v>
      </c>
      <c r="J323" s="6">
        <v>43863</v>
      </c>
      <c r="K323" s="8">
        <v>115417</v>
      </c>
      <c r="L323" s="1">
        <v>0.06</v>
      </c>
      <c r="M323" s="8">
        <f>TBL_Employees[[#This Row],[Annual Salary]]*TBL_Employees[[#This Row],[Bonus %]]</f>
        <v>6925.0199999999995</v>
      </c>
      <c r="N323" s="8">
        <f>SUM(TBL_Employees[[#This Row],[Annual Salary]],TBL_Employees[[#This Row],[TOTAL BONUS]])</f>
        <v>122342.02</v>
      </c>
      <c r="O323" s="8">
        <f>TBL_Employees[[#This Row],[Annual Salary]]*TBL_Employees[[#This Row],[Bonus %]]/100+TBL_Employees[[#This Row],[Annual Salary]]</f>
        <v>115486.25019999999</v>
      </c>
      <c r="P323" t="s">
        <v>33</v>
      </c>
      <c r="Q323" t="s">
        <v>74</v>
      </c>
      <c r="R323" s="6" t="s">
        <v>21</v>
      </c>
    </row>
    <row r="324" spans="1:18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 s="17"/>
      <c r="I324">
        <v>45</v>
      </c>
      <c r="J324" s="6">
        <v>43635</v>
      </c>
      <c r="K324" s="8">
        <v>88045</v>
      </c>
      <c r="L324" s="1">
        <v>0</v>
      </c>
      <c r="M324" s="8">
        <f>TBL_Employees[[#This Row],[Annual Salary]]*TBL_Employees[[#This Row],[Bonus %]]</f>
        <v>0</v>
      </c>
      <c r="N324" s="8">
        <f>SUM(TBL_Employees[[#This Row],[Annual Salary]],TBL_Employees[[#This Row],[TOTAL BONUS]])</f>
        <v>88045</v>
      </c>
      <c r="O324" s="8">
        <f>TBL_Employees[[#This Row],[Annual Salary]]*TBL_Employees[[#This Row],[Bonus %]]/100+TBL_Employees[[#This Row],[Annual Salary]]</f>
        <v>88045</v>
      </c>
      <c r="P324" t="s">
        <v>19</v>
      </c>
      <c r="Q324" t="s">
        <v>20</v>
      </c>
      <c r="R324" s="6" t="s">
        <v>21</v>
      </c>
    </row>
    <row r="325" spans="1:18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 s="17"/>
      <c r="I325">
        <v>45</v>
      </c>
      <c r="J325" s="6">
        <v>43185</v>
      </c>
      <c r="K325" s="8">
        <v>86478</v>
      </c>
      <c r="L325" s="1">
        <v>0.06</v>
      </c>
      <c r="M325" s="8">
        <f>TBL_Employees[[#This Row],[Annual Salary]]*TBL_Employees[[#This Row],[Bonus %]]</f>
        <v>5188.6799999999994</v>
      </c>
      <c r="N325" s="8">
        <f>SUM(TBL_Employees[[#This Row],[Annual Salary]],TBL_Employees[[#This Row],[TOTAL BONUS]])</f>
        <v>91666.68</v>
      </c>
      <c r="O325" s="8">
        <f>TBL_Employees[[#This Row],[Annual Salary]]*TBL_Employees[[#This Row],[Bonus %]]/100+TBL_Employees[[#This Row],[Annual Salary]]</f>
        <v>86529.886799999993</v>
      </c>
      <c r="P325" t="s">
        <v>19</v>
      </c>
      <c r="Q325" t="s">
        <v>25</v>
      </c>
      <c r="R325" s="6" t="s">
        <v>21</v>
      </c>
    </row>
    <row r="326" spans="1:18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 s="17"/>
      <c r="I326">
        <v>63</v>
      </c>
      <c r="J326" s="6">
        <v>42387</v>
      </c>
      <c r="K326" s="8">
        <v>180994</v>
      </c>
      <c r="L326" s="1">
        <v>0.39</v>
      </c>
      <c r="M326" s="8">
        <f>TBL_Employees[[#This Row],[Annual Salary]]*TBL_Employees[[#This Row],[Bonus %]]</f>
        <v>70587.66</v>
      </c>
      <c r="N326" s="8">
        <f>SUM(TBL_Employees[[#This Row],[Annual Salary]],TBL_Employees[[#This Row],[TOTAL BONUS]])</f>
        <v>251581.66</v>
      </c>
      <c r="O326" s="8">
        <f>TBL_Employees[[#This Row],[Annual Salary]]*TBL_Employees[[#This Row],[Bonus %]]/100+TBL_Employees[[#This Row],[Annual Salary]]</f>
        <v>181699.87659999999</v>
      </c>
      <c r="P326" t="s">
        <v>19</v>
      </c>
      <c r="Q326" t="s">
        <v>63</v>
      </c>
      <c r="R326" s="6" t="s">
        <v>21</v>
      </c>
    </row>
    <row r="327" spans="1:18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 s="17"/>
      <c r="I327">
        <v>55</v>
      </c>
      <c r="J327" s="6">
        <v>39418</v>
      </c>
      <c r="K327" s="8">
        <v>64494</v>
      </c>
      <c r="L327" s="1">
        <v>0</v>
      </c>
      <c r="M327" s="8">
        <f>TBL_Employees[[#This Row],[Annual Salary]]*TBL_Employees[[#This Row],[Bonus %]]</f>
        <v>0</v>
      </c>
      <c r="N327" s="8">
        <f>SUM(TBL_Employees[[#This Row],[Annual Salary]],TBL_Employees[[#This Row],[TOTAL BONUS]])</f>
        <v>64494</v>
      </c>
      <c r="O327" s="8">
        <f>TBL_Employees[[#This Row],[Annual Salary]]*TBL_Employees[[#This Row],[Bonus %]]/100+TBL_Employees[[#This Row],[Annual Salary]]</f>
        <v>64494</v>
      </c>
      <c r="P327" t="s">
        <v>19</v>
      </c>
      <c r="Q327" t="s">
        <v>29</v>
      </c>
      <c r="R327" s="6" t="s">
        <v>21</v>
      </c>
    </row>
    <row r="328" spans="1:18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 s="17"/>
      <c r="I328">
        <v>47</v>
      </c>
      <c r="J328" s="6">
        <v>37550</v>
      </c>
      <c r="K328" s="8">
        <v>70122</v>
      </c>
      <c r="L328" s="1">
        <v>0</v>
      </c>
      <c r="M328" s="8">
        <f>TBL_Employees[[#This Row],[Annual Salary]]*TBL_Employees[[#This Row],[Bonus %]]</f>
        <v>0</v>
      </c>
      <c r="N328" s="8">
        <f>SUM(TBL_Employees[[#This Row],[Annual Salary]],TBL_Employees[[#This Row],[TOTAL BONUS]])</f>
        <v>70122</v>
      </c>
      <c r="O328" s="8">
        <f>TBL_Employees[[#This Row],[Annual Salary]]*TBL_Employees[[#This Row],[Bonus %]]/100+TBL_Employees[[#This Row],[Annual Salary]]</f>
        <v>70122</v>
      </c>
      <c r="P328" t="s">
        <v>19</v>
      </c>
      <c r="Q328" t="s">
        <v>29</v>
      </c>
      <c r="R328" s="6" t="s">
        <v>21</v>
      </c>
    </row>
    <row r="329" spans="1:18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 s="17"/>
      <c r="I329">
        <v>29</v>
      </c>
      <c r="J329" s="6">
        <v>42785</v>
      </c>
      <c r="K329" s="8">
        <v>181854</v>
      </c>
      <c r="L329" s="1">
        <v>0.28999999999999998</v>
      </c>
      <c r="M329" s="8">
        <f>TBL_Employees[[#This Row],[Annual Salary]]*TBL_Employees[[#This Row],[Bonus %]]</f>
        <v>52737.659999999996</v>
      </c>
      <c r="N329" s="8">
        <f>SUM(TBL_Employees[[#This Row],[Annual Salary]],TBL_Employees[[#This Row],[TOTAL BONUS]])</f>
        <v>234591.66</v>
      </c>
      <c r="O329" s="8">
        <f>TBL_Employees[[#This Row],[Annual Salary]]*TBL_Employees[[#This Row],[Bonus %]]/100+TBL_Employees[[#This Row],[Annual Salary]]</f>
        <v>182381.37659999999</v>
      </c>
      <c r="P329" t="s">
        <v>19</v>
      </c>
      <c r="Q329" t="s">
        <v>63</v>
      </c>
      <c r="R329" s="6">
        <v>43945</v>
      </c>
    </row>
    <row r="330" spans="1:18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 s="17"/>
      <c r="I330">
        <v>34</v>
      </c>
      <c r="J330" s="6">
        <v>42664</v>
      </c>
      <c r="K330" s="8">
        <v>52811</v>
      </c>
      <c r="L330" s="1">
        <v>0</v>
      </c>
      <c r="M330" s="8">
        <f>TBL_Employees[[#This Row],[Annual Salary]]*TBL_Employees[[#This Row],[Bonus %]]</f>
        <v>0</v>
      </c>
      <c r="N330" s="8">
        <f>SUM(TBL_Employees[[#This Row],[Annual Salary]],TBL_Employees[[#This Row],[TOTAL BONUS]])</f>
        <v>52811</v>
      </c>
      <c r="O330" s="8">
        <f>TBL_Employees[[#This Row],[Annual Salary]]*TBL_Employees[[#This Row],[Bonus %]]/100+TBL_Employees[[#This Row],[Annual Salary]]</f>
        <v>52811</v>
      </c>
      <c r="P330" t="s">
        <v>19</v>
      </c>
      <c r="Q330" t="s">
        <v>45</v>
      </c>
      <c r="R330" s="6" t="s">
        <v>21</v>
      </c>
    </row>
    <row r="331" spans="1:18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 s="17"/>
      <c r="I331">
        <v>28</v>
      </c>
      <c r="J331" s="6">
        <v>43763</v>
      </c>
      <c r="K331" s="8">
        <v>50111</v>
      </c>
      <c r="L331" s="1">
        <v>0</v>
      </c>
      <c r="M331" s="8">
        <f>TBL_Employees[[#This Row],[Annual Salary]]*TBL_Employees[[#This Row],[Bonus %]]</f>
        <v>0</v>
      </c>
      <c r="N331" s="8">
        <f>SUM(TBL_Employees[[#This Row],[Annual Salary]],TBL_Employees[[#This Row],[TOTAL BONUS]])</f>
        <v>50111</v>
      </c>
      <c r="O331" s="8">
        <f>TBL_Employees[[#This Row],[Annual Salary]]*TBL_Employees[[#This Row],[Bonus %]]/100+TBL_Employees[[#This Row],[Annual Salary]]</f>
        <v>50111</v>
      </c>
      <c r="P331" t="s">
        <v>33</v>
      </c>
      <c r="Q331" t="s">
        <v>34</v>
      </c>
      <c r="R331" s="6" t="s">
        <v>21</v>
      </c>
    </row>
    <row r="332" spans="1:18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 s="17"/>
      <c r="I332">
        <v>31</v>
      </c>
      <c r="J332" s="6">
        <v>42497</v>
      </c>
      <c r="K332" s="8">
        <v>71192</v>
      </c>
      <c r="L332" s="1">
        <v>0</v>
      </c>
      <c r="M332" s="8">
        <f>TBL_Employees[[#This Row],[Annual Salary]]*TBL_Employees[[#This Row],[Bonus %]]</f>
        <v>0</v>
      </c>
      <c r="N332" s="8">
        <f>SUM(TBL_Employees[[#This Row],[Annual Salary]],TBL_Employees[[#This Row],[TOTAL BONUS]])</f>
        <v>71192</v>
      </c>
      <c r="O332" s="8">
        <f>TBL_Employees[[#This Row],[Annual Salary]]*TBL_Employees[[#This Row],[Bonus %]]/100+TBL_Employees[[#This Row],[Annual Salary]]</f>
        <v>71192</v>
      </c>
      <c r="P332" t="s">
        <v>19</v>
      </c>
      <c r="Q332" t="s">
        <v>25</v>
      </c>
      <c r="R332" s="6" t="s">
        <v>21</v>
      </c>
    </row>
    <row r="333" spans="1:18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 s="17"/>
      <c r="I333">
        <v>50</v>
      </c>
      <c r="J333" s="6">
        <v>43452</v>
      </c>
      <c r="K333" s="8">
        <v>155351</v>
      </c>
      <c r="L333" s="1">
        <v>0.2</v>
      </c>
      <c r="M333" s="8">
        <f>TBL_Employees[[#This Row],[Annual Salary]]*TBL_Employees[[#This Row],[Bonus %]]</f>
        <v>31070.2</v>
      </c>
      <c r="N333" s="8">
        <f>SUM(TBL_Employees[[#This Row],[Annual Salary]],TBL_Employees[[#This Row],[TOTAL BONUS]])</f>
        <v>186421.2</v>
      </c>
      <c r="O333" s="8">
        <f>TBL_Employees[[#This Row],[Annual Salary]]*TBL_Employees[[#This Row],[Bonus %]]/100+TBL_Employees[[#This Row],[Annual Salary]]</f>
        <v>155661.70199999999</v>
      </c>
      <c r="P333" t="s">
        <v>19</v>
      </c>
      <c r="Q333" t="s">
        <v>63</v>
      </c>
      <c r="R333" s="6" t="s">
        <v>21</v>
      </c>
    </row>
    <row r="334" spans="1:18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 s="17"/>
      <c r="I334">
        <v>39</v>
      </c>
      <c r="J334" s="6">
        <v>39049</v>
      </c>
      <c r="K334" s="8">
        <v>161690</v>
      </c>
      <c r="L334" s="1">
        <v>0.28999999999999998</v>
      </c>
      <c r="M334" s="8">
        <f>TBL_Employees[[#This Row],[Annual Salary]]*TBL_Employees[[#This Row],[Bonus %]]</f>
        <v>46890.1</v>
      </c>
      <c r="N334" s="8">
        <f>SUM(TBL_Employees[[#This Row],[Annual Salary]],TBL_Employees[[#This Row],[TOTAL BONUS]])</f>
        <v>208580.1</v>
      </c>
      <c r="O334" s="8">
        <f>TBL_Employees[[#This Row],[Annual Salary]]*TBL_Employees[[#This Row],[Bonus %]]/100+TBL_Employees[[#This Row],[Annual Salary]]</f>
        <v>162158.90100000001</v>
      </c>
      <c r="P334" t="s">
        <v>33</v>
      </c>
      <c r="Q334" t="s">
        <v>60</v>
      </c>
      <c r="R334" s="6" t="s">
        <v>21</v>
      </c>
    </row>
    <row r="335" spans="1:18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 s="17"/>
      <c r="I335">
        <v>35</v>
      </c>
      <c r="J335" s="6">
        <v>42776</v>
      </c>
      <c r="K335" s="8">
        <v>60132</v>
      </c>
      <c r="L335" s="1">
        <v>0</v>
      </c>
      <c r="M335" s="8">
        <f>TBL_Employees[[#This Row],[Annual Salary]]*TBL_Employees[[#This Row],[Bonus %]]</f>
        <v>0</v>
      </c>
      <c r="N335" s="8">
        <f>SUM(TBL_Employees[[#This Row],[Annual Salary]],TBL_Employees[[#This Row],[TOTAL BONUS]])</f>
        <v>60132</v>
      </c>
      <c r="O335" s="8">
        <f>TBL_Employees[[#This Row],[Annual Salary]]*TBL_Employees[[#This Row],[Bonus %]]/100+TBL_Employees[[#This Row],[Annual Salary]]</f>
        <v>60132</v>
      </c>
      <c r="P335" t="s">
        <v>33</v>
      </c>
      <c r="Q335" t="s">
        <v>80</v>
      </c>
      <c r="R335" s="6" t="s">
        <v>21</v>
      </c>
    </row>
    <row r="336" spans="1:18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 s="17"/>
      <c r="I336">
        <v>54</v>
      </c>
      <c r="J336" s="6">
        <v>34631</v>
      </c>
      <c r="K336" s="8">
        <v>87216</v>
      </c>
      <c r="L336" s="1">
        <v>0</v>
      </c>
      <c r="M336" s="8">
        <f>TBL_Employees[[#This Row],[Annual Salary]]*TBL_Employees[[#This Row],[Bonus %]]</f>
        <v>0</v>
      </c>
      <c r="N336" s="8">
        <f>SUM(TBL_Employees[[#This Row],[Annual Salary]],TBL_Employees[[#This Row],[TOTAL BONUS]])</f>
        <v>87216</v>
      </c>
      <c r="O336" s="8">
        <f>TBL_Employees[[#This Row],[Annual Salary]]*TBL_Employees[[#This Row],[Bonus %]]/100+TBL_Employees[[#This Row],[Annual Salary]]</f>
        <v>87216</v>
      </c>
      <c r="P336" t="s">
        <v>19</v>
      </c>
      <c r="Q336" t="s">
        <v>45</v>
      </c>
      <c r="R336" s="6" t="s">
        <v>21</v>
      </c>
    </row>
    <row r="337" spans="1:18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 s="17"/>
      <c r="I337">
        <v>47</v>
      </c>
      <c r="J337" s="6">
        <v>43944</v>
      </c>
      <c r="K337" s="8">
        <v>50069</v>
      </c>
      <c r="L337" s="1">
        <v>0</v>
      </c>
      <c r="M337" s="8">
        <f>TBL_Employees[[#This Row],[Annual Salary]]*TBL_Employees[[#This Row],[Bonus %]]</f>
        <v>0</v>
      </c>
      <c r="N337" s="8">
        <f>SUM(TBL_Employees[[#This Row],[Annual Salary]],TBL_Employees[[#This Row],[TOTAL BONUS]])</f>
        <v>50069</v>
      </c>
      <c r="O337" s="8">
        <f>TBL_Employees[[#This Row],[Annual Salary]]*TBL_Employees[[#This Row],[Bonus %]]/100+TBL_Employees[[#This Row],[Annual Salary]]</f>
        <v>50069</v>
      </c>
      <c r="P337" t="s">
        <v>19</v>
      </c>
      <c r="Q337" t="s">
        <v>63</v>
      </c>
      <c r="R337" s="6" t="s">
        <v>21</v>
      </c>
    </row>
    <row r="338" spans="1:18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 s="17"/>
      <c r="I338">
        <v>26</v>
      </c>
      <c r="J338" s="6">
        <v>44403</v>
      </c>
      <c r="K338" s="8">
        <v>151108</v>
      </c>
      <c r="L338" s="1">
        <v>0.22</v>
      </c>
      <c r="M338" s="8">
        <f>TBL_Employees[[#This Row],[Annual Salary]]*TBL_Employees[[#This Row],[Bonus %]]</f>
        <v>33243.760000000002</v>
      </c>
      <c r="N338" s="8">
        <f>SUM(TBL_Employees[[#This Row],[Annual Salary]],TBL_Employees[[#This Row],[TOTAL BONUS]])</f>
        <v>184351.76</v>
      </c>
      <c r="O338" s="8">
        <f>TBL_Employees[[#This Row],[Annual Salary]]*TBL_Employees[[#This Row],[Bonus %]]/100+TBL_Employees[[#This Row],[Annual Salary]]</f>
        <v>151440.4376</v>
      </c>
      <c r="P338" t="s">
        <v>19</v>
      </c>
      <c r="Q338" t="s">
        <v>39</v>
      </c>
      <c r="R338" s="6" t="s">
        <v>21</v>
      </c>
    </row>
    <row r="339" spans="1:18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 s="17"/>
      <c r="I339">
        <v>42</v>
      </c>
      <c r="J339" s="6">
        <v>38640</v>
      </c>
      <c r="K339" s="8">
        <v>67398</v>
      </c>
      <c r="L339" s="1">
        <v>7.0000000000000007E-2</v>
      </c>
      <c r="M339" s="8">
        <f>TBL_Employees[[#This Row],[Annual Salary]]*TBL_Employees[[#This Row],[Bonus %]]</f>
        <v>4717.8600000000006</v>
      </c>
      <c r="N339" s="8">
        <f>SUM(TBL_Employees[[#This Row],[Annual Salary]],TBL_Employees[[#This Row],[TOTAL BONUS]])</f>
        <v>72115.86</v>
      </c>
      <c r="O339" s="8">
        <f>TBL_Employees[[#This Row],[Annual Salary]]*TBL_Employees[[#This Row],[Bonus %]]/100+TBL_Employees[[#This Row],[Annual Salary]]</f>
        <v>67445.178599999999</v>
      </c>
      <c r="P339" t="s">
        <v>19</v>
      </c>
      <c r="Q339" t="s">
        <v>39</v>
      </c>
      <c r="R339" s="6" t="s">
        <v>21</v>
      </c>
    </row>
    <row r="340" spans="1:18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 s="17"/>
      <c r="I340">
        <v>47</v>
      </c>
      <c r="J340" s="6">
        <v>42245</v>
      </c>
      <c r="K340" s="8">
        <v>68488</v>
      </c>
      <c r="L340" s="1">
        <v>0</v>
      </c>
      <c r="M340" s="8">
        <f>TBL_Employees[[#This Row],[Annual Salary]]*TBL_Employees[[#This Row],[Bonus %]]</f>
        <v>0</v>
      </c>
      <c r="N340" s="8">
        <f>SUM(TBL_Employees[[#This Row],[Annual Salary]],TBL_Employees[[#This Row],[TOTAL BONUS]])</f>
        <v>68488</v>
      </c>
      <c r="O340" s="8">
        <f>TBL_Employees[[#This Row],[Annual Salary]]*TBL_Employees[[#This Row],[Bonus %]]/100+TBL_Employees[[#This Row],[Annual Salary]]</f>
        <v>68488</v>
      </c>
      <c r="P340" t="s">
        <v>19</v>
      </c>
      <c r="Q340" t="s">
        <v>63</v>
      </c>
      <c r="R340" s="6" t="s">
        <v>21</v>
      </c>
    </row>
    <row r="341" spans="1:18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 s="17"/>
      <c r="I341">
        <v>60</v>
      </c>
      <c r="J341" s="6">
        <v>35992</v>
      </c>
      <c r="K341" s="8">
        <v>92932</v>
      </c>
      <c r="L341" s="1">
        <v>0</v>
      </c>
      <c r="M341" s="8">
        <f>TBL_Employees[[#This Row],[Annual Salary]]*TBL_Employees[[#This Row],[Bonus %]]</f>
        <v>0</v>
      </c>
      <c r="N341" s="8">
        <f>SUM(TBL_Employees[[#This Row],[Annual Salary]],TBL_Employees[[#This Row],[TOTAL BONUS]])</f>
        <v>92932</v>
      </c>
      <c r="O341" s="8">
        <f>TBL_Employees[[#This Row],[Annual Salary]]*TBL_Employees[[#This Row],[Bonus %]]/100+TBL_Employees[[#This Row],[Annual Salary]]</f>
        <v>92932</v>
      </c>
      <c r="P341" t="s">
        <v>19</v>
      </c>
      <c r="Q341" t="s">
        <v>29</v>
      </c>
      <c r="R341" s="6" t="s">
        <v>21</v>
      </c>
    </row>
    <row r="342" spans="1:18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 s="17"/>
      <c r="I342">
        <v>36</v>
      </c>
      <c r="J342" s="6">
        <v>39994</v>
      </c>
      <c r="K342" s="8">
        <v>43363</v>
      </c>
      <c r="L342" s="1">
        <v>0</v>
      </c>
      <c r="M342" s="8">
        <f>TBL_Employees[[#This Row],[Annual Salary]]*TBL_Employees[[#This Row],[Bonus %]]</f>
        <v>0</v>
      </c>
      <c r="N342" s="8">
        <f>SUM(TBL_Employees[[#This Row],[Annual Salary]],TBL_Employees[[#This Row],[TOTAL BONUS]])</f>
        <v>43363</v>
      </c>
      <c r="O342" s="8">
        <f>TBL_Employees[[#This Row],[Annual Salary]]*TBL_Employees[[#This Row],[Bonus %]]/100+TBL_Employees[[#This Row],[Annual Salary]]</f>
        <v>43363</v>
      </c>
      <c r="P342" t="s">
        <v>19</v>
      </c>
      <c r="Q342" t="s">
        <v>25</v>
      </c>
      <c r="R342" s="6" t="s">
        <v>21</v>
      </c>
    </row>
    <row r="343" spans="1:18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 s="17"/>
      <c r="I343">
        <v>31</v>
      </c>
      <c r="J343" s="6">
        <v>42780</v>
      </c>
      <c r="K343" s="8">
        <v>95963</v>
      </c>
      <c r="L343" s="1">
        <v>0</v>
      </c>
      <c r="M343" s="8">
        <f>TBL_Employees[[#This Row],[Annual Salary]]*TBL_Employees[[#This Row],[Bonus %]]</f>
        <v>0</v>
      </c>
      <c r="N343" s="8">
        <f>SUM(TBL_Employees[[#This Row],[Annual Salary]],TBL_Employees[[#This Row],[TOTAL BONUS]])</f>
        <v>95963</v>
      </c>
      <c r="O343" s="8">
        <f>TBL_Employees[[#This Row],[Annual Salary]]*TBL_Employees[[#This Row],[Bonus %]]/100+TBL_Employees[[#This Row],[Annual Salary]]</f>
        <v>95963</v>
      </c>
      <c r="P343" t="s">
        <v>33</v>
      </c>
      <c r="Q343" t="s">
        <v>34</v>
      </c>
      <c r="R343" s="6" t="s">
        <v>21</v>
      </c>
    </row>
    <row r="344" spans="1:18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 s="17"/>
      <c r="I344">
        <v>55</v>
      </c>
      <c r="J344" s="6">
        <v>40297</v>
      </c>
      <c r="K344" s="8">
        <v>111038</v>
      </c>
      <c r="L344" s="1">
        <v>0.05</v>
      </c>
      <c r="M344" s="8">
        <f>TBL_Employees[[#This Row],[Annual Salary]]*TBL_Employees[[#This Row],[Bonus %]]</f>
        <v>5551.9000000000005</v>
      </c>
      <c r="N344" s="8">
        <f>SUM(TBL_Employees[[#This Row],[Annual Salary]],TBL_Employees[[#This Row],[TOTAL BONUS]])</f>
        <v>116589.9</v>
      </c>
      <c r="O344" s="8">
        <f>TBL_Employees[[#This Row],[Annual Salary]]*TBL_Employees[[#This Row],[Bonus %]]/100+TBL_Employees[[#This Row],[Annual Salary]]</f>
        <v>111093.519</v>
      </c>
      <c r="P344" t="s">
        <v>52</v>
      </c>
      <c r="Q344" t="s">
        <v>53</v>
      </c>
      <c r="R344" s="6" t="s">
        <v>21</v>
      </c>
    </row>
    <row r="345" spans="1:18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 s="17"/>
      <c r="I345">
        <v>51</v>
      </c>
      <c r="J345" s="6">
        <v>35230</v>
      </c>
      <c r="K345" s="8">
        <v>200246</v>
      </c>
      <c r="L345" s="1">
        <v>0.34</v>
      </c>
      <c r="M345" s="8">
        <f>TBL_Employees[[#This Row],[Annual Salary]]*TBL_Employees[[#This Row],[Bonus %]]</f>
        <v>68083.64</v>
      </c>
      <c r="N345" s="8">
        <f>SUM(TBL_Employees[[#This Row],[Annual Salary]],TBL_Employees[[#This Row],[TOTAL BONUS]])</f>
        <v>268329.64</v>
      </c>
      <c r="O345" s="8">
        <f>TBL_Employees[[#This Row],[Annual Salary]]*TBL_Employees[[#This Row],[Bonus %]]/100+TBL_Employees[[#This Row],[Annual Salary]]</f>
        <v>200926.8364</v>
      </c>
      <c r="P345" t="s">
        <v>19</v>
      </c>
      <c r="Q345" t="s">
        <v>29</v>
      </c>
      <c r="R345" s="6" t="s">
        <v>21</v>
      </c>
    </row>
    <row r="346" spans="1:18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 s="17"/>
      <c r="I346">
        <v>48</v>
      </c>
      <c r="J346" s="6">
        <v>42053</v>
      </c>
      <c r="K346" s="8">
        <v>194871</v>
      </c>
      <c r="L346" s="1">
        <v>0.35</v>
      </c>
      <c r="M346" s="8">
        <f>TBL_Employees[[#This Row],[Annual Salary]]*TBL_Employees[[#This Row],[Bonus %]]</f>
        <v>68204.849999999991</v>
      </c>
      <c r="N346" s="8">
        <f>SUM(TBL_Employees[[#This Row],[Annual Salary]],TBL_Employees[[#This Row],[TOTAL BONUS]])</f>
        <v>263075.84999999998</v>
      </c>
      <c r="O346" s="8">
        <f>TBL_Employees[[#This Row],[Annual Salary]]*TBL_Employees[[#This Row],[Bonus %]]/100+TBL_Employees[[#This Row],[Annual Salary]]</f>
        <v>195553.0485</v>
      </c>
      <c r="P346" t="s">
        <v>19</v>
      </c>
      <c r="Q346" t="s">
        <v>29</v>
      </c>
      <c r="R346" s="6" t="s">
        <v>21</v>
      </c>
    </row>
    <row r="347" spans="1:18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 s="17"/>
      <c r="I347">
        <v>58</v>
      </c>
      <c r="J347" s="6">
        <v>34592</v>
      </c>
      <c r="K347" s="8">
        <v>98769</v>
      </c>
      <c r="L347" s="1">
        <v>0</v>
      </c>
      <c r="M347" s="8">
        <f>TBL_Employees[[#This Row],[Annual Salary]]*TBL_Employees[[#This Row],[Bonus %]]</f>
        <v>0</v>
      </c>
      <c r="N347" s="8">
        <f>SUM(TBL_Employees[[#This Row],[Annual Salary]],TBL_Employees[[#This Row],[TOTAL BONUS]])</f>
        <v>98769</v>
      </c>
      <c r="O347" s="8">
        <f>TBL_Employees[[#This Row],[Annual Salary]]*TBL_Employees[[#This Row],[Bonus %]]/100+TBL_Employees[[#This Row],[Annual Salary]]</f>
        <v>98769</v>
      </c>
      <c r="P347" t="s">
        <v>52</v>
      </c>
      <c r="Q347" t="s">
        <v>66</v>
      </c>
      <c r="R347" s="6">
        <v>42646</v>
      </c>
    </row>
    <row r="348" spans="1:18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 s="17"/>
      <c r="I348">
        <v>29</v>
      </c>
      <c r="J348" s="6">
        <v>43239</v>
      </c>
      <c r="K348" s="8">
        <v>65334</v>
      </c>
      <c r="L348" s="1">
        <v>0</v>
      </c>
      <c r="M348" s="8">
        <f>TBL_Employees[[#This Row],[Annual Salary]]*TBL_Employees[[#This Row],[Bonus %]]</f>
        <v>0</v>
      </c>
      <c r="N348" s="8">
        <f>SUM(TBL_Employees[[#This Row],[Annual Salary]],TBL_Employees[[#This Row],[TOTAL BONUS]])</f>
        <v>65334</v>
      </c>
      <c r="O348" s="8">
        <f>TBL_Employees[[#This Row],[Annual Salary]]*TBL_Employees[[#This Row],[Bonus %]]/100+TBL_Employees[[#This Row],[Annual Salary]]</f>
        <v>65334</v>
      </c>
      <c r="P348" t="s">
        <v>52</v>
      </c>
      <c r="Q348" t="s">
        <v>66</v>
      </c>
      <c r="R348" s="6" t="s">
        <v>21</v>
      </c>
    </row>
    <row r="349" spans="1:18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 s="17"/>
      <c r="I349">
        <v>25</v>
      </c>
      <c r="J349" s="6">
        <v>44327</v>
      </c>
      <c r="K349" s="8">
        <v>83934</v>
      </c>
      <c r="L349" s="1">
        <v>0</v>
      </c>
      <c r="M349" s="8">
        <f>TBL_Employees[[#This Row],[Annual Salary]]*TBL_Employees[[#This Row],[Bonus %]]</f>
        <v>0</v>
      </c>
      <c r="N349" s="8">
        <f>SUM(TBL_Employees[[#This Row],[Annual Salary]],TBL_Employees[[#This Row],[TOTAL BONUS]])</f>
        <v>83934</v>
      </c>
      <c r="O349" s="8">
        <f>TBL_Employees[[#This Row],[Annual Salary]]*TBL_Employees[[#This Row],[Bonus %]]/100+TBL_Employees[[#This Row],[Annual Salary]]</f>
        <v>83934</v>
      </c>
      <c r="P349" t="s">
        <v>19</v>
      </c>
      <c r="Q349" t="s">
        <v>45</v>
      </c>
      <c r="R349" s="6" t="s">
        <v>21</v>
      </c>
    </row>
    <row r="350" spans="1:18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 s="17"/>
      <c r="I350">
        <v>36</v>
      </c>
      <c r="J350" s="6">
        <v>42616</v>
      </c>
      <c r="K350" s="8">
        <v>150399</v>
      </c>
      <c r="L350" s="1">
        <v>0.28000000000000003</v>
      </c>
      <c r="M350" s="8">
        <f>TBL_Employees[[#This Row],[Annual Salary]]*TBL_Employees[[#This Row],[Bonus %]]</f>
        <v>42111.72</v>
      </c>
      <c r="N350" s="8">
        <f>SUM(TBL_Employees[[#This Row],[Annual Salary]],TBL_Employees[[#This Row],[TOTAL BONUS]])</f>
        <v>192510.72</v>
      </c>
      <c r="O350" s="8">
        <f>TBL_Employees[[#This Row],[Annual Salary]]*TBL_Employees[[#This Row],[Bonus %]]/100+TBL_Employees[[#This Row],[Annual Salary]]</f>
        <v>150820.11720000001</v>
      </c>
      <c r="P350" t="s">
        <v>19</v>
      </c>
      <c r="Q350" t="s">
        <v>20</v>
      </c>
      <c r="R350" s="6" t="s">
        <v>21</v>
      </c>
    </row>
    <row r="351" spans="1:18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 s="17"/>
      <c r="I351">
        <v>37</v>
      </c>
      <c r="J351" s="6">
        <v>41048</v>
      </c>
      <c r="K351" s="8">
        <v>160280</v>
      </c>
      <c r="L351" s="1">
        <v>0.19</v>
      </c>
      <c r="M351" s="8">
        <f>TBL_Employees[[#This Row],[Annual Salary]]*TBL_Employees[[#This Row],[Bonus %]]</f>
        <v>30453.200000000001</v>
      </c>
      <c r="N351" s="8">
        <f>SUM(TBL_Employees[[#This Row],[Annual Salary]],TBL_Employees[[#This Row],[TOTAL BONUS]])</f>
        <v>190733.2</v>
      </c>
      <c r="O351" s="8">
        <f>TBL_Employees[[#This Row],[Annual Salary]]*TBL_Employees[[#This Row],[Bonus %]]/100+TBL_Employees[[#This Row],[Annual Salary]]</f>
        <v>160584.53200000001</v>
      </c>
      <c r="P351" t="s">
        <v>33</v>
      </c>
      <c r="Q351" t="s">
        <v>60</v>
      </c>
      <c r="R351" s="6" t="s">
        <v>21</v>
      </c>
    </row>
    <row r="352" spans="1:18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 s="17"/>
      <c r="I352">
        <v>57</v>
      </c>
      <c r="J352" s="6">
        <v>35548</v>
      </c>
      <c r="K352" s="8">
        <v>54051</v>
      </c>
      <c r="L352" s="1">
        <v>0</v>
      </c>
      <c r="M352" s="8">
        <f>TBL_Employees[[#This Row],[Annual Salary]]*TBL_Employees[[#This Row],[Bonus %]]</f>
        <v>0</v>
      </c>
      <c r="N352" s="8">
        <f>SUM(TBL_Employees[[#This Row],[Annual Salary]],TBL_Employees[[#This Row],[TOTAL BONUS]])</f>
        <v>54051</v>
      </c>
      <c r="O352" s="8">
        <f>TBL_Employees[[#This Row],[Annual Salary]]*TBL_Employees[[#This Row],[Bonus %]]/100+TBL_Employees[[#This Row],[Annual Salary]]</f>
        <v>54051</v>
      </c>
      <c r="P352" t="s">
        <v>19</v>
      </c>
      <c r="Q352" t="s">
        <v>45</v>
      </c>
      <c r="R352" s="6">
        <v>36079</v>
      </c>
    </row>
    <row r="353" spans="1:18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 s="17"/>
      <c r="I353">
        <v>59</v>
      </c>
      <c r="J353" s="6">
        <v>37726</v>
      </c>
      <c r="K353" s="8">
        <v>150699</v>
      </c>
      <c r="L353" s="1">
        <v>0.28999999999999998</v>
      </c>
      <c r="M353" s="8">
        <f>TBL_Employees[[#This Row],[Annual Salary]]*TBL_Employees[[#This Row],[Bonus %]]</f>
        <v>43702.71</v>
      </c>
      <c r="N353" s="8">
        <f>SUM(TBL_Employees[[#This Row],[Annual Salary]],TBL_Employees[[#This Row],[TOTAL BONUS]])</f>
        <v>194401.71</v>
      </c>
      <c r="O353" s="8">
        <f>TBL_Employees[[#This Row],[Annual Salary]]*TBL_Employees[[#This Row],[Bonus %]]/100+TBL_Employees[[#This Row],[Annual Salary]]</f>
        <v>151136.02710000001</v>
      </c>
      <c r="P353" t="s">
        <v>52</v>
      </c>
      <c r="Q353" t="s">
        <v>53</v>
      </c>
      <c r="R353" s="6" t="s">
        <v>21</v>
      </c>
    </row>
    <row r="354" spans="1:18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 s="17"/>
      <c r="I354">
        <v>37</v>
      </c>
      <c r="J354" s="6">
        <v>41363</v>
      </c>
      <c r="K354" s="8">
        <v>69570</v>
      </c>
      <c r="L354" s="1">
        <v>0</v>
      </c>
      <c r="M354" s="8">
        <f>TBL_Employees[[#This Row],[Annual Salary]]*TBL_Employees[[#This Row],[Bonus %]]</f>
        <v>0</v>
      </c>
      <c r="N354" s="8">
        <f>SUM(TBL_Employees[[#This Row],[Annual Salary]],TBL_Employees[[#This Row],[TOTAL BONUS]])</f>
        <v>69570</v>
      </c>
      <c r="O354" s="8">
        <f>TBL_Employees[[#This Row],[Annual Salary]]*TBL_Employees[[#This Row],[Bonus %]]/100+TBL_Employees[[#This Row],[Annual Salary]]</f>
        <v>69570</v>
      </c>
      <c r="P354" t="s">
        <v>19</v>
      </c>
      <c r="Q354" t="s">
        <v>45</v>
      </c>
      <c r="R354" s="6" t="s">
        <v>21</v>
      </c>
    </row>
    <row r="355" spans="1:18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 s="17"/>
      <c r="I355">
        <v>30</v>
      </c>
      <c r="J355" s="6">
        <v>43553</v>
      </c>
      <c r="K355" s="8">
        <v>86774</v>
      </c>
      <c r="L355" s="1">
        <v>0</v>
      </c>
      <c r="M355" s="8">
        <f>TBL_Employees[[#This Row],[Annual Salary]]*TBL_Employees[[#This Row],[Bonus %]]</f>
        <v>0</v>
      </c>
      <c r="N355" s="8">
        <f>SUM(TBL_Employees[[#This Row],[Annual Salary]],TBL_Employees[[#This Row],[TOTAL BONUS]])</f>
        <v>86774</v>
      </c>
      <c r="O355" s="8">
        <f>TBL_Employees[[#This Row],[Annual Salary]]*TBL_Employees[[#This Row],[Bonus %]]/100+TBL_Employees[[#This Row],[Annual Salary]]</f>
        <v>86774</v>
      </c>
      <c r="P355" t="s">
        <v>33</v>
      </c>
      <c r="Q355" t="s">
        <v>34</v>
      </c>
      <c r="R355" s="6" t="s">
        <v>21</v>
      </c>
    </row>
    <row r="356" spans="1:18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 s="17"/>
      <c r="I356">
        <v>49</v>
      </c>
      <c r="J356" s="6">
        <v>36979</v>
      </c>
      <c r="K356" s="8">
        <v>57606</v>
      </c>
      <c r="L356" s="1">
        <v>0</v>
      </c>
      <c r="M356" s="8">
        <f>TBL_Employees[[#This Row],[Annual Salary]]*TBL_Employees[[#This Row],[Bonus %]]</f>
        <v>0</v>
      </c>
      <c r="N356" s="8">
        <f>SUM(TBL_Employees[[#This Row],[Annual Salary]],TBL_Employees[[#This Row],[TOTAL BONUS]])</f>
        <v>57606</v>
      </c>
      <c r="O356" s="8">
        <f>TBL_Employees[[#This Row],[Annual Salary]]*TBL_Employees[[#This Row],[Bonus %]]/100+TBL_Employees[[#This Row],[Annual Salary]]</f>
        <v>57606</v>
      </c>
      <c r="P356" t="s">
        <v>19</v>
      </c>
      <c r="Q356" t="s">
        <v>45</v>
      </c>
      <c r="R356" s="6" t="s">
        <v>21</v>
      </c>
    </row>
    <row r="357" spans="1:18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 s="17"/>
      <c r="I357">
        <v>48</v>
      </c>
      <c r="J357" s="6">
        <v>37144</v>
      </c>
      <c r="K357" s="8">
        <v>125730</v>
      </c>
      <c r="L357" s="1">
        <v>0.11</v>
      </c>
      <c r="M357" s="8">
        <f>TBL_Employees[[#This Row],[Annual Salary]]*TBL_Employees[[#This Row],[Bonus %]]</f>
        <v>13830.3</v>
      </c>
      <c r="N357" s="8">
        <f>SUM(TBL_Employees[[#This Row],[Annual Salary]],TBL_Employees[[#This Row],[TOTAL BONUS]])</f>
        <v>139560.29999999999</v>
      </c>
      <c r="O357" s="8">
        <f>TBL_Employees[[#This Row],[Annual Salary]]*TBL_Employees[[#This Row],[Bonus %]]/100+TBL_Employees[[#This Row],[Annual Salary]]</f>
        <v>125868.303</v>
      </c>
      <c r="P357" t="s">
        <v>33</v>
      </c>
      <c r="Q357" t="s">
        <v>80</v>
      </c>
      <c r="R357" s="6" t="s">
        <v>21</v>
      </c>
    </row>
    <row r="358" spans="1:18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 s="17"/>
      <c r="I358">
        <v>51</v>
      </c>
      <c r="J358" s="6">
        <v>40964</v>
      </c>
      <c r="K358" s="8">
        <v>64170</v>
      </c>
      <c r="L358" s="1">
        <v>0</v>
      </c>
      <c r="M358" s="8">
        <f>TBL_Employees[[#This Row],[Annual Salary]]*TBL_Employees[[#This Row],[Bonus %]]</f>
        <v>0</v>
      </c>
      <c r="N358" s="8">
        <f>SUM(TBL_Employees[[#This Row],[Annual Salary]],TBL_Employees[[#This Row],[TOTAL BONUS]])</f>
        <v>64170</v>
      </c>
      <c r="O358" s="8">
        <f>TBL_Employees[[#This Row],[Annual Salary]]*TBL_Employees[[#This Row],[Bonus %]]/100+TBL_Employees[[#This Row],[Annual Salary]]</f>
        <v>64170</v>
      </c>
      <c r="P358" t="s">
        <v>19</v>
      </c>
      <c r="Q358" t="s">
        <v>29</v>
      </c>
      <c r="R358" s="6" t="s">
        <v>21</v>
      </c>
    </row>
    <row r="359" spans="1:18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 s="17"/>
      <c r="I359">
        <v>56</v>
      </c>
      <c r="J359" s="6">
        <v>35816</v>
      </c>
      <c r="K359" s="8">
        <v>72303</v>
      </c>
      <c r="L359" s="1">
        <v>0</v>
      </c>
      <c r="M359" s="8">
        <f>TBL_Employees[[#This Row],[Annual Salary]]*TBL_Employees[[#This Row],[Bonus %]]</f>
        <v>0</v>
      </c>
      <c r="N359" s="8">
        <f>SUM(TBL_Employees[[#This Row],[Annual Salary]],TBL_Employees[[#This Row],[TOTAL BONUS]])</f>
        <v>72303</v>
      </c>
      <c r="O359" s="8">
        <f>TBL_Employees[[#This Row],[Annual Salary]]*TBL_Employees[[#This Row],[Bonus %]]/100+TBL_Employees[[#This Row],[Annual Salary]]</f>
        <v>72303</v>
      </c>
      <c r="P359" t="s">
        <v>19</v>
      </c>
      <c r="Q359" t="s">
        <v>39</v>
      </c>
      <c r="R359" s="6" t="s">
        <v>21</v>
      </c>
    </row>
    <row r="360" spans="1:18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 s="17"/>
      <c r="I360">
        <v>36</v>
      </c>
      <c r="J360" s="6">
        <v>41116</v>
      </c>
      <c r="K360" s="8">
        <v>105891</v>
      </c>
      <c r="L360" s="1">
        <v>7.0000000000000007E-2</v>
      </c>
      <c r="M360" s="8">
        <f>TBL_Employees[[#This Row],[Annual Salary]]*TBL_Employees[[#This Row],[Bonus %]]</f>
        <v>7412.3700000000008</v>
      </c>
      <c r="N360" s="8">
        <f>SUM(TBL_Employees[[#This Row],[Annual Salary]],TBL_Employees[[#This Row],[TOTAL BONUS]])</f>
        <v>113303.37</v>
      </c>
      <c r="O360" s="8">
        <f>TBL_Employees[[#This Row],[Annual Salary]]*TBL_Employees[[#This Row],[Bonus %]]/100+TBL_Employees[[#This Row],[Annual Salary]]</f>
        <v>105965.1237</v>
      </c>
      <c r="P360" t="s">
        <v>19</v>
      </c>
      <c r="Q360" t="s">
        <v>63</v>
      </c>
      <c r="R360" s="6" t="s">
        <v>21</v>
      </c>
    </row>
    <row r="361" spans="1:18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 s="17"/>
      <c r="I361">
        <v>38</v>
      </c>
      <c r="J361" s="6">
        <v>44433</v>
      </c>
      <c r="K361" s="8">
        <v>255230</v>
      </c>
      <c r="L361" s="1">
        <v>0.36</v>
      </c>
      <c r="M361" s="8">
        <f>TBL_Employees[[#This Row],[Annual Salary]]*TBL_Employees[[#This Row],[Bonus %]]</f>
        <v>91882.8</v>
      </c>
      <c r="N361" s="8">
        <f>SUM(TBL_Employees[[#This Row],[Annual Salary]],TBL_Employees[[#This Row],[TOTAL BONUS]])</f>
        <v>347112.8</v>
      </c>
      <c r="O361" s="8">
        <f>TBL_Employees[[#This Row],[Annual Salary]]*TBL_Employees[[#This Row],[Bonus %]]/100+TBL_Employees[[#This Row],[Annual Salary]]</f>
        <v>256148.82800000001</v>
      </c>
      <c r="P361" t="s">
        <v>19</v>
      </c>
      <c r="Q361" t="s">
        <v>25</v>
      </c>
      <c r="R361" s="6" t="s">
        <v>21</v>
      </c>
    </row>
    <row r="362" spans="1:18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 s="17"/>
      <c r="I362">
        <v>56</v>
      </c>
      <c r="J362" s="6">
        <v>33770</v>
      </c>
      <c r="K362" s="8">
        <v>59591</v>
      </c>
      <c r="L362" s="1">
        <v>0</v>
      </c>
      <c r="M362" s="8">
        <f>TBL_Employees[[#This Row],[Annual Salary]]*TBL_Employees[[#This Row],[Bonus %]]</f>
        <v>0</v>
      </c>
      <c r="N362" s="8">
        <f>SUM(TBL_Employees[[#This Row],[Annual Salary]],TBL_Employees[[#This Row],[TOTAL BONUS]])</f>
        <v>59591</v>
      </c>
      <c r="O362" s="8">
        <f>TBL_Employees[[#This Row],[Annual Salary]]*TBL_Employees[[#This Row],[Bonus %]]/100+TBL_Employees[[#This Row],[Annual Salary]]</f>
        <v>59591</v>
      </c>
      <c r="P362" t="s">
        <v>52</v>
      </c>
      <c r="Q362" t="s">
        <v>53</v>
      </c>
      <c r="R362" s="6" t="s">
        <v>21</v>
      </c>
    </row>
    <row r="363" spans="1:18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 s="17"/>
      <c r="I363">
        <v>52</v>
      </c>
      <c r="J363" s="6">
        <v>41113</v>
      </c>
      <c r="K363" s="8">
        <v>187048</v>
      </c>
      <c r="L363" s="1">
        <v>0.32</v>
      </c>
      <c r="M363" s="8">
        <f>TBL_Employees[[#This Row],[Annual Salary]]*TBL_Employees[[#This Row],[Bonus %]]</f>
        <v>59855.360000000001</v>
      </c>
      <c r="N363" s="8">
        <f>SUM(TBL_Employees[[#This Row],[Annual Salary]],TBL_Employees[[#This Row],[TOTAL BONUS]])</f>
        <v>246903.36</v>
      </c>
      <c r="O363" s="8">
        <f>TBL_Employees[[#This Row],[Annual Salary]]*TBL_Employees[[#This Row],[Bonus %]]/100+TBL_Employees[[#This Row],[Annual Salary]]</f>
        <v>187646.55360000001</v>
      </c>
      <c r="P363" t="s">
        <v>33</v>
      </c>
      <c r="Q363" t="s">
        <v>34</v>
      </c>
      <c r="R363" s="6" t="s">
        <v>21</v>
      </c>
    </row>
    <row r="364" spans="1:18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 s="17"/>
      <c r="I364">
        <v>53</v>
      </c>
      <c r="J364" s="6">
        <v>37296</v>
      </c>
      <c r="K364" s="8">
        <v>58605</v>
      </c>
      <c r="L364" s="1">
        <v>0</v>
      </c>
      <c r="M364" s="8">
        <f>TBL_Employees[[#This Row],[Annual Salary]]*TBL_Employees[[#This Row],[Bonus %]]</f>
        <v>0</v>
      </c>
      <c r="N364" s="8">
        <f>SUM(TBL_Employees[[#This Row],[Annual Salary]],TBL_Employees[[#This Row],[TOTAL BONUS]])</f>
        <v>58605</v>
      </c>
      <c r="O364" s="8">
        <f>TBL_Employees[[#This Row],[Annual Salary]]*TBL_Employees[[#This Row],[Bonus %]]/100+TBL_Employees[[#This Row],[Annual Salary]]</f>
        <v>58605</v>
      </c>
      <c r="P364" t="s">
        <v>19</v>
      </c>
      <c r="Q364" t="s">
        <v>39</v>
      </c>
      <c r="R364" s="6" t="s">
        <v>21</v>
      </c>
    </row>
    <row r="365" spans="1:18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 s="17"/>
      <c r="I365">
        <v>60</v>
      </c>
      <c r="J365" s="6">
        <v>42739</v>
      </c>
      <c r="K365" s="8">
        <v>178502</v>
      </c>
      <c r="L365" s="1">
        <v>0.2</v>
      </c>
      <c r="M365" s="8">
        <f>TBL_Employees[[#This Row],[Annual Salary]]*TBL_Employees[[#This Row],[Bonus %]]</f>
        <v>35700.400000000001</v>
      </c>
      <c r="N365" s="8">
        <f>SUM(TBL_Employees[[#This Row],[Annual Salary]],TBL_Employees[[#This Row],[TOTAL BONUS]])</f>
        <v>214202.4</v>
      </c>
      <c r="O365" s="8">
        <f>TBL_Employees[[#This Row],[Annual Salary]]*TBL_Employees[[#This Row],[Bonus %]]/100+TBL_Employees[[#This Row],[Annual Salary]]</f>
        <v>178859.00399999999</v>
      </c>
      <c r="P365" t="s">
        <v>19</v>
      </c>
      <c r="Q365" t="s">
        <v>25</v>
      </c>
      <c r="R365" s="6" t="s">
        <v>21</v>
      </c>
    </row>
    <row r="366" spans="1:18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 s="17"/>
      <c r="I366">
        <v>63</v>
      </c>
      <c r="J366" s="6">
        <v>42214</v>
      </c>
      <c r="K366" s="8">
        <v>103724</v>
      </c>
      <c r="L366" s="1">
        <v>0.05</v>
      </c>
      <c r="M366" s="8">
        <f>TBL_Employees[[#This Row],[Annual Salary]]*TBL_Employees[[#This Row],[Bonus %]]</f>
        <v>5186.2000000000007</v>
      </c>
      <c r="N366" s="8">
        <f>SUM(TBL_Employees[[#This Row],[Annual Salary]],TBL_Employees[[#This Row],[TOTAL BONUS]])</f>
        <v>108910.2</v>
      </c>
      <c r="O366" s="8">
        <f>TBL_Employees[[#This Row],[Annual Salary]]*TBL_Employees[[#This Row],[Bonus %]]/100+TBL_Employees[[#This Row],[Annual Salary]]</f>
        <v>103775.86199999999</v>
      </c>
      <c r="P366" t="s">
        <v>33</v>
      </c>
      <c r="Q366" t="s">
        <v>74</v>
      </c>
      <c r="R366" s="6" t="s">
        <v>21</v>
      </c>
    </row>
    <row r="367" spans="1:18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 s="17"/>
      <c r="I367">
        <v>37</v>
      </c>
      <c r="J367" s="6">
        <v>39528</v>
      </c>
      <c r="K367" s="8">
        <v>156277</v>
      </c>
      <c r="L367" s="1">
        <v>0.22</v>
      </c>
      <c r="M367" s="8">
        <f>TBL_Employees[[#This Row],[Annual Salary]]*TBL_Employees[[#This Row],[Bonus %]]</f>
        <v>34380.94</v>
      </c>
      <c r="N367" s="8">
        <f>SUM(TBL_Employees[[#This Row],[Annual Salary]],TBL_Employees[[#This Row],[TOTAL BONUS]])</f>
        <v>190657.94</v>
      </c>
      <c r="O367" s="8">
        <f>TBL_Employees[[#This Row],[Annual Salary]]*TBL_Employees[[#This Row],[Bonus %]]/100+TBL_Employees[[#This Row],[Annual Salary]]</f>
        <v>156620.8094</v>
      </c>
      <c r="P367" t="s">
        <v>52</v>
      </c>
      <c r="Q367" t="s">
        <v>81</v>
      </c>
      <c r="R367" s="6" t="s">
        <v>21</v>
      </c>
    </row>
    <row r="368" spans="1:18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 s="17"/>
      <c r="I368">
        <v>30</v>
      </c>
      <c r="J368" s="6">
        <v>43086</v>
      </c>
      <c r="K368" s="8">
        <v>87744</v>
      </c>
      <c r="L368" s="1">
        <v>0</v>
      </c>
      <c r="M368" s="8">
        <f>TBL_Employees[[#This Row],[Annual Salary]]*TBL_Employees[[#This Row],[Bonus %]]</f>
        <v>0</v>
      </c>
      <c r="N368" s="8">
        <f>SUM(TBL_Employees[[#This Row],[Annual Salary]],TBL_Employees[[#This Row],[TOTAL BONUS]])</f>
        <v>87744</v>
      </c>
      <c r="O368" s="8">
        <f>TBL_Employees[[#This Row],[Annual Salary]]*TBL_Employees[[#This Row],[Bonus %]]/100+TBL_Employees[[#This Row],[Annual Salary]]</f>
        <v>87744</v>
      </c>
      <c r="P368" t="s">
        <v>52</v>
      </c>
      <c r="Q368" t="s">
        <v>53</v>
      </c>
      <c r="R368" s="6" t="s">
        <v>21</v>
      </c>
    </row>
    <row r="369" spans="1:18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 s="17"/>
      <c r="I369">
        <v>30</v>
      </c>
      <c r="J369" s="6">
        <v>43542</v>
      </c>
      <c r="K369" s="8">
        <v>54714</v>
      </c>
      <c r="L369" s="1">
        <v>0</v>
      </c>
      <c r="M369" s="8">
        <f>TBL_Employees[[#This Row],[Annual Salary]]*TBL_Employees[[#This Row],[Bonus %]]</f>
        <v>0</v>
      </c>
      <c r="N369" s="8">
        <f>SUM(TBL_Employees[[#This Row],[Annual Salary]],TBL_Employees[[#This Row],[TOTAL BONUS]])</f>
        <v>54714</v>
      </c>
      <c r="O369" s="8">
        <f>TBL_Employees[[#This Row],[Annual Salary]]*TBL_Employees[[#This Row],[Bonus %]]/100+TBL_Employees[[#This Row],[Annual Salary]]</f>
        <v>54714</v>
      </c>
      <c r="P369" t="s">
        <v>19</v>
      </c>
      <c r="Q369" t="s">
        <v>29</v>
      </c>
      <c r="R369" s="6" t="s">
        <v>21</v>
      </c>
    </row>
    <row r="370" spans="1:18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 s="17"/>
      <c r="I370">
        <v>45</v>
      </c>
      <c r="J370" s="6">
        <v>41511</v>
      </c>
      <c r="K370" s="8">
        <v>99169</v>
      </c>
      <c r="L370" s="1">
        <v>0</v>
      </c>
      <c r="M370" s="8">
        <f>TBL_Employees[[#This Row],[Annual Salary]]*TBL_Employees[[#This Row],[Bonus %]]</f>
        <v>0</v>
      </c>
      <c r="N370" s="8">
        <f>SUM(TBL_Employees[[#This Row],[Annual Salary]],TBL_Employees[[#This Row],[TOTAL BONUS]])</f>
        <v>99169</v>
      </c>
      <c r="O370" s="8">
        <f>TBL_Employees[[#This Row],[Annual Salary]]*TBL_Employees[[#This Row],[Bonus %]]/100+TBL_Employees[[#This Row],[Annual Salary]]</f>
        <v>99169</v>
      </c>
      <c r="P370" t="s">
        <v>33</v>
      </c>
      <c r="Q370" t="s">
        <v>60</v>
      </c>
      <c r="R370" s="6" t="s">
        <v>21</v>
      </c>
    </row>
    <row r="371" spans="1:18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 s="17"/>
      <c r="I371">
        <v>55</v>
      </c>
      <c r="J371" s="6">
        <v>38888</v>
      </c>
      <c r="K371" s="8">
        <v>142628</v>
      </c>
      <c r="L371" s="1">
        <v>0.12</v>
      </c>
      <c r="M371" s="8">
        <f>TBL_Employees[[#This Row],[Annual Salary]]*TBL_Employees[[#This Row],[Bonus %]]</f>
        <v>17115.36</v>
      </c>
      <c r="N371" s="8">
        <f>SUM(TBL_Employees[[#This Row],[Annual Salary]],TBL_Employees[[#This Row],[TOTAL BONUS]])</f>
        <v>159743.35999999999</v>
      </c>
      <c r="O371" s="8">
        <f>TBL_Employees[[#This Row],[Annual Salary]]*TBL_Employees[[#This Row],[Bonus %]]/100+TBL_Employees[[#This Row],[Annual Salary]]</f>
        <v>142799.15359999999</v>
      </c>
      <c r="P371" t="s">
        <v>33</v>
      </c>
      <c r="Q371" t="s">
        <v>80</v>
      </c>
      <c r="R371" s="6" t="s">
        <v>21</v>
      </c>
    </row>
    <row r="372" spans="1:18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 s="17"/>
      <c r="I372">
        <v>33</v>
      </c>
      <c r="J372" s="6">
        <v>41756</v>
      </c>
      <c r="K372" s="8">
        <v>75869</v>
      </c>
      <c r="L372" s="1">
        <v>0</v>
      </c>
      <c r="M372" s="8">
        <f>TBL_Employees[[#This Row],[Annual Salary]]*TBL_Employees[[#This Row],[Bonus %]]</f>
        <v>0</v>
      </c>
      <c r="N372" s="8">
        <f>SUM(TBL_Employees[[#This Row],[Annual Salary]],TBL_Employees[[#This Row],[TOTAL BONUS]])</f>
        <v>75869</v>
      </c>
      <c r="O372" s="8">
        <f>TBL_Employees[[#This Row],[Annual Salary]]*TBL_Employees[[#This Row],[Bonus %]]/100+TBL_Employees[[#This Row],[Annual Salary]]</f>
        <v>75869</v>
      </c>
      <c r="P372" t="s">
        <v>52</v>
      </c>
      <c r="Q372" t="s">
        <v>53</v>
      </c>
      <c r="R372" s="6" t="s">
        <v>21</v>
      </c>
    </row>
    <row r="373" spans="1:18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 s="17"/>
      <c r="I373">
        <v>65</v>
      </c>
      <c r="J373" s="6">
        <v>43234</v>
      </c>
      <c r="K373" s="8">
        <v>60985</v>
      </c>
      <c r="L373" s="1">
        <v>0</v>
      </c>
      <c r="M373" s="8">
        <f>TBL_Employees[[#This Row],[Annual Salary]]*TBL_Employees[[#This Row],[Bonus %]]</f>
        <v>0</v>
      </c>
      <c r="N373" s="8">
        <f>SUM(TBL_Employees[[#This Row],[Annual Salary]],TBL_Employees[[#This Row],[TOTAL BONUS]])</f>
        <v>60985</v>
      </c>
      <c r="O373" s="8">
        <f>TBL_Employees[[#This Row],[Annual Salary]]*TBL_Employees[[#This Row],[Bonus %]]/100+TBL_Employees[[#This Row],[Annual Salary]]</f>
        <v>60985</v>
      </c>
      <c r="P373" t="s">
        <v>19</v>
      </c>
      <c r="Q373" t="s">
        <v>63</v>
      </c>
      <c r="R373" s="6" t="s">
        <v>21</v>
      </c>
    </row>
    <row r="374" spans="1:18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 s="17"/>
      <c r="I374">
        <v>60</v>
      </c>
      <c r="J374" s="6">
        <v>40383</v>
      </c>
      <c r="K374" s="8">
        <v>126911</v>
      </c>
      <c r="L374" s="1">
        <v>0.1</v>
      </c>
      <c r="M374" s="8">
        <f>TBL_Employees[[#This Row],[Annual Salary]]*TBL_Employees[[#This Row],[Bonus %]]</f>
        <v>12691.1</v>
      </c>
      <c r="N374" s="8">
        <f>SUM(TBL_Employees[[#This Row],[Annual Salary]],TBL_Employees[[#This Row],[TOTAL BONUS]])</f>
        <v>139602.1</v>
      </c>
      <c r="O374" s="8">
        <f>TBL_Employees[[#This Row],[Annual Salary]]*TBL_Employees[[#This Row],[Bonus %]]/100+TBL_Employees[[#This Row],[Annual Salary]]</f>
        <v>127037.91099999999</v>
      </c>
      <c r="P374" t="s">
        <v>33</v>
      </c>
      <c r="Q374" t="s">
        <v>74</v>
      </c>
      <c r="R374" s="6" t="s">
        <v>21</v>
      </c>
    </row>
    <row r="375" spans="1:18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 s="17"/>
      <c r="I375">
        <v>56</v>
      </c>
      <c r="J375" s="6">
        <v>38042</v>
      </c>
      <c r="K375" s="8">
        <v>216949</v>
      </c>
      <c r="L375" s="1">
        <v>0.32</v>
      </c>
      <c r="M375" s="8">
        <f>TBL_Employees[[#This Row],[Annual Salary]]*TBL_Employees[[#This Row],[Bonus %]]</f>
        <v>69423.680000000008</v>
      </c>
      <c r="N375" s="8">
        <f>SUM(TBL_Employees[[#This Row],[Annual Salary]],TBL_Employees[[#This Row],[TOTAL BONUS]])</f>
        <v>286372.68</v>
      </c>
      <c r="O375" s="8">
        <f>TBL_Employees[[#This Row],[Annual Salary]]*TBL_Employees[[#This Row],[Bonus %]]/100+TBL_Employees[[#This Row],[Annual Salary]]</f>
        <v>217643.23680000001</v>
      </c>
      <c r="P375" t="s">
        <v>33</v>
      </c>
      <c r="Q375" t="s">
        <v>74</v>
      </c>
      <c r="R375" s="6" t="s">
        <v>21</v>
      </c>
    </row>
    <row r="376" spans="1:18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 s="17"/>
      <c r="I376">
        <v>53</v>
      </c>
      <c r="J376" s="6">
        <v>41204</v>
      </c>
      <c r="K376" s="8">
        <v>168510</v>
      </c>
      <c r="L376" s="1">
        <v>0.28999999999999998</v>
      </c>
      <c r="M376" s="8">
        <f>TBL_Employees[[#This Row],[Annual Salary]]*TBL_Employees[[#This Row],[Bonus %]]</f>
        <v>48867.899999999994</v>
      </c>
      <c r="N376" s="8">
        <f>SUM(TBL_Employees[[#This Row],[Annual Salary]],TBL_Employees[[#This Row],[TOTAL BONUS]])</f>
        <v>217377.9</v>
      </c>
      <c r="O376" s="8">
        <f>TBL_Employees[[#This Row],[Annual Salary]]*TBL_Employees[[#This Row],[Bonus %]]/100+TBL_Employees[[#This Row],[Annual Salary]]</f>
        <v>168998.679</v>
      </c>
      <c r="P376" t="s">
        <v>19</v>
      </c>
      <c r="Q376" t="s">
        <v>63</v>
      </c>
      <c r="R376" s="6" t="s">
        <v>21</v>
      </c>
    </row>
    <row r="377" spans="1:18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 s="17"/>
      <c r="I377">
        <v>36</v>
      </c>
      <c r="J377" s="6">
        <v>42443</v>
      </c>
      <c r="K377" s="8">
        <v>85870</v>
      </c>
      <c r="L377" s="1">
        <v>0</v>
      </c>
      <c r="M377" s="8">
        <f>TBL_Employees[[#This Row],[Annual Salary]]*TBL_Employees[[#This Row],[Bonus %]]</f>
        <v>0</v>
      </c>
      <c r="N377" s="8">
        <f>SUM(TBL_Employees[[#This Row],[Annual Salary]],TBL_Employees[[#This Row],[TOTAL BONUS]])</f>
        <v>85870</v>
      </c>
      <c r="O377" s="8">
        <f>TBL_Employees[[#This Row],[Annual Salary]]*TBL_Employees[[#This Row],[Bonus %]]/100+TBL_Employees[[#This Row],[Annual Salary]]</f>
        <v>85870</v>
      </c>
      <c r="P377" t="s">
        <v>52</v>
      </c>
      <c r="Q377" t="s">
        <v>53</v>
      </c>
      <c r="R377" s="6" t="s">
        <v>21</v>
      </c>
    </row>
    <row r="378" spans="1:18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 s="17"/>
      <c r="I378">
        <v>46</v>
      </c>
      <c r="J378" s="6">
        <v>37271</v>
      </c>
      <c r="K378" s="8">
        <v>86510</v>
      </c>
      <c r="L378" s="1">
        <v>0</v>
      </c>
      <c r="M378" s="8">
        <f>TBL_Employees[[#This Row],[Annual Salary]]*TBL_Employees[[#This Row],[Bonus %]]</f>
        <v>0</v>
      </c>
      <c r="N378" s="8">
        <f>SUM(TBL_Employees[[#This Row],[Annual Salary]],TBL_Employees[[#This Row],[TOTAL BONUS]])</f>
        <v>86510</v>
      </c>
      <c r="O378" s="8">
        <f>TBL_Employees[[#This Row],[Annual Salary]]*TBL_Employees[[#This Row],[Bonus %]]/100+TBL_Employees[[#This Row],[Annual Salary]]</f>
        <v>86510</v>
      </c>
      <c r="P378" t="s">
        <v>33</v>
      </c>
      <c r="Q378" t="s">
        <v>60</v>
      </c>
      <c r="R378" s="6">
        <v>37623</v>
      </c>
    </row>
    <row r="379" spans="1:18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 s="17"/>
      <c r="I379">
        <v>38</v>
      </c>
      <c r="J379" s="6">
        <v>42999</v>
      </c>
      <c r="K379" s="8">
        <v>119647</v>
      </c>
      <c r="L379" s="1">
        <v>0.09</v>
      </c>
      <c r="M379" s="8">
        <f>TBL_Employees[[#This Row],[Annual Salary]]*TBL_Employees[[#This Row],[Bonus %]]</f>
        <v>10768.23</v>
      </c>
      <c r="N379" s="8">
        <f>SUM(TBL_Employees[[#This Row],[Annual Salary]],TBL_Employees[[#This Row],[TOTAL BONUS]])</f>
        <v>130415.23</v>
      </c>
      <c r="O379" s="8">
        <f>TBL_Employees[[#This Row],[Annual Salary]]*TBL_Employees[[#This Row],[Bonus %]]/100+TBL_Employees[[#This Row],[Annual Salary]]</f>
        <v>119754.6823</v>
      </c>
      <c r="P379" t="s">
        <v>52</v>
      </c>
      <c r="Q379" t="s">
        <v>53</v>
      </c>
      <c r="R379" s="6" t="s">
        <v>21</v>
      </c>
    </row>
    <row r="380" spans="1:18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 s="17"/>
      <c r="I380">
        <v>62</v>
      </c>
      <c r="J380" s="6">
        <v>36996</v>
      </c>
      <c r="K380" s="8">
        <v>80921</v>
      </c>
      <c r="L380" s="1">
        <v>0</v>
      </c>
      <c r="M380" s="8">
        <f>TBL_Employees[[#This Row],[Annual Salary]]*TBL_Employees[[#This Row],[Bonus %]]</f>
        <v>0</v>
      </c>
      <c r="N380" s="8">
        <f>SUM(TBL_Employees[[#This Row],[Annual Salary]],TBL_Employees[[#This Row],[TOTAL BONUS]])</f>
        <v>80921</v>
      </c>
      <c r="O380" s="8">
        <f>TBL_Employees[[#This Row],[Annual Salary]]*TBL_Employees[[#This Row],[Bonus %]]/100+TBL_Employees[[#This Row],[Annual Salary]]</f>
        <v>80921</v>
      </c>
      <c r="P380" t="s">
        <v>19</v>
      </c>
      <c r="Q380" t="s">
        <v>29</v>
      </c>
      <c r="R380" s="6" t="s">
        <v>21</v>
      </c>
    </row>
    <row r="381" spans="1:18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 s="17"/>
      <c r="I381">
        <v>61</v>
      </c>
      <c r="J381" s="6">
        <v>40193</v>
      </c>
      <c r="K381" s="8">
        <v>98110</v>
      </c>
      <c r="L381" s="1">
        <v>0.13</v>
      </c>
      <c r="M381" s="8">
        <f>TBL_Employees[[#This Row],[Annual Salary]]*TBL_Employees[[#This Row],[Bonus %]]</f>
        <v>12754.300000000001</v>
      </c>
      <c r="N381" s="8">
        <f>SUM(TBL_Employees[[#This Row],[Annual Salary]],TBL_Employees[[#This Row],[TOTAL BONUS]])</f>
        <v>110864.3</v>
      </c>
      <c r="O381" s="8">
        <f>TBL_Employees[[#This Row],[Annual Salary]]*TBL_Employees[[#This Row],[Bonus %]]/100+TBL_Employees[[#This Row],[Annual Salary]]</f>
        <v>98237.543000000005</v>
      </c>
      <c r="P381" t="s">
        <v>19</v>
      </c>
      <c r="Q381" t="s">
        <v>20</v>
      </c>
      <c r="R381" s="6" t="s">
        <v>21</v>
      </c>
    </row>
    <row r="382" spans="1:18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 s="17"/>
      <c r="I382">
        <v>59</v>
      </c>
      <c r="J382" s="6">
        <v>43028</v>
      </c>
      <c r="K382" s="8">
        <v>86831</v>
      </c>
      <c r="L382" s="1">
        <v>0</v>
      </c>
      <c r="M382" s="8">
        <f>TBL_Employees[[#This Row],[Annual Salary]]*TBL_Employees[[#This Row],[Bonus %]]</f>
        <v>0</v>
      </c>
      <c r="N382" s="8">
        <f>SUM(TBL_Employees[[#This Row],[Annual Salary]],TBL_Employees[[#This Row],[TOTAL BONUS]])</f>
        <v>86831</v>
      </c>
      <c r="O382" s="8">
        <f>TBL_Employees[[#This Row],[Annual Salary]]*TBL_Employees[[#This Row],[Bonus %]]/100+TBL_Employees[[#This Row],[Annual Salary]]</f>
        <v>86831</v>
      </c>
      <c r="P382" t="s">
        <v>19</v>
      </c>
      <c r="Q382" t="s">
        <v>39</v>
      </c>
      <c r="R382" s="6" t="s">
        <v>21</v>
      </c>
    </row>
    <row r="383" spans="1:18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 s="17"/>
      <c r="I383">
        <v>49</v>
      </c>
      <c r="J383" s="6">
        <v>40431</v>
      </c>
      <c r="K383" s="8">
        <v>72826</v>
      </c>
      <c r="L383" s="1">
        <v>0</v>
      </c>
      <c r="M383" s="8">
        <f>TBL_Employees[[#This Row],[Annual Salary]]*TBL_Employees[[#This Row],[Bonus %]]</f>
        <v>0</v>
      </c>
      <c r="N383" s="8">
        <f>SUM(TBL_Employees[[#This Row],[Annual Salary]],TBL_Employees[[#This Row],[TOTAL BONUS]])</f>
        <v>72826</v>
      </c>
      <c r="O383" s="8">
        <f>TBL_Employees[[#This Row],[Annual Salary]]*TBL_Employees[[#This Row],[Bonus %]]/100+TBL_Employees[[#This Row],[Annual Salary]]</f>
        <v>72826</v>
      </c>
      <c r="P383" t="s">
        <v>33</v>
      </c>
      <c r="Q383" t="s">
        <v>60</v>
      </c>
      <c r="R383" s="6" t="s">
        <v>21</v>
      </c>
    </row>
    <row r="384" spans="1:18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 s="17"/>
      <c r="I384">
        <v>64</v>
      </c>
      <c r="J384" s="6">
        <v>40588</v>
      </c>
      <c r="K384" s="8">
        <v>171217</v>
      </c>
      <c r="L384" s="1">
        <v>0.19</v>
      </c>
      <c r="M384" s="8">
        <f>TBL_Employees[[#This Row],[Annual Salary]]*TBL_Employees[[#This Row],[Bonus %]]</f>
        <v>32531.23</v>
      </c>
      <c r="N384" s="8">
        <f>SUM(TBL_Employees[[#This Row],[Annual Salary]],TBL_Employees[[#This Row],[TOTAL BONUS]])</f>
        <v>203748.23</v>
      </c>
      <c r="O384" s="8">
        <f>TBL_Employees[[#This Row],[Annual Salary]]*TBL_Employees[[#This Row],[Bonus %]]/100+TBL_Employees[[#This Row],[Annual Salary]]</f>
        <v>171542.31229999999</v>
      </c>
      <c r="P384" t="s">
        <v>19</v>
      </c>
      <c r="Q384" t="s">
        <v>63</v>
      </c>
      <c r="R384" s="6" t="s">
        <v>21</v>
      </c>
    </row>
    <row r="385" spans="1:18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 s="17"/>
      <c r="I385">
        <v>57</v>
      </c>
      <c r="J385" s="6">
        <v>43948</v>
      </c>
      <c r="K385" s="8">
        <v>103058</v>
      </c>
      <c r="L385" s="1">
        <v>7.0000000000000007E-2</v>
      </c>
      <c r="M385" s="8">
        <f>TBL_Employees[[#This Row],[Annual Salary]]*TBL_Employees[[#This Row],[Bonus %]]</f>
        <v>7214.06</v>
      </c>
      <c r="N385" s="8">
        <f>SUM(TBL_Employees[[#This Row],[Annual Salary]],TBL_Employees[[#This Row],[TOTAL BONUS]])</f>
        <v>110272.06</v>
      </c>
      <c r="O385" s="8">
        <f>TBL_Employees[[#This Row],[Annual Salary]]*TBL_Employees[[#This Row],[Bonus %]]/100+TBL_Employees[[#This Row],[Annual Salary]]</f>
        <v>103130.1406</v>
      </c>
      <c r="P385" t="s">
        <v>19</v>
      </c>
      <c r="Q385" t="s">
        <v>29</v>
      </c>
      <c r="R385" s="6" t="s">
        <v>21</v>
      </c>
    </row>
    <row r="386" spans="1:18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 s="17"/>
      <c r="I386">
        <v>52</v>
      </c>
      <c r="J386" s="6">
        <v>41858</v>
      </c>
      <c r="K386" s="8">
        <v>117062</v>
      </c>
      <c r="L386" s="1">
        <v>7.0000000000000007E-2</v>
      </c>
      <c r="M386" s="8">
        <f>TBL_Employees[[#This Row],[Annual Salary]]*TBL_Employees[[#This Row],[Bonus %]]</f>
        <v>8194.34</v>
      </c>
      <c r="N386" s="8">
        <f>SUM(TBL_Employees[[#This Row],[Annual Salary]],TBL_Employees[[#This Row],[TOTAL BONUS]])</f>
        <v>125256.34</v>
      </c>
      <c r="O386" s="8">
        <f>TBL_Employees[[#This Row],[Annual Salary]]*TBL_Employees[[#This Row],[Bonus %]]/100+TBL_Employees[[#This Row],[Annual Salary]]</f>
        <v>117143.9434</v>
      </c>
      <c r="P386" t="s">
        <v>19</v>
      </c>
      <c r="Q386" t="s">
        <v>39</v>
      </c>
      <c r="R386" s="6" t="s">
        <v>21</v>
      </c>
    </row>
    <row r="387" spans="1:18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 s="17"/>
      <c r="I387">
        <v>40</v>
      </c>
      <c r="J387" s="6">
        <v>43488</v>
      </c>
      <c r="K387" s="8">
        <v>159031</v>
      </c>
      <c r="L387" s="1">
        <v>0.1</v>
      </c>
      <c r="M387" s="8">
        <f>TBL_Employees[[#This Row],[Annual Salary]]*TBL_Employees[[#This Row],[Bonus %]]</f>
        <v>15903.1</v>
      </c>
      <c r="N387" s="8">
        <f>SUM(TBL_Employees[[#This Row],[Annual Salary]],TBL_Employees[[#This Row],[TOTAL BONUS]])</f>
        <v>174934.1</v>
      </c>
      <c r="O387" s="8">
        <f>TBL_Employees[[#This Row],[Annual Salary]]*TBL_Employees[[#This Row],[Bonus %]]/100+TBL_Employees[[#This Row],[Annual Salary]]</f>
        <v>159190.03099999999</v>
      </c>
      <c r="P387" t="s">
        <v>19</v>
      </c>
      <c r="Q387" t="s">
        <v>45</v>
      </c>
      <c r="R387" s="6" t="s">
        <v>21</v>
      </c>
    </row>
    <row r="388" spans="1:18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 s="17"/>
      <c r="I388">
        <v>49</v>
      </c>
      <c r="J388" s="6">
        <v>38000</v>
      </c>
      <c r="K388" s="8">
        <v>125086</v>
      </c>
      <c r="L388" s="1">
        <v>0.1</v>
      </c>
      <c r="M388" s="8">
        <f>TBL_Employees[[#This Row],[Annual Salary]]*TBL_Employees[[#This Row],[Bonus %]]</f>
        <v>12508.6</v>
      </c>
      <c r="N388" s="8">
        <f>SUM(TBL_Employees[[#This Row],[Annual Salary]],TBL_Employees[[#This Row],[TOTAL BONUS]])</f>
        <v>137594.6</v>
      </c>
      <c r="O388" s="8">
        <f>TBL_Employees[[#This Row],[Annual Salary]]*TBL_Employees[[#This Row],[Bonus %]]/100+TBL_Employees[[#This Row],[Annual Salary]]</f>
        <v>125211.086</v>
      </c>
      <c r="P388" t="s">
        <v>52</v>
      </c>
      <c r="Q388" t="s">
        <v>53</v>
      </c>
      <c r="R388" s="6" t="s">
        <v>21</v>
      </c>
    </row>
    <row r="389" spans="1:18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 s="17"/>
      <c r="I389">
        <v>43</v>
      </c>
      <c r="J389" s="6">
        <v>42467</v>
      </c>
      <c r="K389" s="8">
        <v>67976</v>
      </c>
      <c r="L389" s="1">
        <v>0</v>
      </c>
      <c r="M389" s="8">
        <f>TBL_Employees[[#This Row],[Annual Salary]]*TBL_Employees[[#This Row],[Bonus %]]</f>
        <v>0</v>
      </c>
      <c r="N389" s="8">
        <f>SUM(TBL_Employees[[#This Row],[Annual Salary]],TBL_Employees[[#This Row],[TOTAL BONUS]])</f>
        <v>67976</v>
      </c>
      <c r="O389" s="8">
        <f>TBL_Employees[[#This Row],[Annual Salary]]*TBL_Employees[[#This Row],[Bonus %]]/100+TBL_Employees[[#This Row],[Annual Salary]]</f>
        <v>67976</v>
      </c>
      <c r="P389" t="s">
        <v>19</v>
      </c>
      <c r="Q389" t="s">
        <v>63</v>
      </c>
      <c r="R389" s="6" t="s">
        <v>21</v>
      </c>
    </row>
    <row r="390" spans="1:18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 s="17"/>
      <c r="I390">
        <v>31</v>
      </c>
      <c r="J390" s="6">
        <v>44308</v>
      </c>
      <c r="K390" s="8">
        <v>74215</v>
      </c>
      <c r="L390" s="1">
        <v>0</v>
      </c>
      <c r="M390" s="8">
        <f>TBL_Employees[[#This Row],[Annual Salary]]*TBL_Employees[[#This Row],[Bonus %]]</f>
        <v>0</v>
      </c>
      <c r="N390" s="8">
        <f>SUM(TBL_Employees[[#This Row],[Annual Salary]],TBL_Employees[[#This Row],[TOTAL BONUS]])</f>
        <v>74215</v>
      </c>
      <c r="O390" s="8">
        <f>TBL_Employees[[#This Row],[Annual Salary]]*TBL_Employees[[#This Row],[Bonus %]]/100+TBL_Employees[[#This Row],[Annual Salary]]</f>
        <v>74215</v>
      </c>
      <c r="P390" t="s">
        <v>19</v>
      </c>
      <c r="Q390" t="s">
        <v>39</v>
      </c>
      <c r="R390" s="6" t="s">
        <v>21</v>
      </c>
    </row>
    <row r="391" spans="1:18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 s="17"/>
      <c r="I391">
        <v>55</v>
      </c>
      <c r="J391" s="6">
        <v>40340</v>
      </c>
      <c r="K391" s="8">
        <v>187389</v>
      </c>
      <c r="L391" s="1">
        <v>0.25</v>
      </c>
      <c r="M391" s="8">
        <f>TBL_Employees[[#This Row],[Annual Salary]]*TBL_Employees[[#This Row],[Bonus %]]</f>
        <v>46847.25</v>
      </c>
      <c r="N391" s="8">
        <f>SUM(TBL_Employees[[#This Row],[Annual Salary]],TBL_Employees[[#This Row],[TOTAL BONUS]])</f>
        <v>234236.25</v>
      </c>
      <c r="O391" s="8">
        <f>TBL_Employees[[#This Row],[Annual Salary]]*TBL_Employees[[#This Row],[Bonus %]]/100+TBL_Employees[[#This Row],[Annual Salary]]</f>
        <v>187857.4725</v>
      </c>
      <c r="P391" t="s">
        <v>33</v>
      </c>
      <c r="Q391" t="s">
        <v>34</v>
      </c>
      <c r="R391" s="6" t="s">
        <v>21</v>
      </c>
    </row>
    <row r="392" spans="1:18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 s="17"/>
      <c r="I392">
        <v>41</v>
      </c>
      <c r="J392" s="6">
        <v>39747</v>
      </c>
      <c r="K392" s="8">
        <v>131841</v>
      </c>
      <c r="L392" s="1">
        <v>0.13</v>
      </c>
      <c r="M392" s="8">
        <f>TBL_Employees[[#This Row],[Annual Salary]]*TBL_Employees[[#This Row],[Bonus %]]</f>
        <v>17139.330000000002</v>
      </c>
      <c r="N392" s="8">
        <f>SUM(TBL_Employees[[#This Row],[Annual Salary]],TBL_Employees[[#This Row],[TOTAL BONUS]])</f>
        <v>148980.33000000002</v>
      </c>
      <c r="O392" s="8">
        <f>TBL_Employees[[#This Row],[Annual Salary]]*TBL_Employees[[#This Row],[Bonus %]]/100+TBL_Employees[[#This Row],[Annual Salary]]</f>
        <v>132012.3933</v>
      </c>
      <c r="P392" t="s">
        <v>19</v>
      </c>
      <c r="Q392" t="s">
        <v>29</v>
      </c>
      <c r="R392" s="6" t="s">
        <v>21</v>
      </c>
    </row>
    <row r="393" spans="1:18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 s="17"/>
      <c r="I393">
        <v>34</v>
      </c>
      <c r="J393" s="6">
        <v>40750</v>
      </c>
      <c r="K393" s="8">
        <v>97231</v>
      </c>
      <c r="L393" s="1">
        <v>0</v>
      </c>
      <c r="M393" s="8">
        <f>TBL_Employees[[#This Row],[Annual Salary]]*TBL_Employees[[#This Row],[Bonus %]]</f>
        <v>0</v>
      </c>
      <c r="N393" s="8">
        <f>SUM(TBL_Employees[[#This Row],[Annual Salary]],TBL_Employees[[#This Row],[TOTAL BONUS]])</f>
        <v>97231</v>
      </c>
      <c r="O393" s="8">
        <f>TBL_Employees[[#This Row],[Annual Salary]]*TBL_Employees[[#This Row],[Bonus %]]/100+TBL_Employees[[#This Row],[Annual Salary]]</f>
        <v>97231</v>
      </c>
      <c r="P393" t="s">
        <v>33</v>
      </c>
      <c r="Q393" t="s">
        <v>60</v>
      </c>
      <c r="R393" s="6" t="s">
        <v>21</v>
      </c>
    </row>
    <row r="394" spans="1:18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 s="17"/>
      <c r="I394">
        <v>41</v>
      </c>
      <c r="J394" s="6">
        <v>38060</v>
      </c>
      <c r="K394" s="8">
        <v>155004</v>
      </c>
      <c r="L394" s="1">
        <v>0.12</v>
      </c>
      <c r="M394" s="8">
        <f>TBL_Employees[[#This Row],[Annual Salary]]*TBL_Employees[[#This Row],[Bonus %]]</f>
        <v>18600.48</v>
      </c>
      <c r="N394" s="8">
        <f>SUM(TBL_Employees[[#This Row],[Annual Salary]],TBL_Employees[[#This Row],[TOTAL BONUS]])</f>
        <v>173604.48000000001</v>
      </c>
      <c r="O394" s="8">
        <f>TBL_Employees[[#This Row],[Annual Salary]]*TBL_Employees[[#This Row],[Bonus %]]/100+TBL_Employees[[#This Row],[Annual Salary]]</f>
        <v>155190.0048</v>
      </c>
      <c r="P394" t="s">
        <v>19</v>
      </c>
      <c r="Q394" t="s">
        <v>25</v>
      </c>
      <c r="R394" s="6" t="s">
        <v>21</v>
      </c>
    </row>
    <row r="395" spans="1:18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 s="17"/>
      <c r="I395">
        <v>40</v>
      </c>
      <c r="J395" s="6">
        <v>39293</v>
      </c>
      <c r="K395" s="8">
        <v>41859</v>
      </c>
      <c r="L395" s="1">
        <v>0</v>
      </c>
      <c r="M395" s="8">
        <f>TBL_Employees[[#This Row],[Annual Salary]]*TBL_Employees[[#This Row],[Bonus %]]</f>
        <v>0</v>
      </c>
      <c r="N395" s="8">
        <f>SUM(TBL_Employees[[#This Row],[Annual Salary]],TBL_Employees[[#This Row],[TOTAL BONUS]])</f>
        <v>41859</v>
      </c>
      <c r="O395" s="8">
        <f>TBL_Employees[[#This Row],[Annual Salary]]*TBL_Employees[[#This Row],[Bonus %]]/100+TBL_Employees[[#This Row],[Annual Salary]]</f>
        <v>41859</v>
      </c>
      <c r="P395" t="s">
        <v>19</v>
      </c>
      <c r="Q395" t="s">
        <v>63</v>
      </c>
      <c r="R395" s="6" t="s">
        <v>21</v>
      </c>
    </row>
    <row r="396" spans="1:18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 s="17"/>
      <c r="I396">
        <v>42</v>
      </c>
      <c r="J396" s="6">
        <v>38984</v>
      </c>
      <c r="K396" s="8">
        <v>52733</v>
      </c>
      <c r="L396" s="1">
        <v>0</v>
      </c>
      <c r="M396" s="8">
        <f>TBL_Employees[[#This Row],[Annual Salary]]*TBL_Employees[[#This Row],[Bonus %]]</f>
        <v>0</v>
      </c>
      <c r="N396" s="8">
        <f>SUM(TBL_Employees[[#This Row],[Annual Salary]],TBL_Employees[[#This Row],[TOTAL BONUS]])</f>
        <v>52733</v>
      </c>
      <c r="O396" s="8">
        <f>TBL_Employees[[#This Row],[Annual Salary]]*TBL_Employees[[#This Row],[Bonus %]]/100+TBL_Employees[[#This Row],[Annual Salary]]</f>
        <v>52733</v>
      </c>
      <c r="P396" t="s">
        <v>19</v>
      </c>
      <c r="Q396" t="s">
        <v>20</v>
      </c>
      <c r="R396" s="6" t="s">
        <v>21</v>
      </c>
    </row>
    <row r="397" spans="1:18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 s="17"/>
      <c r="I397">
        <v>31</v>
      </c>
      <c r="J397" s="6">
        <v>42250</v>
      </c>
      <c r="K397" s="8">
        <v>250953</v>
      </c>
      <c r="L397" s="1">
        <v>0.34</v>
      </c>
      <c r="M397" s="8">
        <f>TBL_Employees[[#This Row],[Annual Salary]]*TBL_Employees[[#This Row],[Bonus %]]</f>
        <v>85324.02</v>
      </c>
      <c r="N397" s="8">
        <f>SUM(TBL_Employees[[#This Row],[Annual Salary]],TBL_Employees[[#This Row],[TOTAL BONUS]])</f>
        <v>336277.02</v>
      </c>
      <c r="O397" s="8">
        <f>TBL_Employees[[#This Row],[Annual Salary]]*TBL_Employees[[#This Row],[Bonus %]]/100+TBL_Employees[[#This Row],[Annual Salary]]</f>
        <v>251806.2402</v>
      </c>
      <c r="P397" t="s">
        <v>19</v>
      </c>
      <c r="Q397" t="s">
        <v>29</v>
      </c>
      <c r="R397" s="6" t="s">
        <v>21</v>
      </c>
    </row>
    <row r="398" spans="1:18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 s="17"/>
      <c r="I398">
        <v>49</v>
      </c>
      <c r="J398" s="6">
        <v>36210</v>
      </c>
      <c r="K398" s="8">
        <v>191807</v>
      </c>
      <c r="L398" s="1">
        <v>0.21</v>
      </c>
      <c r="M398" s="8">
        <f>TBL_Employees[[#This Row],[Annual Salary]]*TBL_Employees[[#This Row],[Bonus %]]</f>
        <v>40279.47</v>
      </c>
      <c r="N398" s="8">
        <f>SUM(TBL_Employees[[#This Row],[Annual Salary]],TBL_Employees[[#This Row],[TOTAL BONUS]])</f>
        <v>232086.47</v>
      </c>
      <c r="O398" s="8">
        <f>TBL_Employees[[#This Row],[Annual Salary]]*TBL_Employees[[#This Row],[Bonus %]]/100+TBL_Employees[[#This Row],[Annual Salary]]</f>
        <v>192209.7947</v>
      </c>
      <c r="P398" t="s">
        <v>33</v>
      </c>
      <c r="Q398" t="s">
        <v>80</v>
      </c>
      <c r="R398" s="6" t="s">
        <v>21</v>
      </c>
    </row>
    <row r="399" spans="1:18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 s="17"/>
      <c r="I399">
        <v>42</v>
      </c>
      <c r="J399" s="6">
        <v>41813</v>
      </c>
      <c r="K399" s="8">
        <v>64677</v>
      </c>
      <c r="L399" s="1">
        <v>0</v>
      </c>
      <c r="M399" s="8">
        <f>TBL_Employees[[#This Row],[Annual Salary]]*TBL_Employees[[#This Row],[Bonus %]]</f>
        <v>0</v>
      </c>
      <c r="N399" s="8">
        <f>SUM(TBL_Employees[[#This Row],[Annual Salary]],TBL_Employees[[#This Row],[TOTAL BONUS]])</f>
        <v>64677</v>
      </c>
      <c r="O399" s="8">
        <f>TBL_Employees[[#This Row],[Annual Salary]]*TBL_Employees[[#This Row],[Bonus %]]/100+TBL_Employees[[#This Row],[Annual Salary]]</f>
        <v>64677</v>
      </c>
      <c r="P399" t="s">
        <v>33</v>
      </c>
      <c r="Q399" t="s">
        <v>80</v>
      </c>
      <c r="R399" s="6" t="s">
        <v>21</v>
      </c>
    </row>
    <row r="400" spans="1:18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 s="17"/>
      <c r="I400">
        <v>46</v>
      </c>
      <c r="J400" s="6">
        <v>38244</v>
      </c>
      <c r="K400" s="8">
        <v>130274</v>
      </c>
      <c r="L400" s="1">
        <v>0.11</v>
      </c>
      <c r="M400" s="8">
        <f>TBL_Employees[[#This Row],[Annual Salary]]*TBL_Employees[[#This Row],[Bonus %]]</f>
        <v>14330.14</v>
      </c>
      <c r="N400" s="8">
        <f>SUM(TBL_Employees[[#This Row],[Annual Salary]],TBL_Employees[[#This Row],[TOTAL BONUS]])</f>
        <v>144604.14000000001</v>
      </c>
      <c r="O400" s="8">
        <f>TBL_Employees[[#This Row],[Annual Salary]]*TBL_Employees[[#This Row],[Bonus %]]/100+TBL_Employees[[#This Row],[Annual Salary]]</f>
        <v>130417.3014</v>
      </c>
      <c r="P400" t="s">
        <v>19</v>
      </c>
      <c r="Q400" t="s">
        <v>20</v>
      </c>
      <c r="R400" s="6" t="s">
        <v>21</v>
      </c>
    </row>
    <row r="401" spans="1:18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 s="17"/>
      <c r="I401">
        <v>37</v>
      </c>
      <c r="J401" s="6">
        <v>42922</v>
      </c>
      <c r="K401" s="8">
        <v>96331</v>
      </c>
      <c r="L401" s="1">
        <v>0</v>
      </c>
      <c r="M401" s="8">
        <f>TBL_Employees[[#This Row],[Annual Salary]]*TBL_Employees[[#This Row],[Bonus %]]</f>
        <v>0</v>
      </c>
      <c r="N401" s="8">
        <f>SUM(TBL_Employees[[#This Row],[Annual Salary]],TBL_Employees[[#This Row],[TOTAL BONUS]])</f>
        <v>96331</v>
      </c>
      <c r="O401" s="8">
        <f>TBL_Employees[[#This Row],[Annual Salary]]*TBL_Employees[[#This Row],[Bonus %]]/100+TBL_Employees[[#This Row],[Annual Salary]]</f>
        <v>96331</v>
      </c>
      <c r="P401" t="s">
        <v>33</v>
      </c>
      <c r="Q401" t="s">
        <v>74</v>
      </c>
      <c r="R401" s="6" t="s">
        <v>21</v>
      </c>
    </row>
    <row r="402" spans="1:18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 s="17"/>
      <c r="I402">
        <v>51</v>
      </c>
      <c r="J402" s="6">
        <v>38835</v>
      </c>
      <c r="K402" s="8">
        <v>150758</v>
      </c>
      <c r="L402" s="1">
        <v>0.13</v>
      </c>
      <c r="M402" s="8">
        <f>TBL_Employees[[#This Row],[Annual Salary]]*TBL_Employees[[#This Row],[Bonus %]]</f>
        <v>19598.54</v>
      </c>
      <c r="N402" s="8">
        <f>SUM(TBL_Employees[[#This Row],[Annual Salary]],TBL_Employees[[#This Row],[TOTAL BONUS]])</f>
        <v>170356.54</v>
      </c>
      <c r="O402" s="8">
        <f>TBL_Employees[[#This Row],[Annual Salary]]*TBL_Employees[[#This Row],[Bonus %]]/100+TBL_Employees[[#This Row],[Annual Salary]]</f>
        <v>150953.98540000001</v>
      </c>
      <c r="P402" t="s">
        <v>19</v>
      </c>
      <c r="Q402" t="s">
        <v>20</v>
      </c>
      <c r="R402" s="6">
        <v>39310</v>
      </c>
    </row>
    <row r="403" spans="1:18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 s="17"/>
      <c r="I403">
        <v>46</v>
      </c>
      <c r="J403" s="6">
        <v>41839</v>
      </c>
      <c r="K403" s="8">
        <v>173629</v>
      </c>
      <c r="L403" s="1">
        <v>0.21</v>
      </c>
      <c r="M403" s="8">
        <f>TBL_Employees[[#This Row],[Annual Salary]]*TBL_Employees[[#This Row],[Bonus %]]</f>
        <v>36462.089999999997</v>
      </c>
      <c r="N403" s="8">
        <f>SUM(TBL_Employees[[#This Row],[Annual Salary]],TBL_Employees[[#This Row],[TOTAL BONUS]])</f>
        <v>210091.09</v>
      </c>
      <c r="O403" s="8">
        <f>TBL_Employees[[#This Row],[Annual Salary]]*TBL_Employees[[#This Row],[Bonus %]]/100+TBL_Employees[[#This Row],[Annual Salary]]</f>
        <v>173993.62090000001</v>
      </c>
      <c r="P403" t="s">
        <v>52</v>
      </c>
      <c r="Q403" t="s">
        <v>53</v>
      </c>
      <c r="R403" s="6" t="s">
        <v>21</v>
      </c>
    </row>
    <row r="404" spans="1:18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 s="17"/>
      <c r="I404">
        <v>55</v>
      </c>
      <c r="J404" s="6">
        <v>35919</v>
      </c>
      <c r="K404" s="8">
        <v>62174</v>
      </c>
      <c r="L404" s="1">
        <v>0</v>
      </c>
      <c r="M404" s="8">
        <f>TBL_Employees[[#This Row],[Annual Salary]]*TBL_Employees[[#This Row],[Bonus %]]</f>
        <v>0</v>
      </c>
      <c r="N404" s="8">
        <f>SUM(TBL_Employees[[#This Row],[Annual Salary]],TBL_Employees[[#This Row],[TOTAL BONUS]])</f>
        <v>62174</v>
      </c>
      <c r="O404" s="8">
        <f>TBL_Employees[[#This Row],[Annual Salary]]*TBL_Employees[[#This Row],[Bonus %]]/100+TBL_Employees[[#This Row],[Annual Salary]]</f>
        <v>62174</v>
      </c>
      <c r="P404" t="s">
        <v>19</v>
      </c>
      <c r="Q404" t="s">
        <v>20</v>
      </c>
      <c r="R404" s="6" t="s">
        <v>21</v>
      </c>
    </row>
    <row r="405" spans="1:18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 s="17"/>
      <c r="I405">
        <v>43</v>
      </c>
      <c r="J405" s="6">
        <v>43028</v>
      </c>
      <c r="K405" s="8">
        <v>56555</v>
      </c>
      <c r="L405" s="1">
        <v>0</v>
      </c>
      <c r="M405" s="8">
        <f>TBL_Employees[[#This Row],[Annual Salary]]*TBL_Employees[[#This Row],[Bonus %]]</f>
        <v>0</v>
      </c>
      <c r="N405" s="8">
        <f>SUM(TBL_Employees[[#This Row],[Annual Salary]],TBL_Employees[[#This Row],[TOTAL BONUS]])</f>
        <v>56555</v>
      </c>
      <c r="O405" s="8">
        <f>TBL_Employees[[#This Row],[Annual Salary]]*TBL_Employees[[#This Row],[Bonus %]]/100+TBL_Employees[[#This Row],[Annual Salary]]</f>
        <v>56555</v>
      </c>
      <c r="P405" t="s">
        <v>19</v>
      </c>
      <c r="Q405" t="s">
        <v>39</v>
      </c>
      <c r="R405" s="6" t="s">
        <v>21</v>
      </c>
    </row>
    <row r="406" spans="1:18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 s="17"/>
      <c r="I406">
        <v>48</v>
      </c>
      <c r="J406" s="6">
        <v>38623</v>
      </c>
      <c r="K406" s="8">
        <v>74655</v>
      </c>
      <c r="L406" s="1">
        <v>0</v>
      </c>
      <c r="M406" s="8">
        <f>TBL_Employees[[#This Row],[Annual Salary]]*TBL_Employees[[#This Row],[Bonus %]]</f>
        <v>0</v>
      </c>
      <c r="N406" s="8">
        <f>SUM(TBL_Employees[[#This Row],[Annual Salary]],TBL_Employees[[#This Row],[TOTAL BONUS]])</f>
        <v>74655</v>
      </c>
      <c r="O406" s="8">
        <f>TBL_Employees[[#This Row],[Annual Salary]]*TBL_Employees[[#This Row],[Bonus %]]/100+TBL_Employees[[#This Row],[Annual Salary]]</f>
        <v>74655</v>
      </c>
      <c r="P406" t="s">
        <v>19</v>
      </c>
      <c r="Q406" t="s">
        <v>25</v>
      </c>
      <c r="R406" s="6" t="s">
        <v>21</v>
      </c>
    </row>
    <row r="407" spans="1:18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 s="17"/>
      <c r="I407">
        <v>48</v>
      </c>
      <c r="J407" s="6">
        <v>37844</v>
      </c>
      <c r="K407" s="8">
        <v>93017</v>
      </c>
      <c r="L407" s="1">
        <v>0</v>
      </c>
      <c r="M407" s="8">
        <f>TBL_Employees[[#This Row],[Annual Salary]]*TBL_Employees[[#This Row],[Bonus %]]</f>
        <v>0</v>
      </c>
      <c r="N407" s="8">
        <f>SUM(TBL_Employees[[#This Row],[Annual Salary]],TBL_Employees[[#This Row],[TOTAL BONUS]])</f>
        <v>93017</v>
      </c>
      <c r="O407" s="8">
        <f>TBL_Employees[[#This Row],[Annual Salary]]*TBL_Employees[[#This Row],[Bonus %]]/100+TBL_Employees[[#This Row],[Annual Salary]]</f>
        <v>93017</v>
      </c>
      <c r="P407" t="s">
        <v>19</v>
      </c>
      <c r="Q407" t="s">
        <v>63</v>
      </c>
      <c r="R407" s="6" t="s">
        <v>21</v>
      </c>
    </row>
    <row r="408" spans="1:18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 s="17"/>
      <c r="I408">
        <v>51</v>
      </c>
      <c r="J408" s="6">
        <v>41013</v>
      </c>
      <c r="K408" s="8">
        <v>82300</v>
      </c>
      <c r="L408" s="1">
        <v>0</v>
      </c>
      <c r="M408" s="8">
        <f>TBL_Employees[[#This Row],[Annual Salary]]*TBL_Employees[[#This Row],[Bonus %]]</f>
        <v>0</v>
      </c>
      <c r="N408" s="8">
        <f>SUM(TBL_Employees[[#This Row],[Annual Salary]],TBL_Employees[[#This Row],[TOTAL BONUS]])</f>
        <v>82300</v>
      </c>
      <c r="O408" s="8">
        <f>TBL_Employees[[#This Row],[Annual Salary]]*TBL_Employees[[#This Row],[Bonus %]]/100+TBL_Employees[[#This Row],[Annual Salary]]</f>
        <v>82300</v>
      </c>
      <c r="P408" t="s">
        <v>33</v>
      </c>
      <c r="Q408" t="s">
        <v>34</v>
      </c>
      <c r="R408" s="6" t="s">
        <v>21</v>
      </c>
    </row>
    <row r="409" spans="1:18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 s="17"/>
      <c r="I409">
        <v>46</v>
      </c>
      <c r="J409" s="6">
        <v>39471</v>
      </c>
      <c r="K409" s="8">
        <v>91621</v>
      </c>
      <c r="L409" s="1">
        <v>0</v>
      </c>
      <c r="M409" s="8">
        <f>TBL_Employees[[#This Row],[Annual Salary]]*TBL_Employees[[#This Row],[Bonus %]]</f>
        <v>0</v>
      </c>
      <c r="N409" s="8">
        <f>SUM(TBL_Employees[[#This Row],[Annual Salary]],TBL_Employees[[#This Row],[TOTAL BONUS]])</f>
        <v>91621</v>
      </c>
      <c r="O409" s="8">
        <f>TBL_Employees[[#This Row],[Annual Salary]]*TBL_Employees[[#This Row],[Bonus %]]/100+TBL_Employees[[#This Row],[Annual Salary]]</f>
        <v>91621</v>
      </c>
      <c r="P409" t="s">
        <v>19</v>
      </c>
      <c r="Q409" t="s">
        <v>20</v>
      </c>
      <c r="R409" s="6" t="s">
        <v>21</v>
      </c>
    </row>
    <row r="410" spans="1:18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 s="17"/>
      <c r="I410">
        <v>33</v>
      </c>
      <c r="J410" s="6">
        <v>41973</v>
      </c>
      <c r="K410" s="8">
        <v>91280</v>
      </c>
      <c r="L410" s="1">
        <v>0</v>
      </c>
      <c r="M410" s="8">
        <f>TBL_Employees[[#This Row],[Annual Salary]]*TBL_Employees[[#This Row],[Bonus %]]</f>
        <v>0</v>
      </c>
      <c r="N410" s="8">
        <f>SUM(TBL_Employees[[#This Row],[Annual Salary]],TBL_Employees[[#This Row],[TOTAL BONUS]])</f>
        <v>91280</v>
      </c>
      <c r="O410" s="8">
        <f>TBL_Employees[[#This Row],[Annual Salary]]*TBL_Employees[[#This Row],[Bonus %]]/100+TBL_Employees[[#This Row],[Annual Salary]]</f>
        <v>91280</v>
      </c>
      <c r="P410" t="s">
        <v>19</v>
      </c>
      <c r="Q410" t="s">
        <v>45</v>
      </c>
      <c r="R410" s="6" t="s">
        <v>21</v>
      </c>
    </row>
    <row r="411" spans="1:18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 s="17"/>
      <c r="I411">
        <v>42</v>
      </c>
      <c r="J411" s="6">
        <v>44092</v>
      </c>
      <c r="K411" s="8">
        <v>47071</v>
      </c>
      <c r="L411" s="1">
        <v>0</v>
      </c>
      <c r="M411" s="8">
        <f>TBL_Employees[[#This Row],[Annual Salary]]*TBL_Employees[[#This Row],[Bonus %]]</f>
        <v>0</v>
      </c>
      <c r="N411" s="8">
        <f>SUM(TBL_Employees[[#This Row],[Annual Salary]],TBL_Employees[[#This Row],[TOTAL BONUS]])</f>
        <v>47071</v>
      </c>
      <c r="O411" s="8">
        <f>TBL_Employees[[#This Row],[Annual Salary]]*TBL_Employees[[#This Row],[Bonus %]]/100+TBL_Employees[[#This Row],[Annual Salary]]</f>
        <v>47071</v>
      </c>
      <c r="P411" t="s">
        <v>19</v>
      </c>
      <c r="Q411" t="s">
        <v>29</v>
      </c>
      <c r="R411" s="6" t="s">
        <v>21</v>
      </c>
    </row>
    <row r="412" spans="1:18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 s="17"/>
      <c r="I412">
        <v>55</v>
      </c>
      <c r="J412" s="6">
        <v>40868</v>
      </c>
      <c r="K412" s="8">
        <v>81218</v>
      </c>
      <c r="L412" s="1">
        <v>0</v>
      </c>
      <c r="M412" s="8">
        <f>TBL_Employees[[#This Row],[Annual Salary]]*TBL_Employees[[#This Row],[Bonus %]]</f>
        <v>0</v>
      </c>
      <c r="N412" s="8">
        <f>SUM(TBL_Employees[[#This Row],[Annual Salary]],TBL_Employees[[#This Row],[TOTAL BONUS]])</f>
        <v>81218</v>
      </c>
      <c r="O412" s="8">
        <f>TBL_Employees[[#This Row],[Annual Salary]]*TBL_Employees[[#This Row],[Bonus %]]/100+TBL_Employees[[#This Row],[Annual Salary]]</f>
        <v>81218</v>
      </c>
      <c r="P412" t="s">
        <v>19</v>
      </c>
      <c r="Q412" t="s">
        <v>20</v>
      </c>
      <c r="R412" s="6" t="s">
        <v>21</v>
      </c>
    </row>
    <row r="413" spans="1:18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 s="17"/>
      <c r="I413">
        <v>50</v>
      </c>
      <c r="J413" s="6">
        <v>39734</v>
      </c>
      <c r="K413" s="8">
        <v>181801</v>
      </c>
      <c r="L413" s="1">
        <v>0.4</v>
      </c>
      <c r="M413" s="8">
        <f>TBL_Employees[[#This Row],[Annual Salary]]*TBL_Employees[[#This Row],[Bonus %]]</f>
        <v>72720.400000000009</v>
      </c>
      <c r="N413" s="8">
        <f>SUM(TBL_Employees[[#This Row],[Annual Salary]],TBL_Employees[[#This Row],[TOTAL BONUS]])</f>
        <v>254521.40000000002</v>
      </c>
      <c r="O413" s="8">
        <f>TBL_Employees[[#This Row],[Annual Salary]]*TBL_Employees[[#This Row],[Bonus %]]/100+TBL_Employees[[#This Row],[Annual Salary]]</f>
        <v>182528.204</v>
      </c>
      <c r="P413" t="s">
        <v>33</v>
      </c>
      <c r="Q413" t="s">
        <v>80</v>
      </c>
      <c r="R413" s="6">
        <v>43810</v>
      </c>
    </row>
    <row r="414" spans="1:18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 s="17"/>
      <c r="I414">
        <v>26</v>
      </c>
      <c r="J414" s="6">
        <v>44521</v>
      </c>
      <c r="K414" s="8">
        <v>63137</v>
      </c>
      <c r="L414" s="1">
        <v>0</v>
      </c>
      <c r="M414" s="8">
        <f>TBL_Employees[[#This Row],[Annual Salary]]*TBL_Employees[[#This Row],[Bonus %]]</f>
        <v>0</v>
      </c>
      <c r="N414" s="8">
        <f>SUM(TBL_Employees[[#This Row],[Annual Salary]],TBL_Employees[[#This Row],[TOTAL BONUS]])</f>
        <v>63137</v>
      </c>
      <c r="O414" s="8">
        <f>TBL_Employees[[#This Row],[Annual Salary]]*TBL_Employees[[#This Row],[Bonus %]]/100+TBL_Employees[[#This Row],[Annual Salary]]</f>
        <v>63137</v>
      </c>
      <c r="P414" t="s">
        <v>19</v>
      </c>
      <c r="Q414" t="s">
        <v>20</v>
      </c>
      <c r="R414" s="6" t="s">
        <v>21</v>
      </c>
    </row>
    <row r="415" spans="1:18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 s="17"/>
      <c r="I415">
        <v>55</v>
      </c>
      <c r="J415" s="6">
        <v>43345</v>
      </c>
      <c r="K415" s="8">
        <v>221465</v>
      </c>
      <c r="L415" s="1">
        <v>0.34</v>
      </c>
      <c r="M415" s="8">
        <f>TBL_Employees[[#This Row],[Annual Salary]]*TBL_Employees[[#This Row],[Bonus %]]</f>
        <v>75298.100000000006</v>
      </c>
      <c r="N415" s="8">
        <f>SUM(TBL_Employees[[#This Row],[Annual Salary]],TBL_Employees[[#This Row],[TOTAL BONUS]])</f>
        <v>296763.09999999998</v>
      </c>
      <c r="O415" s="8">
        <f>TBL_Employees[[#This Row],[Annual Salary]]*TBL_Employees[[#This Row],[Bonus %]]/100+TBL_Employees[[#This Row],[Annual Salary]]</f>
        <v>222217.981</v>
      </c>
      <c r="P415" t="s">
        <v>33</v>
      </c>
      <c r="Q415" t="s">
        <v>34</v>
      </c>
      <c r="R415" s="6" t="s">
        <v>21</v>
      </c>
    </row>
    <row r="416" spans="1:18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 s="17"/>
      <c r="I416">
        <v>50</v>
      </c>
      <c r="J416" s="6">
        <v>41404</v>
      </c>
      <c r="K416" s="8">
        <v>79388</v>
      </c>
      <c r="L416" s="1">
        <v>0</v>
      </c>
      <c r="M416" s="8">
        <f>TBL_Employees[[#This Row],[Annual Salary]]*TBL_Employees[[#This Row],[Bonus %]]</f>
        <v>0</v>
      </c>
      <c r="N416" s="8">
        <f>SUM(TBL_Employees[[#This Row],[Annual Salary]],TBL_Employees[[#This Row],[TOTAL BONUS]])</f>
        <v>79388</v>
      </c>
      <c r="O416" s="8">
        <f>TBL_Employees[[#This Row],[Annual Salary]]*TBL_Employees[[#This Row],[Bonus %]]/100+TBL_Employees[[#This Row],[Annual Salary]]</f>
        <v>79388</v>
      </c>
      <c r="P416" t="s">
        <v>19</v>
      </c>
      <c r="Q416" t="s">
        <v>25</v>
      </c>
      <c r="R416" s="6">
        <v>43681</v>
      </c>
    </row>
    <row r="417" spans="1:18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 s="17"/>
      <c r="I417">
        <v>28</v>
      </c>
      <c r="J417" s="6">
        <v>43122</v>
      </c>
      <c r="K417" s="8">
        <v>68176</v>
      </c>
      <c r="L417" s="1">
        <v>0</v>
      </c>
      <c r="M417" s="8">
        <f>TBL_Employees[[#This Row],[Annual Salary]]*TBL_Employees[[#This Row],[Bonus %]]</f>
        <v>0</v>
      </c>
      <c r="N417" s="8">
        <f>SUM(TBL_Employees[[#This Row],[Annual Salary]],TBL_Employees[[#This Row],[TOTAL BONUS]])</f>
        <v>68176</v>
      </c>
      <c r="O417" s="8">
        <f>TBL_Employees[[#This Row],[Annual Salary]]*TBL_Employees[[#This Row],[Bonus %]]/100+TBL_Employees[[#This Row],[Annual Salary]]</f>
        <v>68176</v>
      </c>
      <c r="P417" t="s">
        <v>19</v>
      </c>
      <c r="Q417" t="s">
        <v>63</v>
      </c>
      <c r="R417" s="6" t="s">
        <v>21</v>
      </c>
    </row>
    <row r="418" spans="1:18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 s="17"/>
      <c r="I418">
        <v>39</v>
      </c>
      <c r="J418" s="6">
        <v>43756</v>
      </c>
      <c r="K418" s="8">
        <v>122829</v>
      </c>
      <c r="L418" s="1">
        <v>0.11</v>
      </c>
      <c r="M418" s="8">
        <f>TBL_Employees[[#This Row],[Annual Salary]]*TBL_Employees[[#This Row],[Bonus %]]</f>
        <v>13511.19</v>
      </c>
      <c r="N418" s="8">
        <f>SUM(TBL_Employees[[#This Row],[Annual Salary]],TBL_Employees[[#This Row],[TOTAL BONUS]])</f>
        <v>136340.19</v>
      </c>
      <c r="O418" s="8">
        <f>TBL_Employees[[#This Row],[Annual Salary]]*TBL_Employees[[#This Row],[Bonus %]]/100+TBL_Employees[[#This Row],[Annual Salary]]</f>
        <v>122964.1119</v>
      </c>
      <c r="P418" t="s">
        <v>19</v>
      </c>
      <c r="Q418" t="s">
        <v>20</v>
      </c>
      <c r="R418" s="6" t="s">
        <v>21</v>
      </c>
    </row>
    <row r="419" spans="1:18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 s="17"/>
      <c r="I419">
        <v>31</v>
      </c>
      <c r="J419" s="6">
        <v>43695</v>
      </c>
      <c r="K419" s="8">
        <v>126353</v>
      </c>
      <c r="L419" s="1">
        <v>0.12</v>
      </c>
      <c r="M419" s="8">
        <f>TBL_Employees[[#This Row],[Annual Salary]]*TBL_Employees[[#This Row],[Bonus %]]</f>
        <v>15162.359999999999</v>
      </c>
      <c r="N419" s="8">
        <f>SUM(TBL_Employees[[#This Row],[Annual Salary]],TBL_Employees[[#This Row],[TOTAL BONUS]])</f>
        <v>141515.35999999999</v>
      </c>
      <c r="O419" s="8">
        <f>TBL_Employees[[#This Row],[Annual Salary]]*TBL_Employees[[#This Row],[Bonus %]]/100+TBL_Employees[[#This Row],[Annual Salary]]</f>
        <v>126504.62360000001</v>
      </c>
      <c r="P419" t="s">
        <v>33</v>
      </c>
      <c r="Q419" t="s">
        <v>74</v>
      </c>
      <c r="R419" s="6" t="s">
        <v>21</v>
      </c>
    </row>
    <row r="420" spans="1:18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 s="17"/>
      <c r="I420">
        <v>55</v>
      </c>
      <c r="J420" s="6">
        <v>40468</v>
      </c>
      <c r="K420" s="8">
        <v>188727</v>
      </c>
      <c r="L420" s="1">
        <v>0.23</v>
      </c>
      <c r="M420" s="8">
        <f>TBL_Employees[[#This Row],[Annual Salary]]*TBL_Employees[[#This Row],[Bonus %]]</f>
        <v>43407.21</v>
      </c>
      <c r="N420" s="8">
        <f>SUM(TBL_Employees[[#This Row],[Annual Salary]],TBL_Employees[[#This Row],[TOTAL BONUS]])</f>
        <v>232134.21</v>
      </c>
      <c r="O420" s="8">
        <f>TBL_Employees[[#This Row],[Annual Salary]]*TBL_Employees[[#This Row],[Bonus %]]/100+TBL_Employees[[#This Row],[Annual Salary]]</f>
        <v>189161.07209999999</v>
      </c>
      <c r="P420" t="s">
        <v>33</v>
      </c>
      <c r="Q420" t="s">
        <v>34</v>
      </c>
      <c r="R420" s="6" t="s">
        <v>21</v>
      </c>
    </row>
    <row r="421" spans="1:18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 s="17"/>
      <c r="I421">
        <v>52</v>
      </c>
      <c r="J421" s="6">
        <v>34383</v>
      </c>
      <c r="K421" s="8">
        <v>99624</v>
      </c>
      <c r="L421" s="1">
        <v>0</v>
      </c>
      <c r="M421" s="8">
        <f>TBL_Employees[[#This Row],[Annual Salary]]*TBL_Employees[[#This Row],[Bonus %]]</f>
        <v>0</v>
      </c>
      <c r="N421" s="8">
        <f>SUM(TBL_Employees[[#This Row],[Annual Salary]],TBL_Employees[[#This Row],[TOTAL BONUS]])</f>
        <v>99624</v>
      </c>
      <c r="O421" s="8">
        <f>TBL_Employees[[#This Row],[Annual Salary]]*TBL_Employees[[#This Row],[Bonus %]]/100+TBL_Employees[[#This Row],[Annual Salary]]</f>
        <v>99624</v>
      </c>
      <c r="P421" t="s">
        <v>19</v>
      </c>
      <c r="Q421" t="s">
        <v>63</v>
      </c>
      <c r="R421" s="6" t="s">
        <v>21</v>
      </c>
    </row>
    <row r="422" spans="1:18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 s="17"/>
      <c r="I422">
        <v>55</v>
      </c>
      <c r="J422" s="6">
        <v>41202</v>
      </c>
      <c r="K422" s="8">
        <v>108686</v>
      </c>
      <c r="L422" s="1">
        <v>0.06</v>
      </c>
      <c r="M422" s="8">
        <f>TBL_Employees[[#This Row],[Annual Salary]]*TBL_Employees[[#This Row],[Bonus %]]</f>
        <v>6521.16</v>
      </c>
      <c r="N422" s="8">
        <f>SUM(TBL_Employees[[#This Row],[Annual Salary]],TBL_Employees[[#This Row],[TOTAL BONUS]])</f>
        <v>115207.16</v>
      </c>
      <c r="O422" s="8">
        <f>TBL_Employees[[#This Row],[Annual Salary]]*TBL_Employees[[#This Row],[Bonus %]]/100+TBL_Employees[[#This Row],[Annual Salary]]</f>
        <v>108751.2116</v>
      </c>
      <c r="P422" t="s">
        <v>19</v>
      </c>
      <c r="Q422" t="s">
        <v>29</v>
      </c>
      <c r="R422" s="6" t="s">
        <v>21</v>
      </c>
    </row>
    <row r="423" spans="1:18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 s="17"/>
      <c r="I423">
        <v>56</v>
      </c>
      <c r="J423" s="6">
        <v>34802</v>
      </c>
      <c r="K423" s="8">
        <v>50857</v>
      </c>
      <c r="L423" s="1">
        <v>0</v>
      </c>
      <c r="M423" s="8">
        <f>TBL_Employees[[#This Row],[Annual Salary]]*TBL_Employees[[#This Row],[Bonus %]]</f>
        <v>0</v>
      </c>
      <c r="N423" s="8">
        <f>SUM(TBL_Employees[[#This Row],[Annual Salary]],TBL_Employees[[#This Row],[TOTAL BONUS]])</f>
        <v>50857</v>
      </c>
      <c r="O423" s="8">
        <f>TBL_Employees[[#This Row],[Annual Salary]]*TBL_Employees[[#This Row],[Bonus %]]/100+TBL_Employees[[#This Row],[Annual Salary]]</f>
        <v>50857</v>
      </c>
      <c r="P423" t="s">
        <v>52</v>
      </c>
      <c r="Q423" t="s">
        <v>81</v>
      </c>
      <c r="R423" s="6" t="s">
        <v>21</v>
      </c>
    </row>
    <row r="424" spans="1:18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 s="17"/>
      <c r="I424">
        <v>47</v>
      </c>
      <c r="J424" s="6">
        <v>36893</v>
      </c>
      <c r="K424" s="8">
        <v>120628</v>
      </c>
      <c r="L424" s="1">
        <v>0</v>
      </c>
      <c r="M424" s="8">
        <f>TBL_Employees[[#This Row],[Annual Salary]]*TBL_Employees[[#This Row],[Bonus %]]</f>
        <v>0</v>
      </c>
      <c r="N424" s="8">
        <f>SUM(TBL_Employees[[#This Row],[Annual Salary]],TBL_Employees[[#This Row],[TOTAL BONUS]])</f>
        <v>120628</v>
      </c>
      <c r="O424" s="8">
        <f>TBL_Employees[[#This Row],[Annual Salary]]*TBL_Employees[[#This Row],[Bonus %]]/100+TBL_Employees[[#This Row],[Annual Salary]]</f>
        <v>120628</v>
      </c>
      <c r="P424" t="s">
        <v>19</v>
      </c>
      <c r="Q424" t="s">
        <v>20</v>
      </c>
      <c r="R424" s="6" t="s">
        <v>21</v>
      </c>
    </row>
    <row r="425" spans="1:18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 s="17"/>
      <c r="I425">
        <v>63</v>
      </c>
      <c r="J425" s="6">
        <v>43996</v>
      </c>
      <c r="K425" s="8">
        <v>181216</v>
      </c>
      <c r="L425" s="1">
        <v>0.27</v>
      </c>
      <c r="M425" s="8">
        <f>TBL_Employees[[#This Row],[Annual Salary]]*TBL_Employees[[#This Row],[Bonus %]]</f>
        <v>48928.32</v>
      </c>
      <c r="N425" s="8">
        <f>SUM(TBL_Employees[[#This Row],[Annual Salary]],TBL_Employees[[#This Row],[TOTAL BONUS]])</f>
        <v>230144.32</v>
      </c>
      <c r="O425" s="8">
        <f>TBL_Employees[[#This Row],[Annual Salary]]*TBL_Employees[[#This Row],[Bonus %]]/100+TBL_Employees[[#This Row],[Annual Salary]]</f>
        <v>181705.28320000001</v>
      </c>
      <c r="P425" t="s">
        <v>19</v>
      </c>
      <c r="Q425" t="s">
        <v>29</v>
      </c>
      <c r="R425" s="6" t="s">
        <v>21</v>
      </c>
    </row>
    <row r="426" spans="1:18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 s="17"/>
      <c r="I426">
        <v>63</v>
      </c>
      <c r="J426" s="6">
        <v>40984</v>
      </c>
      <c r="K426" s="8">
        <v>46081</v>
      </c>
      <c r="L426" s="1">
        <v>0</v>
      </c>
      <c r="M426" s="8">
        <f>TBL_Employees[[#This Row],[Annual Salary]]*TBL_Employees[[#This Row],[Bonus %]]</f>
        <v>0</v>
      </c>
      <c r="N426" s="8">
        <f>SUM(TBL_Employees[[#This Row],[Annual Salary]],TBL_Employees[[#This Row],[TOTAL BONUS]])</f>
        <v>46081</v>
      </c>
      <c r="O426" s="8">
        <f>TBL_Employees[[#This Row],[Annual Salary]]*TBL_Employees[[#This Row],[Bonus %]]/100+TBL_Employees[[#This Row],[Annual Salary]]</f>
        <v>46081</v>
      </c>
      <c r="P426" t="s">
        <v>19</v>
      </c>
      <c r="Q426" t="s">
        <v>20</v>
      </c>
      <c r="R426" s="6" t="s">
        <v>21</v>
      </c>
    </row>
    <row r="427" spans="1:18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 s="17"/>
      <c r="I427">
        <v>55</v>
      </c>
      <c r="J427" s="6">
        <v>38135</v>
      </c>
      <c r="K427" s="8">
        <v>159885</v>
      </c>
      <c r="L427" s="1">
        <v>0.12</v>
      </c>
      <c r="M427" s="8">
        <f>TBL_Employees[[#This Row],[Annual Salary]]*TBL_Employees[[#This Row],[Bonus %]]</f>
        <v>19186.2</v>
      </c>
      <c r="N427" s="8">
        <f>SUM(TBL_Employees[[#This Row],[Annual Salary]],TBL_Employees[[#This Row],[TOTAL BONUS]])</f>
        <v>179071.2</v>
      </c>
      <c r="O427" s="8">
        <f>TBL_Employees[[#This Row],[Annual Salary]]*TBL_Employees[[#This Row],[Bonus %]]/100+TBL_Employees[[#This Row],[Annual Salary]]</f>
        <v>160076.86199999999</v>
      </c>
      <c r="P427" t="s">
        <v>19</v>
      </c>
      <c r="Q427" t="s">
        <v>29</v>
      </c>
      <c r="R427" s="6" t="s">
        <v>21</v>
      </c>
    </row>
    <row r="428" spans="1:18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 s="17"/>
      <c r="I428">
        <v>55</v>
      </c>
      <c r="J428" s="6">
        <v>35001</v>
      </c>
      <c r="K428" s="8">
        <v>153271</v>
      </c>
      <c r="L428" s="1">
        <v>0.15</v>
      </c>
      <c r="M428" s="8">
        <f>TBL_Employees[[#This Row],[Annual Salary]]*TBL_Employees[[#This Row],[Bonus %]]</f>
        <v>22990.649999999998</v>
      </c>
      <c r="N428" s="8">
        <f>SUM(TBL_Employees[[#This Row],[Annual Salary]],TBL_Employees[[#This Row],[TOTAL BONUS]])</f>
        <v>176261.65</v>
      </c>
      <c r="O428" s="8">
        <f>TBL_Employees[[#This Row],[Annual Salary]]*TBL_Employees[[#This Row],[Bonus %]]/100+TBL_Employees[[#This Row],[Annual Salary]]</f>
        <v>153500.90650000001</v>
      </c>
      <c r="P428" t="s">
        <v>19</v>
      </c>
      <c r="Q428" t="s">
        <v>25</v>
      </c>
      <c r="R428" s="6" t="s">
        <v>21</v>
      </c>
    </row>
    <row r="429" spans="1:18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 s="17"/>
      <c r="I429">
        <v>42</v>
      </c>
      <c r="J429" s="6">
        <v>40159</v>
      </c>
      <c r="K429" s="8">
        <v>114242</v>
      </c>
      <c r="L429" s="1">
        <v>0.08</v>
      </c>
      <c r="M429" s="8">
        <f>TBL_Employees[[#This Row],[Annual Salary]]*TBL_Employees[[#This Row],[Bonus %]]</f>
        <v>9139.36</v>
      </c>
      <c r="N429" s="8">
        <f>SUM(TBL_Employees[[#This Row],[Annual Salary]],TBL_Employees[[#This Row],[TOTAL BONUS]])</f>
        <v>123381.36</v>
      </c>
      <c r="O429" s="8">
        <f>TBL_Employees[[#This Row],[Annual Salary]]*TBL_Employees[[#This Row],[Bonus %]]/100+TBL_Employees[[#This Row],[Annual Salary]]</f>
        <v>114333.3936</v>
      </c>
      <c r="P429" t="s">
        <v>19</v>
      </c>
      <c r="Q429" t="s">
        <v>39</v>
      </c>
      <c r="R429" s="6" t="s">
        <v>21</v>
      </c>
    </row>
    <row r="430" spans="1:18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 s="17"/>
      <c r="I430">
        <v>39</v>
      </c>
      <c r="J430" s="6">
        <v>44153</v>
      </c>
      <c r="K430" s="8">
        <v>48415</v>
      </c>
      <c r="L430" s="1">
        <v>0</v>
      </c>
      <c r="M430" s="8">
        <f>TBL_Employees[[#This Row],[Annual Salary]]*TBL_Employees[[#This Row],[Bonus %]]</f>
        <v>0</v>
      </c>
      <c r="N430" s="8">
        <f>SUM(TBL_Employees[[#This Row],[Annual Salary]],TBL_Employees[[#This Row],[TOTAL BONUS]])</f>
        <v>48415</v>
      </c>
      <c r="O430" s="8">
        <f>TBL_Employees[[#This Row],[Annual Salary]]*TBL_Employees[[#This Row],[Bonus %]]/100+TBL_Employees[[#This Row],[Annual Salary]]</f>
        <v>48415</v>
      </c>
      <c r="P430" t="s">
        <v>33</v>
      </c>
      <c r="Q430" t="s">
        <v>74</v>
      </c>
      <c r="R430" s="6" t="s">
        <v>21</v>
      </c>
    </row>
    <row r="431" spans="1:18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 s="17"/>
      <c r="I431">
        <v>35</v>
      </c>
      <c r="J431" s="6">
        <v>42878</v>
      </c>
      <c r="K431" s="8">
        <v>65566</v>
      </c>
      <c r="L431" s="1">
        <v>0</v>
      </c>
      <c r="M431" s="8">
        <f>TBL_Employees[[#This Row],[Annual Salary]]*TBL_Employees[[#This Row],[Bonus %]]</f>
        <v>0</v>
      </c>
      <c r="N431" s="8">
        <f>SUM(TBL_Employees[[#This Row],[Annual Salary]],TBL_Employees[[#This Row],[TOTAL BONUS]])</f>
        <v>65566</v>
      </c>
      <c r="O431" s="8">
        <f>TBL_Employees[[#This Row],[Annual Salary]]*TBL_Employees[[#This Row],[Bonus %]]/100+TBL_Employees[[#This Row],[Annual Salary]]</f>
        <v>65566</v>
      </c>
      <c r="P431" t="s">
        <v>19</v>
      </c>
      <c r="Q431" t="s">
        <v>63</v>
      </c>
      <c r="R431" s="6" t="s">
        <v>21</v>
      </c>
    </row>
    <row r="432" spans="1:18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 s="17"/>
      <c r="I432">
        <v>45</v>
      </c>
      <c r="J432" s="6">
        <v>37014</v>
      </c>
      <c r="K432" s="8">
        <v>147752</v>
      </c>
      <c r="L432" s="1">
        <v>0.12</v>
      </c>
      <c r="M432" s="8">
        <f>TBL_Employees[[#This Row],[Annual Salary]]*TBL_Employees[[#This Row],[Bonus %]]</f>
        <v>17730.239999999998</v>
      </c>
      <c r="N432" s="8">
        <f>SUM(TBL_Employees[[#This Row],[Annual Salary]],TBL_Employees[[#This Row],[TOTAL BONUS]])</f>
        <v>165482.23999999999</v>
      </c>
      <c r="O432" s="8">
        <f>TBL_Employees[[#This Row],[Annual Salary]]*TBL_Employees[[#This Row],[Bonus %]]/100+TBL_Employees[[#This Row],[Annual Salary]]</f>
        <v>147929.30239999999</v>
      </c>
      <c r="P432" t="s">
        <v>33</v>
      </c>
      <c r="Q432" t="s">
        <v>74</v>
      </c>
      <c r="R432" s="6">
        <v>40903</v>
      </c>
    </row>
    <row r="433" spans="1:18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 s="17"/>
      <c r="I433">
        <v>25</v>
      </c>
      <c r="J433" s="6">
        <v>44453</v>
      </c>
      <c r="K433" s="8">
        <v>136810</v>
      </c>
      <c r="L433" s="1">
        <v>0.14000000000000001</v>
      </c>
      <c r="M433" s="8">
        <f>TBL_Employees[[#This Row],[Annual Salary]]*TBL_Employees[[#This Row],[Bonus %]]</f>
        <v>19153.400000000001</v>
      </c>
      <c r="N433" s="8">
        <f>SUM(TBL_Employees[[#This Row],[Annual Salary]],TBL_Employees[[#This Row],[TOTAL BONUS]])</f>
        <v>155963.4</v>
      </c>
      <c r="O433" s="8">
        <f>TBL_Employees[[#This Row],[Annual Salary]]*TBL_Employees[[#This Row],[Bonus %]]/100+TBL_Employees[[#This Row],[Annual Salary]]</f>
        <v>137001.53400000001</v>
      </c>
      <c r="P433" t="s">
        <v>33</v>
      </c>
      <c r="Q433" t="s">
        <v>80</v>
      </c>
      <c r="R433" s="6" t="s">
        <v>21</v>
      </c>
    </row>
    <row r="434" spans="1:18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 s="17"/>
      <c r="I434">
        <v>47</v>
      </c>
      <c r="J434" s="6">
        <v>41333</v>
      </c>
      <c r="K434" s="8">
        <v>54635</v>
      </c>
      <c r="L434" s="1">
        <v>0</v>
      </c>
      <c r="M434" s="8">
        <f>TBL_Employees[[#This Row],[Annual Salary]]*TBL_Employees[[#This Row],[Bonus %]]</f>
        <v>0</v>
      </c>
      <c r="N434" s="8">
        <f>SUM(TBL_Employees[[#This Row],[Annual Salary]],TBL_Employees[[#This Row],[TOTAL BONUS]])</f>
        <v>54635</v>
      </c>
      <c r="O434" s="8">
        <f>TBL_Employees[[#This Row],[Annual Salary]]*TBL_Employees[[#This Row],[Bonus %]]/100+TBL_Employees[[#This Row],[Annual Salary]]</f>
        <v>54635</v>
      </c>
      <c r="P434" t="s">
        <v>19</v>
      </c>
      <c r="Q434" t="s">
        <v>20</v>
      </c>
      <c r="R434" s="6" t="s">
        <v>21</v>
      </c>
    </row>
    <row r="435" spans="1:18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 s="17"/>
      <c r="I435">
        <v>42</v>
      </c>
      <c r="J435" s="6">
        <v>43866</v>
      </c>
      <c r="K435" s="8">
        <v>96636</v>
      </c>
      <c r="L435" s="1">
        <v>0</v>
      </c>
      <c r="M435" s="8">
        <f>TBL_Employees[[#This Row],[Annual Salary]]*TBL_Employees[[#This Row],[Bonus %]]</f>
        <v>0</v>
      </c>
      <c r="N435" s="8">
        <f>SUM(TBL_Employees[[#This Row],[Annual Salary]],TBL_Employees[[#This Row],[TOTAL BONUS]])</f>
        <v>96636</v>
      </c>
      <c r="O435" s="8">
        <f>TBL_Employees[[#This Row],[Annual Salary]]*TBL_Employees[[#This Row],[Bonus %]]/100+TBL_Employees[[#This Row],[Annual Salary]]</f>
        <v>96636</v>
      </c>
      <c r="P435" t="s">
        <v>19</v>
      </c>
      <c r="Q435" t="s">
        <v>29</v>
      </c>
      <c r="R435" s="6" t="s">
        <v>21</v>
      </c>
    </row>
    <row r="436" spans="1:18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 s="17"/>
      <c r="I436">
        <v>35</v>
      </c>
      <c r="J436" s="6">
        <v>41941</v>
      </c>
      <c r="K436" s="8">
        <v>91592</v>
      </c>
      <c r="L436" s="1">
        <v>0</v>
      </c>
      <c r="M436" s="8">
        <f>TBL_Employees[[#This Row],[Annual Salary]]*TBL_Employees[[#This Row],[Bonus %]]</f>
        <v>0</v>
      </c>
      <c r="N436" s="8">
        <f>SUM(TBL_Employees[[#This Row],[Annual Salary]],TBL_Employees[[#This Row],[TOTAL BONUS]])</f>
        <v>91592</v>
      </c>
      <c r="O436" s="8">
        <f>TBL_Employees[[#This Row],[Annual Salary]]*TBL_Employees[[#This Row],[Bonus %]]/100+TBL_Employees[[#This Row],[Annual Salary]]</f>
        <v>91592</v>
      </c>
      <c r="P436" t="s">
        <v>19</v>
      </c>
      <c r="Q436" t="s">
        <v>20</v>
      </c>
      <c r="R436" s="6" t="s">
        <v>21</v>
      </c>
    </row>
    <row r="437" spans="1:18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 s="17"/>
      <c r="I437">
        <v>45</v>
      </c>
      <c r="J437" s="6">
        <v>36755</v>
      </c>
      <c r="K437" s="8">
        <v>55563</v>
      </c>
      <c r="L437" s="1">
        <v>0</v>
      </c>
      <c r="M437" s="8">
        <f>TBL_Employees[[#This Row],[Annual Salary]]*TBL_Employees[[#This Row],[Bonus %]]</f>
        <v>0</v>
      </c>
      <c r="N437" s="8">
        <f>SUM(TBL_Employees[[#This Row],[Annual Salary]],TBL_Employees[[#This Row],[TOTAL BONUS]])</f>
        <v>55563</v>
      </c>
      <c r="O437" s="8">
        <f>TBL_Employees[[#This Row],[Annual Salary]]*TBL_Employees[[#This Row],[Bonus %]]/100+TBL_Employees[[#This Row],[Annual Salary]]</f>
        <v>55563</v>
      </c>
      <c r="P437" t="s">
        <v>33</v>
      </c>
      <c r="Q437" t="s">
        <v>34</v>
      </c>
      <c r="R437" s="6" t="s">
        <v>21</v>
      </c>
    </row>
    <row r="438" spans="1:18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 s="17"/>
      <c r="I438">
        <v>52</v>
      </c>
      <c r="J438" s="6">
        <v>35109</v>
      </c>
      <c r="K438" s="8">
        <v>159724</v>
      </c>
      <c r="L438" s="1">
        <v>0.23</v>
      </c>
      <c r="M438" s="8">
        <f>TBL_Employees[[#This Row],[Annual Salary]]*TBL_Employees[[#This Row],[Bonus %]]</f>
        <v>36736.520000000004</v>
      </c>
      <c r="N438" s="8">
        <f>SUM(TBL_Employees[[#This Row],[Annual Salary]],TBL_Employees[[#This Row],[TOTAL BONUS]])</f>
        <v>196460.52000000002</v>
      </c>
      <c r="O438" s="8">
        <f>TBL_Employees[[#This Row],[Annual Salary]]*TBL_Employees[[#This Row],[Bonus %]]/100+TBL_Employees[[#This Row],[Annual Salary]]</f>
        <v>160091.3652</v>
      </c>
      <c r="P438" t="s">
        <v>33</v>
      </c>
      <c r="Q438" t="s">
        <v>60</v>
      </c>
      <c r="R438" s="6" t="s">
        <v>21</v>
      </c>
    </row>
    <row r="439" spans="1:18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 s="17"/>
      <c r="I439">
        <v>57</v>
      </c>
      <c r="J439" s="6">
        <v>42951</v>
      </c>
      <c r="K439" s="8">
        <v>183190</v>
      </c>
      <c r="L439" s="1">
        <v>0.36</v>
      </c>
      <c r="M439" s="8">
        <f>TBL_Employees[[#This Row],[Annual Salary]]*TBL_Employees[[#This Row],[Bonus %]]</f>
        <v>65948.399999999994</v>
      </c>
      <c r="N439" s="8">
        <f>SUM(TBL_Employees[[#This Row],[Annual Salary]],TBL_Employees[[#This Row],[TOTAL BONUS]])</f>
        <v>249138.4</v>
      </c>
      <c r="O439" s="8">
        <f>TBL_Employees[[#This Row],[Annual Salary]]*TBL_Employees[[#This Row],[Bonus %]]/100+TBL_Employees[[#This Row],[Annual Salary]]</f>
        <v>183849.484</v>
      </c>
      <c r="P439" t="s">
        <v>19</v>
      </c>
      <c r="Q439" t="s">
        <v>20</v>
      </c>
      <c r="R439" s="6" t="s">
        <v>21</v>
      </c>
    </row>
    <row r="440" spans="1:18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 s="17"/>
      <c r="I440">
        <v>56</v>
      </c>
      <c r="J440" s="6">
        <v>43824</v>
      </c>
      <c r="K440" s="8">
        <v>54829</v>
      </c>
      <c r="L440" s="1">
        <v>0</v>
      </c>
      <c r="M440" s="8">
        <f>TBL_Employees[[#This Row],[Annual Salary]]*TBL_Employees[[#This Row],[Bonus %]]</f>
        <v>0</v>
      </c>
      <c r="N440" s="8">
        <f>SUM(TBL_Employees[[#This Row],[Annual Salary]],TBL_Employees[[#This Row],[TOTAL BONUS]])</f>
        <v>54829</v>
      </c>
      <c r="O440" s="8">
        <f>TBL_Employees[[#This Row],[Annual Salary]]*TBL_Employees[[#This Row],[Bonus %]]/100+TBL_Employees[[#This Row],[Annual Salary]]</f>
        <v>54829</v>
      </c>
      <c r="P440" t="s">
        <v>19</v>
      </c>
      <c r="Q440" t="s">
        <v>39</v>
      </c>
      <c r="R440" s="6" t="s">
        <v>21</v>
      </c>
    </row>
    <row r="441" spans="1:18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 s="17"/>
      <c r="I441">
        <v>46</v>
      </c>
      <c r="J441" s="6">
        <v>38464</v>
      </c>
      <c r="K441" s="8">
        <v>96639</v>
      </c>
      <c r="L441" s="1">
        <v>0</v>
      </c>
      <c r="M441" s="8">
        <f>TBL_Employees[[#This Row],[Annual Salary]]*TBL_Employees[[#This Row],[Bonus %]]</f>
        <v>0</v>
      </c>
      <c r="N441" s="8">
        <f>SUM(TBL_Employees[[#This Row],[Annual Salary]],TBL_Employees[[#This Row],[TOTAL BONUS]])</f>
        <v>96639</v>
      </c>
      <c r="O441" s="8">
        <f>TBL_Employees[[#This Row],[Annual Salary]]*TBL_Employees[[#This Row],[Bonus %]]/100+TBL_Employees[[#This Row],[Annual Salary]]</f>
        <v>96639</v>
      </c>
      <c r="P441" t="s">
        <v>52</v>
      </c>
      <c r="Q441" t="s">
        <v>66</v>
      </c>
      <c r="R441" s="6" t="s">
        <v>21</v>
      </c>
    </row>
    <row r="442" spans="1:18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 s="17"/>
      <c r="I442">
        <v>43</v>
      </c>
      <c r="J442" s="6">
        <v>38879</v>
      </c>
      <c r="K442" s="8">
        <v>117278</v>
      </c>
      <c r="L442" s="1">
        <v>0.09</v>
      </c>
      <c r="M442" s="8">
        <f>TBL_Employees[[#This Row],[Annual Salary]]*TBL_Employees[[#This Row],[Bonus %]]</f>
        <v>10555.02</v>
      </c>
      <c r="N442" s="8">
        <f>SUM(TBL_Employees[[#This Row],[Annual Salary]],TBL_Employees[[#This Row],[TOTAL BONUS]])</f>
        <v>127833.02</v>
      </c>
      <c r="O442" s="8">
        <f>TBL_Employees[[#This Row],[Annual Salary]]*TBL_Employees[[#This Row],[Bonus %]]/100+TBL_Employees[[#This Row],[Annual Salary]]</f>
        <v>117383.5502</v>
      </c>
      <c r="P442" t="s">
        <v>19</v>
      </c>
      <c r="Q442" t="s">
        <v>45</v>
      </c>
      <c r="R442" s="6" t="s">
        <v>21</v>
      </c>
    </row>
    <row r="443" spans="1:18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 s="17"/>
      <c r="I443">
        <v>53</v>
      </c>
      <c r="J443" s="6">
        <v>39487</v>
      </c>
      <c r="K443" s="8">
        <v>84193</v>
      </c>
      <c r="L443" s="1">
        <v>0.09</v>
      </c>
      <c r="M443" s="8">
        <f>TBL_Employees[[#This Row],[Annual Salary]]*TBL_Employees[[#This Row],[Bonus %]]</f>
        <v>7577.37</v>
      </c>
      <c r="N443" s="8">
        <f>SUM(TBL_Employees[[#This Row],[Annual Salary]],TBL_Employees[[#This Row],[TOTAL BONUS]])</f>
        <v>91770.37</v>
      </c>
      <c r="O443" s="8">
        <f>TBL_Employees[[#This Row],[Annual Salary]]*TBL_Employees[[#This Row],[Bonus %]]/100+TBL_Employees[[#This Row],[Annual Salary]]</f>
        <v>84268.773700000005</v>
      </c>
      <c r="P443" t="s">
        <v>33</v>
      </c>
      <c r="Q443" t="s">
        <v>74</v>
      </c>
      <c r="R443" s="6" t="s">
        <v>21</v>
      </c>
    </row>
    <row r="444" spans="1:18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 s="17"/>
      <c r="I444">
        <v>47</v>
      </c>
      <c r="J444" s="6">
        <v>43309</v>
      </c>
      <c r="K444" s="8">
        <v>87806</v>
      </c>
      <c r="L444" s="1">
        <v>0</v>
      </c>
      <c r="M444" s="8">
        <f>TBL_Employees[[#This Row],[Annual Salary]]*TBL_Employees[[#This Row],[Bonus %]]</f>
        <v>0</v>
      </c>
      <c r="N444" s="8">
        <f>SUM(TBL_Employees[[#This Row],[Annual Salary]],TBL_Employees[[#This Row],[TOTAL BONUS]])</f>
        <v>87806</v>
      </c>
      <c r="O444" s="8">
        <f>TBL_Employees[[#This Row],[Annual Salary]]*TBL_Employees[[#This Row],[Bonus %]]/100+TBL_Employees[[#This Row],[Annual Salary]]</f>
        <v>87806</v>
      </c>
      <c r="P444" t="s">
        <v>19</v>
      </c>
      <c r="Q444" t="s">
        <v>63</v>
      </c>
      <c r="R444" s="6" t="s">
        <v>21</v>
      </c>
    </row>
    <row r="445" spans="1:18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 s="17"/>
      <c r="I445">
        <v>62</v>
      </c>
      <c r="J445" s="6">
        <v>40820</v>
      </c>
      <c r="K445" s="8">
        <v>63959</v>
      </c>
      <c r="L445" s="1">
        <v>0</v>
      </c>
      <c r="M445" s="8">
        <f>TBL_Employees[[#This Row],[Annual Salary]]*TBL_Employees[[#This Row],[Bonus %]]</f>
        <v>0</v>
      </c>
      <c r="N445" s="8">
        <f>SUM(TBL_Employees[[#This Row],[Annual Salary]],TBL_Employees[[#This Row],[TOTAL BONUS]])</f>
        <v>63959</v>
      </c>
      <c r="O445" s="8">
        <f>TBL_Employees[[#This Row],[Annual Salary]]*TBL_Employees[[#This Row],[Bonus %]]/100+TBL_Employees[[#This Row],[Annual Salary]]</f>
        <v>63959</v>
      </c>
      <c r="P445" t="s">
        <v>19</v>
      </c>
      <c r="Q445" t="s">
        <v>63</v>
      </c>
      <c r="R445" s="6" t="s">
        <v>21</v>
      </c>
    </row>
    <row r="446" spans="1:18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 s="17"/>
      <c r="I446">
        <v>35</v>
      </c>
      <c r="J446" s="6">
        <v>42166</v>
      </c>
      <c r="K446" s="8">
        <v>234723</v>
      </c>
      <c r="L446" s="1">
        <v>0.36</v>
      </c>
      <c r="M446" s="8">
        <f>TBL_Employees[[#This Row],[Annual Salary]]*TBL_Employees[[#This Row],[Bonus %]]</f>
        <v>84500.28</v>
      </c>
      <c r="N446" s="8">
        <f>SUM(TBL_Employees[[#This Row],[Annual Salary]],TBL_Employees[[#This Row],[TOTAL BONUS]])</f>
        <v>319223.28000000003</v>
      </c>
      <c r="O446" s="8">
        <f>TBL_Employees[[#This Row],[Annual Salary]]*TBL_Employees[[#This Row],[Bonus %]]/100+TBL_Employees[[#This Row],[Annual Salary]]</f>
        <v>235568.00279999999</v>
      </c>
      <c r="P446" t="s">
        <v>33</v>
      </c>
      <c r="Q446" t="s">
        <v>74</v>
      </c>
      <c r="R446" s="6" t="s">
        <v>21</v>
      </c>
    </row>
    <row r="447" spans="1:18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 s="17"/>
      <c r="I447">
        <v>27</v>
      </c>
      <c r="J447" s="6">
        <v>43701</v>
      </c>
      <c r="K447" s="8">
        <v>50809</v>
      </c>
      <c r="L447" s="1">
        <v>0</v>
      </c>
      <c r="M447" s="8">
        <f>TBL_Employees[[#This Row],[Annual Salary]]*TBL_Employees[[#This Row],[Bonus %]]</f>
        <v>0</v>
      </c>
      <c r="N447" s="8">
        <f>SUM(TBL_Employees[[#This Row],[Annual Salary]],TBL_Employees[[#This Row],[TOTAL BONUS]])</f>
        <v>50809</v>
      </c>
      <c r="O447" s="8">
        <f>TBL_Employees[[#This Row],[Annual Salary]]*TBL_Employees[[#This Row],[Bonus %]]/100+TBL_Employees[[#This Row],[Annual Salary]]</f>
        <v>50809</v>
      </c>
      <c r="P447" t="s">
        <v>33</v>
      </c>
      <c r="Q447" t="s">
        <v>80</v>
      </c>
      <c r="R447" s="6" t="s">
        <v>21</v>
      </c>
    </row>
    <row r="448" spans="1:18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 s="17"/>
      <c r="I448">
        <v>55</v>
      </c>
      <c r="J448" s="6">
        <v>37456</v>
      </c>
      <c r="K448" s="8">
        <v>77396</v>
      </c>
      <c r="L448" s="1">
        <v>0</v>
      </c>
      <c r="M448" s="8">
        <f>TBL_Employees[[#This Row],[Annual Salary]]*TBL_Employees[[#This Row],[Bonus %]]</f>
        <v>0</v>
      </c>
      <c r="N448" s="8">
        <f>SUM(TBL_Employees[[#This Row],[Annual Salary]],TBL_Employees[[#This Row],[TOTAL BONUS]])</f>
        <v>77396</v>
      </c>
      <c r="O448" s="8">
        <f>TBL_Employees[[#This Row],[Annual Salary]]*TBL_Employees[[#This Row],[Bonus %]]/100+TBL_Employees[[#This Row],[Annual Salary]]</f>
        <v>77396</v>
      </c>
      <c r="P448" t="s">
        <v>19</v>
      </c>
      <c r="Q448" t="s">
        <v>45</v>
      </c>
      <c r="R448" s="6" t="s">
        <v>21</v>
      </c>
    </row>
    <row r="449" spans="1:18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 s="17"/>
      <c r="I449">
        <v>63</v>
      </c>
      <c r="J449" s="6">
        <v>36525</v>
      </c>
      <c r="K449" s="8">
        <v>89523</v>
      </c>
      <c r="L449" s="1">
        <v>0</v>
      </c>
      <c r="M449" s="8">
        <f>TBL_Employees[[#This Row],[Annual Salary]]*TBL_Employees[[#This Row],[Bonus %]]</f>
        <v>0</v>
      </c>
      <c r="N449" s="8">
        <f>SUM(TBL_Employees[[#This Row],[Annual Salary]],TBL_Employees[[#This Row],[TOTAL BONUS]])</f>
        <v>89523</v>
      </c>
      <c r="O449" s="8">
        <f>TBL_Employees[[#This Row],[Annual Salary]]*TBL_Employees[[#This Row],[Bonus %]]/100+TBL_Employees[[#This Row],[Annual Salary]]</f>
        <v>89523</v>
      </c>
      <c r="P449" t="s">
        <v>19</v>
      </c>
      <c r="Q449" t="s">
        <v>39</v>
      </c>
      <c r="R449" s="6" t="s">
        <v>21</v>
      </c>
    </row>
    <row r="450" spans="1:18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 s="17"/>
      <c r="I450">
        <v>53</v>
      </c>
      <c r="J450" s="6">
        <v>40744</v>
      </c>
      <c r="K450" s="8">
        <v>86173</v>
      </c>
      <c r="L450" s="1">
        <v>0</v>
      </c>
      <c r="M450" s="8">
        <f>TBL_Employees[[#This Row],[Annual Salary]]*TBL_Employees[[#This Row],[Bonus %]]</f>
        <v>0</v>
      </c>
      <c r="N450" s="8">
        <f>SUM(TBL_Employees[[#This Row],[Annual Salary]],TBL_Employees[[#This Row],[TOTAL BONUS]])</f>
        <v>86173</v>
      </c>
      <c r="O450" s="8">
        <f>TBL_Employees[[#This Row],[Annual Salary]]*TBL_Employees[[#This Row],[Bonus %]]/100+TBL_Employees[[#This Row],[Annual Salary]]</f>
        <v>86173</v>
      </c>
      <c r="P450" t="s">
        <v>33</v>
      </c>
      <c r="Q450" t="s">
        <v>80</v>
      </c>
      <c r="R450" s="6" t="s">
        <v>21</v>
      </c>
    </row>
    <row r="451" spans="1:18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 s="17"/>
      <c r="I451">
        <v>54</v>
      </c>
      <c r="J451" s="6">
        <v>36757</v>
      </c>
      <c r="K451" s="8">
        <v>222224</v>
      </c>
      <c r="L451" s="1">
        <v>0.38</v>
      </c>
      <c r="M451" s="8">
        <f>TBL_Employees[[#This Row],[Annual Salary]]*TBL_Employees[[#This Row],[Bonus %]]</f>
        <v>84445.119999999995</v>
      </c>
      <c r="N451" s="8">
        <f>SUM(TBL_Employees[[#This Row],[Annual Salary]],TBL_Employees[[#This Row],[TOTAL BONUS]])</f>
        <v>306669.12</v>
      </c>
      <c r="O451" s="8">
        <f>TBL_Employees[[#This Row],[Annual Salary]]*TBL_Employees[[#This Row],[Bonus %]]/100+TBL_Employees[[#This Row],[Annual Salary]]</f>
        <v>223068.45120000001</v>
      </c>
      <c r="P451" t="s">
        <v>19</v>
      </c>
      <c r="Q451" t="s">
        <v>29</v>
      </c>
      <c r="R451" s="6" t="s">
        <v>21</v>
      </c>
    </row>
    <row r="452" spans="1:18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 s="17"/>
      <c r="I452">
        <v>43</v>
      </c>
      <c r="J452" s="6">
        <v>44303</v>
      </c>
      <c r="K452" s="8">
        <v>146140</v>
      </c>
      <c r="L452" s="1">
        <v>0.15</v>
      </c>
      <c r="M452" s="8">
        <f>TBL_Employees[[#This Row],[Annual Salary]]*TBL_Employees[[#This Row],[Bonus %]]</f>
        <v>21921</v>
      </c>
      <c r="N452" s="8">
        <f>SUM(TBL_Employees[[#This Row],[Annual Salary]],TBL_Employees[[#This Row],[TOTAL BONUS]])</f>
        <v>168061</v>
      </c>
      <c r="O452" s="8">
        <f>TBL_Employees[[#This Row],[Annual Salary]]*TBL_Employees[[#This Row],[Bonus %]]/100+TBL_Employees[[#This Row],[Annual Salary]]</f>
        <v>146359.21</v>
      </c>
      <c r="P452" t="s">
        <v>19</v>
      </c>
      <c r="Q452" t="s">
        <v>63</v>
      </c>
      <c r="R452" s="6" t="s">
        <v>21</v>
      </c>
    </row>
    <row r="453" spans="1:18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 s="17"/>
      <c r="I453">
        <v>64</v>
      </c>
      <c r="J453" s="6">
        <v>34505</v>
      </c>
      <c r="K453" s="8">
        <v>109456</v>
      </c>
      <c r="L453" s="1">
        <v>0.1</v>
      </c>
      <c r="M453" s="8">
        <f>TBL_Employees[[#This Row],[Annual Salary]]*TBL_Employees[[#This Row],[Bonus %]]</f>
        <v>10945.6</v>
      </c>
      <c r="N453" s="8">
        <f>SUM(TBL_Employees[[#This Row],[Annual Salary]],TBL_Employees[[#This Row],[TOTAL BONUS]])</f>
        <v>120401.60000000001</v>
      </c>
      <c r="O453" s="8">
        <f>TBL_Employees[[#This Row],[Annual Salary]]*TBL_Employees[[#This Row],[Bonus %]]/100+TBL_Employees[[#This Row],[Annual Salary]]</f>
        <v>109565.45600000001</v>
      </c>
      <c r="P453" t="s">
        <v>19</v>
      </c>
      <c r="Q453" t="s">
        <v>20</v>
      </c>
      <c r="R453" s="6" t="s">
        <v>21</v>
      </c>
    </row>
    <row r="454" spans="1:18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 s="17"/>
      <c r="I454">
        <v>65</v>
      </c>
      <c r="J454" s="6">
        <v>39728</v>
      </c>
      <c r="K454" s="8">
        <v>170221</v>
      </c>
      <c r="L454" s="1">
        <v>0.15</v>
      </c>
      <c r="M454" s="8">
        <f>TBL_Employees[[#This Row],[Annual Salary]]*TBL_Employees[[#This Row],[Bonus %]]</f>
        <v>25533.149999999998</v>
      </c>
      <c r="N454" s="8">
        <f>SUM(TBL_Employees[[#This Row],[Annual Salary]],TBL_Employees[[#This Row],[TOTAL BONUS]])</f>
        <v>195754.15</v>
      </c>
      <c r="O454" s="8">
        <f>TBL_Employees[[#This Row],[Annual Salary]]*TBL_Employees[[#This Row],[Bonus %]]/100+TBL_Employees[[#This Row],[Annual Salary]]</f>
        <v>170476.3315</v>
      </c>
      <c r="P454" t="s">
        <v>52</v>
      </c>
      <c r="Q454" t="s">
        <v>81</v>
      </c>
      <c r="R454" s="6" t="s">
        <v>21</v>
      </c>
    </row>
    <row r="455" spans="1:18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 s="17"/>
      <c r="I455">
        <v>42</v>
      </c>
      <c r="J455" s="6">
        <v>38777</v>
      </c>
      <c r="K455" s="8">
        <v>97433</v>
      </c>
      <c r="L455" s="1">
        <v>0.05</v>
      </c>
      <c r="M455" s="8">
        <f>TBL_Employees[[#This Row],[Annual Salary]]*TBL_Employees[[#This Row],[Bonus %]]</f>
        <v>4871.6500000000005</v>
      </c>
      <c r="N455" s="8">
        <f>SUM(TBL_Employees[[#This Row],[Annual Salary]],TBL_Employees[[#This Row],[TOTAL BONUS]])</f>
        <v>102304.65</v>
      </c>
      <c r="O455" s="8">
        <f>TBL_Employees[[#This Row],[Annual Salary]]*TBL_Employees[[#This Row],[Bonus %]]/100+TBL_Employees[[#This Row],[Annual Salary]]</f>
        <v>97481.716499999995</v>
      </c>
      <c r="P455" t="s">
        <v>19</v>
      </c>
      <c r="Q455" t="s">
        <v>63</v>
      </c>
      <c r="R455" s="6">
        <v>42224</v>
      </c>
    </row>
    <row r="456" spans="1:18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 s="17"/>
      <c r="I456">
        <v>35</v>
      </c>
      <c r="J456" s="6">
        <v>41516</v>
      </c>
      <c r="K456" s="8">
        <v>59646</v>
      </c>
      <c r="L456" s="1">
        <v>0</v>
      </c>
      <c r="M456" s="8">
        <f>TBL_Employees[[#This Row],[Annual Salary]]*TBL_Employees[[#This Row],[Bonus %]]</f>
        <v>0</v>
      </c>
      <c r="N456" s="8">
        <f>SUM(TBL_Employees[[#This Row],[Annual Salary]],TBL_Employees[[#This Row],[TOTAL BONUS]])</f>
        <v>59646</v>
      </c>
      <c r="O456" s="8">
        <f>TBL_Employees[[#This Row],[Annual Salary]]*TBL_Employees[[#This Row],[Bonus %]]/100+TBL_Employees[[#This Row],[Annual Salary]]</f>
        <v>59646</v>
      </c>
      <c r="P456" t="s">
        <v>33</v>
      </c>
      <c r="Q456" t="s">
        <v>74</v>
      </c>
      <c r="R456" s="6" t="s">
        <v>21</v>
      </c>
    </row>
    <row r="457" spans="1:18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 s="17"/>
      <c r="I457">
        <v>64</v>
      </c>
      <c r="J457" s="6">
        <v>34940</v>
      </c>
      <c r="K457" s="8">
        <v>158787</v>
      </c>
      <c r="L457" s="1">
        <v>0.18</v>
      </c>
      <c r="M457" s="8">
        <f>TBL_Employees[[#This Row],[Annual Salary]]*TBL_Employees[[#This Row],[Bonus %]]</f>
        <v>28581.66</v>
      </c>
      <c r="N457" s="8">
        <f>SUM(TBL_Employees[[#This Row],[Annual Salary]],TBL_Employees[[#This Row],[TOTAL BONUS]])</f>
        <v>187368.66</v>
      </c>
      <c r="O457" s="8">
        <f>TBL_Employees[[#This Row],[Annual Salary]]*TBL_Employees[[#This Row],[Bonus %]]/100+TBL_Employees[[#This Row],[Annual Salary]]</f>
        <v>159072.81659999999</v>
      </c>
      <c r="P457" t="s">
        <v>33</v>
      </c>
      <c r="Q457" t="s">
        <v>34</v>
      </c>
      <c r="R457" s="6" t="s">
        <v>21</v>
      </c>
    </row>
    <row r="458" spans="1:18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 s="17"/>
      <c r="I458">
        <v>55</v>
      </c>
      <c r="J458" s="6">
        <v>43219</v>
      </c>
      <c r="K458" s="8">
        <v>83378</v>
      </c>
      <c r="L458" s="1">
        <v>0</v>
      </c>
      <c r="M458" s="8">
        <f>TBL_Employees[[#This Row],[Annual Salary]]*TBL_Employees[[#This Row],[Bonus %]]</f>
        <v>0</v>
      </c>
      <c r="N458" s="8">
        <f>SUM(TBL_Employees[[#This Row],[Annual Salary]],TBL_Employees[[#This Row],[TOTAL BONUS]])</f>
        <v>83378</v>
      </c>
      <c r="O458" s="8">
        <f>TBL_Employees[[#This Row],[Annual Salary]]*TBL_Employees[[#This Row],[Bonus %]]/100+TBL_Employees[[#This Row],[Annual Salary]]</f>
        <v>83378</v>
      </c>
      <c r="P458" t="s">
        <v>33</v>
      </c>
      <c r="Q458" t="s">
        <v>60</v>
      </c>
      <c r="R458" s="6" t="s">
        <v>21</v>
      </c>
    </row>
    <row r="459" spans="1:18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 s="17"/>
      <c r="I459">
        <v>32</v>
      </c>
      <c r="J459" s="6">
        <v>41590</v>
      </c>
      <c r="K459" s="8">
        <v>88895</v>
      </c>
      <c r="L459" s="1">
        <v>0</v>
      </c>
      <c r="M459" s="8">
        <f>TBL_Employees[[#This Row],[Annual Salary]]*TBL_Employees[[#This Row],[Bonus %]]</f>
        <v>0</v>
      </c>
      <c r="N459" s="8">
        <f>SUM(TBL_Employees[[#This Row],[Annual Salary]],TBL_Employees[[#This Row],[TOTAL BONUS]])</f>
        <v>88895</v>
      </c>
      <c r="O459" s="8">
        <f>TBL_Employees[[#This Row],[Annual Salary]]*TBL_Employees[[#This Row],[Bonus %]]/100+TBL_Employees[[#This Row],[Annual Salary]]</f>
        <v>88895</v>
      </c>
      <c r="P459" t="s">
        <v>19</v>
      </c>
      <c r="Q459" t="s">
        <v>20</v>
      </c>
      <c r="R459" s="6" t="s">
        <v>21</v>
      </c>
    </row>
    <row r="460" spans="1:18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 s="17"/>
      <c r="I460">
        <v>45</v>
      </c>
      <c r="J460" s="6">
        <v>38332</v>
      </c>
      <c r="K460" s="8">
        <v>168846</v>
      </c>
      <c r="L460" s="1">
        <v>0.24</v>
      </c>
      <c r="M460" s="8">
        <f>TBL_Employees[[#This Row],[Annual Salary]]*TBL_Employees[[#This Row],[Bonus %]]</f>
        <v>40523.040000000001</v>
      </c>
      <c r="N460" s="8">
        <f>SUM(TBL_Employees[[#This Row],[Annual Salary]],TBL_Employees[[#This Row],[TOTAL BONUS]])</f>
        <v>209369.04</v>
      </c>
      <c r="O460" s="8">
        <f>TBL_Employees[[#This Row],[Annual Salary]]*TBL_Employees[[#This Row],[Bonus %]]/100+TBL_Employees[[#This Row],[Annual Salary]]</f>
        <v>169251.2304</v>
      </c>
      <c r="P460" t="s">
        <v>33</v>
      </c>
      <c r="Q460" t="s">
        <v>80</v>
      </c>
      <c r="R460" s="6" t="s">
        <v>21</v>
      </c>
    </row>
    <row r="461" spans="1:18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 s="17"/>
      <c r="I461">
        <v>35</v>
      </c>
      <c r="J461" s="6">
        <v>40596</v>
      </c>
      <c r="K461" s="8">
        <v>43336</v>
      </c>
      <c r="L461" s="1">
        <v>0</v>
      </c>
      <c r="M461" s="8">
        <f>TBL_Employees[[#This Row],[Annual Salary]]*TBL_Employees[[#This Row],[Bonus %]]</f>
        <v>0</v>
      </c>
      <c r="N461" s="8">
        <f>SUM(TBL_Employees[[#This Row],[Annual Salary]],TBL_Employees[[#This Row],[TOTAL BONUS]])</f>
        <v>43336</v>
      </c>
      <c r="O461" s="8">
        <f>TBL_Employees[[#This Row],[Annual Salary]]*TBL_Employees[[#This Row],[Bonus %]]/100+TBL_Employees[[#This Row],[Annual Salary]]</f>
        <v>43336</v>
      </c>
      <c r="P461" t="s">
        <v>19</v>
      </c>
      <c r="Q461" t="s">
        <v>25</v>
      </c>
      <c r="R461" s="6">
        <v>44024</v>
      </c>
    </row>
    <row r="462" spans="1:18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 s="17"/>
      <c r="I462">
        <v>38</v>
      </c>
      <c r="J462" s="6">
        <v>40083</v>
      </c>
      <c r="K462" s="8">
        <v>127801</v>
      </c>
      <c r="L462" s="1">
        <v>0.15</v>
      </c>
      <c r="M462" s="8">
        <f>TBL_Employees[[#This Row],[Annual Salary]]*TBL_Employees[[#This Row],[Bonus %]]</f>
        <v>19170.149999999998</v>
      </c>
      <c r="N462" s="8">
        <f>SUM(TBL_Employees[[#This Row],[Annual Salary]],TBL_Employees[[#This Row],[TOTAL BONUS]])</f>
        <v>146971.15</v>
      </c>
      <c r="O462" s="8">
        <f>TBL_Employees[[#This Row],[Annual Salary]]*TBL_Employees[[#This Row],[Bonus %]]/100+TBL_Employees[[#This Row],[Annual Salary]]</f>
        <v>127992.7015</v>
      </c>
      <c r="P462" t="s">
        <v>19</v>
      </c>
      <c r="Q462" t="s">
        <v>39</v>
      </c>
      <c r="R462" s="6" t="s">
        <v>21</v>
      </c>
    </row>
    <row r="463" spans="1:18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 s="17"/>
      <c r="I463">
        <v>54</v>
      </c>
      <c r="J463" s="6">
        <v>36617</v>
      </c>
      <c r="K463" s="8">
        <v>76352</v>
      </c>
      <c r="L463" s="1">
        <v>0</v>
      </c>
      <c r="M463" s="8">
        <f>TBL_Employees[[#This Row],[Annual Salary]]*TBL_Employees[[#This Row],[Bonus %]]</f>
        <v>0</v>
      </c>
      <c r="N463" s="8">
        <f>SUM(TBL_Employees[[#This Row],[Annual Salary]],TBL_Employees[[#This Row],[TOTAL BONUS]])</f>
        <v>76352</v>
      </c>
      <c r="O463" s="8">
        <f>TBL_Employees[[#This Row],[Annual Salary]]*TBL_Employees[[#This Row],[Bonus %]]/100+TBL_Employees[[#This Row],[Annual Salary]]</f>
        <v>76352</v>
      </c>
      <c r="P463" t="s">
        <v>19</v>
      </c>
      <c r="Q463" t="s">
        <v>25</v>
      </c>
      <c r="R463" s="6" t="s">
        <v>21</v>
      </c>
    </row>
    <row r="464" spans="1:18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 s="17"/>
      <c r="I464">
        <v>28</v>
      </c>
      <c r="J464" s="6">
        <v>43638</v>
      </c>
      <c r="K464" s="8">
        <v>250767</v>
      </c>
      <c r="L464" s="1">
        <v>0.38</v>
      </c>
      <c r="M464" s="8">
        <f>TBL_Employees[[#This Row],[Annual Salary]]*TBL_Employees[[#This Row],[Bonus %]]</f>
        <v>95291.46</v>
      </c>
      <c r="N464" s="8">
        <f>SUM(TBL_Employees[[#This Row],[Annual Salary]],TBL_Employees[[#This Row],[TOTAL BONUS]])</f>
        <v>346058.46</v>
      </c>
      <c r="O464" s="8">
        <f>TBL_Employees[[#This Row],[Annual Salary]]*TBL_Employees[[#This Row],[Bonus %]]/100+TBL_Employees[[#This Row],[Annual Salary]]</f>
        <v>251719.91459999999</v>
      </c>
      <c r="P464" t="s">
        <v>19</v>
      </c>
      <c r="Q464" t="s">
        <v>63</v>
      </c>
      <c r="R464" s="6" t="s">
        <v>21</v>
      </c>
    </row>
    <row r="465" spans="1:18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 s="17"/>
      <c r="I465">
        <v>26</v>
      </c>
      <c r="J465" s="6">
        <v>44101</v>
      </c>
      <c r="K465" s="8">
        <v>223055</v>
      </c>
      <c r="L465" s="1">
        <v>0.3</v>
      </c>
      <c r="M465" s="8">
        <f>TBL_Employees[[#This Row],[Annual Salary]]*TBL_Employees[[#This Row],[Bonus %]]</f>
        <v>66916.5</v>
      </c>
      <c r="N465" s="8">
        <f>SUM(TBL_Employees[[#This Row],[Annual Salary]],TBL_Employees[[#This Row],[TOTAL BONUS]])</f>
        <v>289971.5</v>
      </c>
      <c r="O465" s="8">
        <f>TBL_Employees[[#This Row],[Annual Salary]]*TBL_Employees[[#This Row],[Bonus %]]/100+TBL_Employees[[#This Row],[Annual Salary]]</f>
        <v>223724.16500000001</v>
      </c>
      <c r="P465" t="s">
        <v>19</v>
      </c>
      <c r="Q465" t="s">
        <v>29</v>
      </c>
      <c r="R465" s="6" t="s">
        <v>21</v>
      </c>
    </row>
    <row r="466" spans="1:18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 s="17"/>
      <c r="I466">
        <v>45</v>
      </c>
      <c r="J466" s="6">
        <v>39185</v>
      </c>
      <c r="K466" s="8">
        <v>189680</v>
      </c>
      <c r="L466" s="1">
        <v>0.23</v>
      </c>
      <c r="M466" s="8">
        <f>TBL_Employees[[#This Row],[Annual Salary]]*TBL_Employees[[#This Row],[Bonus %]]</f>
        <v>43626.400000000001</v>
      </c>
      <c r="N466" s="8">
        <f>SUM(TBL_Employees[[#This Row],[Annual Salary]],TBL_Employees[[#This Row],[TOTAL BONUS]])</f>
        <v>233306.4</v>
      </c>
      <c r="O466" s="8">
        <f>TBL_Employees[[#This Row],[Annual Salary]]*TBL_Employees[[#This Row],[Bonus %]]/100+TBL_Employees[[#This Row],[Annual Salary]]</f>
        <v>190116.264</v>
      </c>
      <c r="P466" t="s">
        <v>52</v>
      </c>
      <c r="Q466" t="s">
        <v>53</v>
      </c>
      <c r="R466" s="6" t="s">
        <v>21</v>
      </c>
    </row>
    <row r="467" spans="1:18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 s="17"/>
      <c r="I467">
        <v>57</v>
      </c>
      <c r="J467" s="6">
        <v>43299</v>
      </c>
      <c r="K467" s="8">
        <v>71167</v>
      </c>
      <c r="L467" s="1">
        <v>0</v>
      </c>
      <c r="M467" s="8">
        <f>TBL_Employees[[#This Row],[Annual Salary]]*TBL_Employees[[#This Row],[Bonus %]]</f>
        <v>0</v>
      </c>
      <c r="N467" s="8">
        <f>SUM(TBL_Employees[[#This Row],[Annual Salary]],TBL_Employees[[#This Row],[TOTAL BONUS]])</f>
        <v>71167</v>
      </c>
      <c r="O467" s="8">
        <f>TBL_Employees[[#This Row],[Annual Salary]]*TBL_Employees[[#This Row],[Bonus %]]/100+TBL_Employees[[#This Row],[Annual Salary]]</f>
        <v>71167</v>
      </c>
      <c r="P467" t="s">
        <v>19</v>
      </c>
      <c r="Q467" t="s">
        <v>29</v>
      </c>
      <c r="R467" s="6" t="s">
        <v>21</v>
      </c>
    </row>
    <row r="468" spans="1:18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 s="17"/>
      <c r="I468">
        <v>59</v>
      </c>
      <c r="J468" s="6">
        <v>40272</v>
      </c>
      <c r="K468" s="8">
        <v>76027</v>
      </c>
      <c r="L468" s="1">
        <v>0</v>
      </c>
      <c r="M468" s="8">
        <f>TBL_Employees[[#This Row],[Annual Salary]]*TBL_Employees[[#This Row],[Bonus %]]</f>
        <v>0</v>
      </c>
      <c r="N468" s="8">
        <f>SUM(TBL_Employees[[#This Row],[Annual Salary]],TBL_Employees[[#This Row],[TOTAL BONUS]])</f>
        <v>76027</v>
      </c>
      <c r="O468" s="8">
        <f>TBL_Employees[[#This Row],[Annual Salary]]*TBL_Employees[[#This Row],[Bonus %]]/100+TBL_Employees[[#This Row],[Annual Salary]]</f>
        <v>76027</v>
      </c>
      <c r="P468" t="s">
        <v>19</v>
      </c>
      <c r="Q468" t="s">
        <v>63</v>
      </c>
      <c r="R468" s="6" t="s">
        <v>21</v>
      </c>
    </row>
    <row r="469" spans="1:18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 s="17"/>
      <c r="I469">
        <v>48</v>
      </c>
      <c r="J469" s="6">
        <v>43809</v>
      </c>
      <c r="K469" s="8">
        <v>183113</v>
      </c>
      <c r="L469" s="1">
        <v>0.24</v>
      </c>
      <c r="M469" s="8">
        <f>TBL_Employees[[#This Row],[Annual Salary]]*TBL_Employees[[#This Row],[Bonus %]]</f>
        <v>43947.119999999995</v>
      </c>
      <c r="N469" s="8">
        <f>SUM(TBL_Employees[[#This Row],[Annual Salary]],TBL_Employees[[#This Row],[TOTAL BONUS]])</f>
        <v>227060.12</v>
      </c>
      <c r="O469" s="8">
        <f>TBL_Employees[[#This Row],[Annual Salary]]*TBL_Employees[[#This Row],[Bonus %]]/100+TBL_Employees[[#This Row],[Annual Salary]]</f>
        <v>183552.4712</v>
      </c>
      <c r="P469" t="s">
        <v>52</v>
      </c>
      <c r="Q469" t="s">
        <v>66</v>
      </c>
      <c r="R469" s="6" t="s">
        <v>21</v>
      </c>
    </row>
    <row r="470" spans="1:18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 s="17"/>
      <c r="I470">
        <v>30</v>
      </c>
      <c r="J470" s="6">
        <v>44124</v>
      </c>
      <c r="K470" s="8">
        <v>67753</v>
      </c>
      <c r="L470" s="1">
        <v>0</v>
      </c>
      <c r="M470" s="8">
        <f>TBL_Employees[[#This Row],[Annual Salary]]*TBL_Employees[[#This Row],[Bonus %]]</f>
        <v>0</v>
      </c>
      <c r="N470" s="8">
        <f>SUM(TBL_Employees[[#This Row],[Annual Salary]],TBL_Employees[[#This Row],[TOTAL BONUS]])</f>
        <v>67753</v>
      </c>
      <c r="O470" s="8">
        <f>TBL_Employees[[#This Row],[Annual Salary]]*TBL_Employees[[#This Row],[Bonus %]]/100+TBL_Employees[[#This Row],[Annual Salary]]</f>
        <v>67753</v>
      </c>
      <c r="P470" t="s">
        <v>19</v>
      </c>
      <c r="Q470" t="s">
        <v>39</v>
      </c>
      <c r="R470" s="6" t="s">
        <v>21</v>
      </c>
    </row>
    <row r="471" spans="1:18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 s="17"/>
      <c r="I471">
        <v>31</v>
      </c>
      <c r="J471" s="6">
        <v>42656</v>
      </c>
      <c r="K471" s="8">
        <v>63744</v>
      </c>
      <c r="L471" s="1">
        <v>0.08</v>
      </c>
      <c r="M471" s="8">
        <f>TBL_Employees[[#This Row],[Annual Salary]]*TBL_Employees[[#This Row],[Bonus %]]</f>
        <v>5099.5200000000004</v>
      </c>
      <c r="N471" s="8">
        <f>SUM(TBL_Employees[[#This Row],[Annual Salary]],TBL_Employees[[#This Row],[TOTAL BONUS]])</f>
        <v>68843.520000000004</v>
      </c>
      <c r="O471" s="8">
        <f>TBL_Employees[[#This Row],[Annual Salary]]*TBL_Employees[[#This Row],[Bonus %]]/100+TBL_Employees[[#This Row],[Annual Salary]]</f>
        <v>63794.995199999998</v>
      </c>
      <c r="P471" t="s">
        <v>19</v>
      </c>
      <c r="Q471" t="s">
        <v>25</v>
      </c>
      <c r="R471" s="6" t="s">
        <v>21</v>
      </c>
    </row>
    <row r="472" spans="1:18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 s="17"/>
      <c r="I472">
        <v>50</v>
      </c>
      <c r="J472" s="6">
        <v>37446</v>
      </c>
      <c r="K472" s="8">
        <v>92209</v>
      </c>
      <c r="L472" s="1">
        <v>0</v>
      </c>
      <c r="M472" s="8">
        <f>TBL_Employees[[#This Row],[Annual Salary]]*TBL_Employees[[#This Row],[Bonus %]]</f>
        <v>0</v>
      </c>
      <c r="N472" s="8">
        <f>SUM(TBL_Employees[[#This Row],[Annual Salary]],TBL_Employees[[#This Row],[TOTAL BONUS]])</f>
        <v>92209</v>
      </c>
      <c r="O472" s="8">
        <f>TBL_Employees[[#This Row],[Annual Salary]]*TBL_Employees[[#This Row],[Bonus %]]/100+TBL_Employees[[#This Row],[Annual Salary]]</f>
        <v>92209</v>
      </c>
      <c r="P472" t="s">
        <v>33</v>
      </c>
      <c r="Q472" t="s">
        <v>74</v>
      </c>
      <c r="R472" s="6" t="s">
        <v>21</v>
      </c>
    </row>
    <row r="473" spans="1:18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 s="17"/>
      <c r="I473">
        <v>51</v>
      </c>
      <c r="J473" s="6">
        <v>36770</v>
      </c>
      <c r="K473" s="8">
        <v>157487</v>
      </c>
      <c r="L473" s="1">
        <v>0.12</v>
      </c>
      <c r="M473" s="8">
        <f>TBL_Employees[[#This Row],[Annual Salary]]*TBL_Employees[[#This Row],[Bonus %]]</f>
        <v>18898.439999999999</v>
      </c>
      <c r="N473" s="8">
        <f>SUM(TBL_Employees[[#This Row],[Annual Salary]],TBL_Employees[[#This Row],[TOTAL BONUS]])</f>
        <v>176385.44</v>
      </c>
      <c r="O473" s="8">
        <f>TBL_Employees[[#This Row],[Annual Salary]]*TBL_Employees[[#This Row],[Bonus %]]/100+TBL_Employees[[#This Row],[Annual Salary]]</f>
        <v>157675.98439999999</v>
      </c>
      <c r="P473" t="s">
        <v>19</v>
      </c>
      <c r="Q473" t="s">
        <v>39</v>
      </c>
      <c r="R473" s="6" t="s">
        <v>21</v>
      </c>
    </row>
    <row r="474" spans="1:18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 s="17"/>
      <c r="I474">
        <v>42</v>
      </c>
      <c r="J474" s="6">
        <v>42101</v>
      </c>
      <c r="K474" s="8">
        <v>99697</v>
      </c>
      <c r="L474" s="1">
        <v>0</v>
      </c>
      <c r="M474" s="8">
        <f>TBL_Employees[[#This Row],[Annual Salary]]*TBL_Employees[[#This Row],[Bonus %]]</f>
        <v>0</v>
      </c>
      <c r="N474" s="8">
        <f>SUM(TBL_Employees[[#This Row],[Annual Salary]],TBL_Employees[[#This Row],[TOTAL BONUS]])</f>
        <v>99697</v>
      </c>
      <c r="O474" s="8">
        <f>TBL_Employees[[#This Row],[Annual Salary]]*TBL_Employees[[#This Row],[Bonus %]]/100+TBL_Employees[[#This Row],[Annual Salary]]</f>
        <v>99697</v>
      </c>
      <c r="P474" t="s">
        <v>52</v>
      </c>
      <c r="Q474" t="s">
        <v>66</v>
      </c>
      <c r="R474" s="6" t="s">
        <v>21</v>
      </c>
    </row>
    <row r="475" spans="1:18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 s="17"/>
      <c r="I475">
        <v>45</v>
      </c>
      <c r="J475" s="6">
        <v>40235</v>
      </c>
      <c r="K475" s="8">
        <v>90770</v>
      </c>
      <c r="L475" s="1">
        <v>0</v>
      </c>
      <c r="M475" s="8">
        <f>TBL_Employees[[#This Row],[Annual Salary]]*TBL_Employees[[#This Row],[Bonus %]]</f>
        <v>0</v>
      </c>
      <c r="N475" s="8">
        <f>SUM(TBL_Employees[[#This Row],[Annual Salary]],TBL_Employees[[#This Row],[TOTAL BONUS]])</f>
        <v>90770</v>
      </c>
      <c r="O475" s="8">
        <f>TBL_Employees[[#This Row],[Annual Salary]]*TBL_Employees[[#This Row],[Bonus %]]/100+TBL_Employees[[#This Row],[Annual Salary]]</f>
        <v>90770</v>
      </c>
      <c r="P475" t="s">
        <v>19</v>
      </c>
      <c r="Q475" t="s">
        <v>29</v>
      </c>
      <c r="R475" s="6" t="s">
        <v>21</v>
      </c>
    </row>
    <row r="476" spans="1:18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 s="17"/>
      <c r="I476">
        <v>64</v>
      </c>
      <c r="J476" s="6">
        <v>38380</v>
      </c>
      <c r="K476" s="8">
        <v>55369</v>
      </c>
      <c r="L476" s="1">
        <v>0</v>
      </c>
      <c r="M476" s="8">
        <f>TBL_Employees[[#This Row],[Annual Salary]]*TBL_Employees[[#This Row],[Bonus %]]</f>
        <v>0</v>
      </c>
      <c r="N476" s="8">
        <f>SUM(TBL_Employees[[#This Row],[Annual Salary]],TBL_Employees[[#This Row],[TOTAL BONUS]])</f>
        <v>55369</v>
      </c>
      <c r="O476" s="8">
        <f>TBL_Employees[[#This Row],[Annual Salary]]*TBL_Employees[[#This Row],[Bonus %]]/100+TBL_Employees[[#This Row],[Annual Salary]]</f>
        <v>55369</v>
      </c>
      <c r="P476" t="s">
        <v>19</v>
      </c>
      <c r="Q476" t="s">
        <v>39</v>
      </c>
      <c r="R476" s="6" t="s">
        <v>21</v>
      </c>
    </row>
    <row r="477" spans="1:18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 s="17"/>
      <c r="I477">
        <v>59</v>
      </c>
      <c r="J477" s="6">
        <v>41898</v>
      </c>
      <c r="K477" s="8">
        <v>69578</v>
      </c>
      <c r="L477" s="1">
        <v>0</v>
      </c>
      <c r="M477" s="8">
        <f>TBL_Employees[[#This Row],[Annual Salary]]*TBL_Employees[[#This Row],[Bonus %]]</f>
        <v>0</v>
      </c>
      <c r="N477" s="8">
        <f>SUM(TBL_Employees[[#This Row],[Annual Salary]],TBL_Employees[[#This Row],[TOTAL BONUS]])</f>
        <v>69578</v>
      </c>
      <c r="O477" s="8">
        <f>TBL_Employees[[#This Row],[Annual Salary]]*TBL_Employees[[#This Row],[Bonus %]]/100+TBL_Employees[[#This Row],[Annual Salary]]</f>
        <v>69578</v>
      </c>
      <c r="P477" t="s">
        <v>52</v>
      </c>
      <c r="Q477" t="s">
        <v>66</v>
      </c>
      <c r="R477" s="6" t="s">
        <v>21</v>
      </c>
    </row>
    <row r="478" spans="1:18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 s="17"/>
      <c r="I478">
        <v>41</v>
      </c>
      <c r="J478" s="6">
        <v>41429</v>
      </c>
      <c r="K478" s="8">
        <v>167526</v>
      </c>
      <c r="L478" s="1">
        <v>0.26</v>
      </c>
      <c r="M478" s="8">
        <f>TBL_Employees[[#This Row],[Annual Salary]]*TBL_Employees[[#This Row],[Bonus %]]</f>
        <v>43556.76</v>
      </c>
      <c r="N478" s="8">
        <f>SUM(TBL_Employees[[#This Row],[Annual Salary]],TBL_Employees[[#This Row],[TOTAL BONUS]])</f>
        <v>211082.76</v>
      </c>
      <c r="O478" s="8">
        <f>TBL_Employees[[#This Row],[Annual Salary]]*TBL_Employees[[#This Row],[Bonus %]]/100+TBL_Employees[[#This Row],[Annual Salary]]</f>
        <v>167961.56760000001</v>
      </c>
      <c r="P478" t="s">
        <v>19</v>
      </c>
      <c r="Q478" t="s">
        <v>45</v>
      </c>
      <c r="R478" s="6" t="s">
        <v>21</v>
      </c>
    </row>
    <row r="479" spans="1:18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 s="17"/>
      <c r="I479">
        <v>42</v>
      </c>
      <c r="J479" s="6">
        <v>44232</v>
      </c>
      <c r="K479" s="8">
        <v>65507</v>
      </c>
      <c r="L479" s="1">
        <v>0</v>
      </c>
      <c r="M479" s="8">
        <f>TBL_Employees[[#This Row],[Annual Salary]]*TBL_Employees[[#This Row],[Bonus %]]</f>
        <v>0</v>
      </c>
      <c r="N479" s="8">
        <f>SUM(TBL_Employees[[#This Row],[Annual Salary]],TBL_Employees[[#This Row],[TOTAL BONUS]])</f>
        <v>65507</v>
      </c>
      <c r="O479" s="8">
        <f>TBL_Employees[[#This Row],[Annual Salary]]*TBL_Employees[[#This Row],[Bonus %]]/100+TBL_Employees[[#This Row],[Annual Salary]]</f>
        <v>65507</v>
      </c>
      <c r="P479" t="s">
        <v>52</v>
      </c>
      <c r="Q479" t="s">
        <v>81</v>
      </c>
      <c r="R479" s="6" t="s">
        <v>21</v>
      </c>
    </row>
    <row r="480" spans="1:18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 s="17"/>
      <c r="I480">
        <v>54</v>
      </c>
      <c r="J480" s="6">
        <v>35913</v>
      </c>
      <c r="K480" s="8">
        <v>108268</v>
      </c>
      <c r="L480" s="1">
        <v>0.09</v>
      </c>
      <c r="M480" s="8">
        <f>TBL_Employees[[#This Row],[Annual Salary]]*TBL_Employees[[#This Row],[Bonus %]]</f>
        <v>9744.119999999999</v>
      </c>
      <c r="N480" s="8">
        <f>SUM(TBL_Employees[[#This Row],[Annual Salary]],TBL_Employees[[#This Row],[TOTAL BONUS]])</f>
        <v>118012.12</v>
      </c>
      <c r="O480" s="8">
        <f>TBL_Employees[[#This Row],[Annual Salary]]*TBL_Employees[[#This Row],[Bonus %]]/100+TBL_Employees[[#This Row],[Annual Salary]]</f>
        <v>108365.4412</v>
      </c>
      <c r="P480" t="s">
        <v>52</v>
      </c>
      <c r="Q480" t="s">
        <v>53</v>
      </c>
      <c r="R480" s="6">
        <v>38122</v>
      </c>
    </row>
    <row r="481" spans="1:18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 s="17"/>
      <c r="I481">
        <v>37</v>
      </c>
      <c r="J481" s="6">
        <v>42405</v>
      </c>
      <c r="K481" s="8">
        <v>80055</v>
      </c>
      <c r="L481" s="1">
        <v>0</v>
      </c>
      <c r="M481" s="8">
        <f>TBL_Employees[[#This Row],[Annual Salary]]*TBL_Employees[[#This Row],[Bonus %]]</f>
        <v>0</v>
      </c>
      <c r="N481" s="8">
        <f>SUM(TBL_Employees[[#This Row],[Annual Salary]],TBL_Employees[[#This Row],[TOTAL BONUS]])</f>
        <v>80055</v>
      </c>
      <c r="O481" s="8">
        <f>TBL_Employees[[#This Row],[Annual Salary]]*TBL_Employees[[#This Row],[Bonus %]]/100+TBL_Employees[[#This Row],[Annual Salary]]</f>
        <v>80055</v>
      </c>
      <c r="P481" t="s">
        <v>33</v>
      </c>
      <c r="Q481" t="s">
        <v>60</v>
      </c>
      <c r="R481" s="6" t="s">
        <v>21</v>
      </c>
    </row>
    <row r="482" spans="1:18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 s="17"/>
      <c r="I482">
        <v>58</v>
      </c>
      <c r="J482" s="6">
        <v>39930</v>
      </c>
      <c r="K482" s="8">
        <v>76802</v>
      </c>
      <c r="L482" s="1">
        <v>0</v>
      </c>
      <c r="M482" s="8">
        <f>TBL_Employees[[#This Row],[Annual Salary]]*TBL_Employees[[#This Row],[Bonus %]]</f>
        <v>0</v>
      </c>
      <c r="N482" s="8">
        <f>SUM(TBL_Employees[[#This Row],[Annual Salary]],TBL_Employees[[#This Row],[TOTAL BONUS]])</f>
        <v>76802</v>
      </c>
      <c r="O482" s="8">
        <f>TBL_Employees[[#This Row],[Annual Salary]]*TBL_Employees[[#This Row],[Bonus %]]/100+TBL_Employees[[#This Row],[Annual Salary]]</f>
        <v>76802</v>
      </c>
      <c r="P482" t="s">
        <v>52</v>
      </c>
      <c r="Q482" t="s">
        <v>81</v>
      </c>
      <c r="R482" s="6" t="s">
        <v>21</v>
      </c>
    </row>
    <row r="483" spans="1:18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 s="17"/>
      <c r="I483">
        <v>47</v>
      </c>
      <c r="J483" s="6">
        <v>42696</v>
      </c>
      <c r="K483" s="8">
        <v>253249</v>
      </c>
      <c r="L483" s="1">
        <v>0.31</v>
      </c>
      <c r="M483" s="8">
        <f>TBL_Employees[[#This Row],[Annual Salary]]*TBL_Employees[[#This Row],[Bonus %]]</f>
        <v>78507.19</v>
      </c>
      <c r="N483" s="8">
        <f>SUM(TBL_Employees[[#This Row],[Annual Salary]],TBL_Employees[[#This Row],[TOTAL BONUS]])</f>
        <v>331756.19</v>
      </c>
      <c r="O483" s="8">
        <f>TBL_Employees[[#This Row],[Annual Salary]]*TBL_Employees[[#This Row],[Bonus %]]/100+TBL_Employees[[#This Row],[Annual Salary]]</f>
        <v>254034.07190000001</v>
      </c>
      <c r="P483" t="s">
        <v>19</v>
      </c>
      <c r="Q483" t="s">
        <v>25</v>
      </c>
      <c r="R483" s="6" t="s">
        <v>21</v>
      </c>
    </row>
    <row r="484" spans="1:18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 s="17"/>
      <c r="I484">
        <v>60</v>
      </c>
      <c r="J484" s="6">
        <v>38667</v>
      </c>
      <c r="K484" s="8">
        <v>78388</v>
      </c>
      <c r="L484" s="1">
        <v>0</v>
      </c>
      <c r="M484" s="8">
        <f>TBL_Employees[[#This Row],[Annual Salary]]*TBL_Employees[[#This Row],[Bonus %]]</f>
        <v>0</v>
      </c>
      <c r="N484" s="8">
        <f>SUM(TBL_Employees[[#This Row],[Annual Salary]],TBL_Employees[[#This Row],[TOTAL BONUS]])</f>
        <v>78388</v>
      </c>
      <c r="O484" s="8">
        <f>TBL_Employees[[#This Row],[Annual Salary]]*TBL_Employees[[#This Row],[Bonus %]]/100+TBL_Employees[[#This Row],[Annual Salary]]</f>
        <v>78388</v>
      </c>
      <c r="P484" t="s">
        <v>33</v>
      </c>
      <c r="Q484" t="s">
        <v>80</v>
      </c>
      <c r="R484" s="6" t="s">
        <v>21</v>
      </c>
    </row>
    <row r="485" spans="1:18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 s="17"/>
      <c r="I485">
        <v>38</v>
      </c>
      <c r="J485" s="6">
        <v>42543</v>
      </c>
      <c r="K485" s="8">
        <v>249870</v>
      </c>
      <c r="L485" s="1">
        <v>0.34</v>
      </c>
      <c r="M485" s="8">
        <f>TBL_Employees[[#This Row],[Annual Salary]]*TBL_Employees[[#This Row],[Bonus %]]</f>
        <v>84955.8</v>
      </c>
      <c r="N485" s="8">
        <f>SUM(TBL_Employees[[#This Row],[Annual Salary]],TBL_Employees[[#This Row],[TOTAL BONUS]])</f>
        <v>334825.8</v>
      </c>
      <c r="O485" s="8">
        <f>TBL_Employees[[#This Row],[Annual Salary]]*TBL_Employees[[#This Row],[Bonus %]]/100+TBL_Employees[[#This Row],[Annual Salary]]</f>
        <v>250719.55799999999</v>
      </c>
      <c r="P485" t="s">
        <v>19</v>
      </c>
      <c r="Q485" t="s">
        <v>20</v>
      </c>
      <c r="R485" s="6" t="s">
        <v>21</v>
      </c>
    </row>
    <row r="486" spans="1:18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 s="17"/>
      <c r="I486">
        <v>63</v>
      </c>
      <c r="J486" s="6">
        <v>42064</v>
      </c>
      <c r="K486" s="8">
        <v>148321</v>
      </c>
      <c r="L486" s="1">
        <v>0.15</v>
      </c>
      <c r="M486" s="8">
        <f>TBL_Employees[[#This Row],[Annual Salary]]*TBL_Employees[[#This Row],[Bonus %]]</f>
        <v>22248.149999999998</v>
      </c>
      <c r="N486" s="8">
        <f>SUM(TBL_Employees[[#This Row],[Annual Salary]],TBL_Employees[[#This Row],[TOTAL BONUS]])</f>
        <v>170569.15</v>
      </c>
      <c r="O486" s="8">
        <f>TBL_Employees[[#This Row],[Annual Salary]]*TBL_Employees[[#This Row],[Bonus %]]/100+TBL_Employees[[#This Row],[Annual Salary]]</f>
        <v>148543.48149999999</v>
      </c>
      <c r="P486" t="s">
        <v>33</v>
      </c>
      <c r="Q486" t="s">
        <v>60</v>
      </c>
      <c r="R486" s="6" t="s">
        <v>21</v>
      </c>
    </row>
    <row r="487" spans="1:18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 s="17"/>
      <c r="I487">
        <v>60</v>
      </c>
      <c r="J487" s="6">
        <v>38027</v>
      </c>
      <c r="K487" s="8">
        <v>90258</v>
      </c>
      <c r="L487" s="1">
        <v>0</v>
      </c>
      <c r="M487" s="8">
        <f>TBL_Employees[[#This Row],[Annual Salary]]*TBL_Employees[[#This Row],[Bonus %]]</f>
        <v>0</v>
      </c>
      <c r="N487" s="8">
        <f>SUM(TBL_Employees[[#This Row],[Annual Salary]],TBL_Employees[[#This Row],[TOTAL BONUS]])</f>
        <v>90258</v>
      </c>
      <c r="O487" s="8">
        <f>TBL_Employees[[#This Row],[Annual Salary]]*TBL_Employees[[#This Row],[Bonus %]]/100+TBL_Employees[[#This Row],[Annual Salary]]</f>
        <v>90258</v>
      </c>
      <c r="P487" t="s">
        <v>33</v>
      </c>
      <c r="Q487" t="s">
        <v>80</v>
      </c>
      <c r="R487" s="6" t="s">
        <v>21</v>
      </c>
    </row>
    <row r="488" spans="1:18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 s="17"/>
      <c r="I488">
        <v>42</v>
      </c>
      <c r="J488" s="6">
        <v>40593</v>
      </c>
      <c r="K488" s="8">
        <v>72486</v>
      </c>
      <c r="L488" s="1">
        <v>0</v>
      </c>
      <c r="M488" s="8">
        <f>TBL_Employees[[#This Row],[Annual Salary]]*TBL_Employees[[#This Row],[Bonus %]]</f>
        <v>0</v>
      </c>
      <c r="N488" s="8">
        <f>SUM(TBL_Employees[[#This Row],[Annual Salary]],TBL_Employees[[#This Row],[TOTAL BONUS]])</f>
        <v>72486</v>
      </c>
      <c r="O488" s="8">
        <f>TBL_Employees[[#This Row],[Annual Salary]]*TBL_Employees[[#This Row],[Bonus %]]/100+TBL_Employees[[#This Row],[Annual Salary]]</f>
        <v>72486</v>
      </c>
      <c r="P488" t="s">
        <v>19</v>
      </c>
      <c r="Q488" t="s">
        <v>63</v>
      </c>
      <c r="R488" s="6" t="s">
        <v>21</v>
      </c>
    </row>
    <row r="489" spans="1:18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 s="17"/>
      <c r="I489">
        <v>34</v>
      </c>
      <c r="J489" s="6">
        <v>41886</v>
      </c>
      <c r="K489" s="8">
        <v>95499</v>
      </c>
      <c r="L489" s="1">
        <v>0</v>
      </c>
      <c r="M489" s="8">
        <f>TBL_Employees[[#This Row],[Annual Salary]]*TBL_Employees[[#This Row],[Bonus %]]</f>
        <v>0</v>
      </c>
      <c r="N489" s="8">
        <f>SUM(TBL_Employees[[#This Row],[Annual Salary]],TBL_Employees[[#This Row],[TOTAL BONUS]])</f>
        <v>95499</v>
      </c>
      <c r="O489" s="8">
        <f>TBL_Employees[[#This Row],[Annual Salary]]*TBL_Employees[[#This Row],[Bonus %]]/100+TBL_Employees[[#This Row],[Annual Salary]]</f>
        <v>95499</v>
      </c>
      <c r="P489" t="s">
        <v>52</v>
      </c>
      <c r="Q489" t="s">
        <v>53</v>
      </c>
      <c r="R489" s="6">
        <v>42958</v>
      </c>
    </row>
    <row r="490" spans="1:18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 s="17"/>
      <c r="I490">
        <v>53</v>
      </c>
      <c r="J490" s="6">
        <v>38344</v>
      </c>
      <c r="K490" s="8">
        <v>90212</v>
      </c>
      <c r="L490" s="1">
        <v>0</v>
      </c>
      <c r="M490" s="8">
        <f>TBL_Employees[[#This Row],[Annual Salary]]*TBL_Employees[[#This Row],[Bonus %]]</f>
        <v>0</v>
      </c>
      <c r="N490" s="8">
        <f>SUM(TBL_Employees[[#This Row],[Annual Salary]],TBL_Employees[[#This Row],[TOTAL BONUS]])</f>
        <v>90212</v>
      </c>
      <c r="O490" s="8">
        <f>TBL_Employees[[#This Row],[Annual Salary]]*TBL_Employees[[#This Row],[Bonus %]]/100+TBL_Employees[[#This Row],[Annual Salary]]</f>
        <v>90212</v>
      </c>
      <c r="P490" t="s">
        <v>52</v>
      </c>
      <c r="Q490" t="s">
        <v>53</v>
      </c>
      <c r="R490" s="6" t="s">
        <v>21</v>
      </c>
    </row>
    <row r="491" spans="1:18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 s="17"/>
      <c r="I491">
        <v>39</v>
      </c>
      <c r="J491" s="6">
        <v>43804</v>
      </c>
      <c r="K491" s="8">
        <v>254057</v>
      </c>
      <c r="L491" s="1">
        <v>0.39</v>
      </c>
      <c r="M491" s="8">
        <f>TBL_Employees[[#This Row],[Annual Salary]]*TBL_Employees[[#This Row],[Bonus %]]</f>
        <v>99082.23000000001</v>
      </c>
      <c r="N491" s="8">
        <f>SUM(TBL_Employees[[#This Row],[Annual Salary]],TBL_Employees[[#This Row],[TOTAL BONUS]])</f>
        <v>353139.23</v>
      </c>
      <c r="O491" s="8">
        <f>TBL_Employees[[#This Row],[Annual Salary]]*TBL_Employees[[#This Row],[Bonus %]]/100+TBL_Employees[[#This Row],[Annual Salary]]</f>
        <v>255047.8223</v>
      </c>
      <c r="P491" t="s">
        <v>33</v>
      </c>
      <c r="Q491" t="s">
        <v>74</v>
      </c>
      <c r="R491" s="6" t="s">
        <v>21</v>
      </c>
    </row>
    <row r="492" spans="1:18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 s="17"/>
      <c r="I492">
        <v>58</v>
      </c>
      <c r="J492" s="6">
        <v>40463</v>
      </c>
      <c r="K492" s="8">
        <v>43001</v>
      </c>
      <c r="L492" s="1">
        <v>0</v>
      </c>
      <c r="M492" s="8">
        <f>TBL_Employees[[#This Row],[Annual Salary]]*TBL_Employees[[#This Row],[Bonus %]]</f>
        <v>0</v>
      </c>
      <c r="N492" s="8">
        <f>SUM(TBL_Employees[[#This Row],[Annual Salary]],TBL_Employees[[#This Row],[TOTAL BONUS]])</f>
        <v>43001</v>
      </c>
      <c r="O492" s="8">
        <f>TBL_Employees[[#This Row],[Annual Salary]]*TBL_Employees[[#This Row],[Bonus %]]/100+TBL_Employees[[#This Row],[Annual Salary]]</f>
        <v>43001</v>
      </c>
      <c r="P492" t="s">
        <v>19</v>
      </c>
      <c r="Q492" t="s">
        <v>25</v>
      </c>
      <c r="R492" s="6" t="s">
        <v>21</v>
      </c>
    </row>
    <row r="493" spans="1:18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 s="17"/>
      <c r="I493">
        <v>60</v>
      </c>
      <c r="J493" s="6">
        <v>36010</v>
      </c>
      <c r="K493" s="8">
        <v>85120</v>
      </c>
      <c r="L493" s="1">
        <v>0.09</v>
      </c>
      <c r="M493" s="8">
        <f>TBL_Employees[[#This Row],[Annual Salary]]*TBL_Employees[[#This Row],[Bonus %]]</f>
        <v>7660.7999999999993</v>
      </c>
      <c r="N493" s="8">
        <f>SUM(TBL_Employees[[#This Row],[Annual Salary]],TBL_Employees[[#This Row],[TOTAL BONUS]])</f>
        <v>92780.800000000003</v>
      </c>
      <c r="O493" s="8">
        <f>TBL_Employees[[#This Row],[Annual Salary]]*TBL_Employees[[#This Row],[Bonus %]]/100+TBL_Employees[[#This Row],[Annual Salary]]</f>
        <v>85196.607999999993</v>
      </c>
      <c r="P493" t="s">
        <v>19</v>
      </c>
      <c r="Q493" t="s">
        <v>63</v>
      </c>
      <c r="R493" s="6" t="s">
        <v>21</v>
      </c>
    </row>
    <row r="494" spans="1:18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 s="17"/>
      <c r="I494">
        <v>34</v>
      </c>
      <c r="J494" s="6">
        <v>42219</v>
      </c>
      <c r="K494" s="8">
        <v>52200</v>
      </c>
      <c r="L494" s="1">
        <v>0</v>
      </c>
      <c r="M494" s="8">
        <f>TBL_Employees[[#This Row],[Annual Salary]]*TBL_Employees[[#This Row],[Bonus %]]</f>
        <v>0</v>
      </c>
      <c r="N494" s="8">
        <f>SUM(TBL_Employees[[#This Row],[Annual Salary]],TBL_Employees[[#This Row],[TOTAL BONUS]])</f>
        <v>52200</v>
      </c>
      <c r="O494" s="8">
        <f>TBL_Employees[[#This Row],[Annual Salary]]*TBL_Employees[[#This Row],[Bonus %]]/100+TBL_Employees[[#This Row],[Annual Salary]]</f>
        <v>52200</v>
      </c>
      <c r="P494" t="s">
        <v>19</v>
      </c>
      <c r="Q494" t="s">
        <v>29</v>
      </c>
      <c r="R494" s="6" t="s">
        <v>21</v>
      </c>
    </row>
    <row r="495" spans="1:18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 s="17"/>
      <c r="I495">
        <v>60</v>
      </c>
      <c r="J495" s="6">
        <v>39739</v>
      </c>
      <c r="K495" s="8">
        <v>150855</v>
      </c>
      <c r="L495" s="1">
        <v>0.11</v>
      </c>
      <c r="M495" s="8">
        <f>TBL_Employees[[#This Row],[Annual Salary]]*TBL_Employees[[#This Row],[Bonus %]]</f>
        <v>16594.05</v>
      </c>
      <c r="N495" s="8">
        <f>SUM(TBL_Employees[[#This Row],[Annual Salary]],TBL_Employees[[#This Row],[TOTAL BONUS]])</f>
        <v>167449.04999999999</v>
      </c>
      <c r="O495" s="8">
        <f>TBL_Employees[[#This Row],[Annual Salary]]*TBL_Employees[[#This Row],[Bonus %]]/100+TBL_Employees[[#This Row],[Annual Salary]]</f>
        <v>151020.9405</v>
      </c>
      <c r="P495" t="s">
        <v>19</v>
      </c>
      <c r="Q495" t="s">
        <v>39</v>
      </c>
      <c r="R495" s="6" t="s">
        <v>21</v>
      </c>
    </row>
    <row r="496" spans="1:18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 s="17"/>
      <c r="I496">
        <v>53</v>
      </c>
      <c r="J496" s="6">
        <v>38188</v>
      </c>
      <c r="K496" s="8">
        <v>65702</v>
      </c>
      <c r="L496" s="1">
        <v>0</v>
      </c>
      <c r="M496" s="8">
        <f>TBL_Employees[[#This Row],[Annual Salary]]*TBL_Employees[[#This Row],[Bonus %]]</f>
        <v>0</v>
      </c>
      <c r="N496" s="8">
        <f>SUM(TBL_Employees[[#This Row],[Annual Salary]],TBL_Employees[[#This Row],[TOTAL BONUS]])</f>
        <v>65702</v>
      </c>
      <c r="O496" s="8">
        <f>TBL_Employees[[#This Row],[Annual Salary]]*TBL_Employees[[#This Row],[Bonus %]]/100+TBL_Employees[[#This Row],[Annual Salary]]</f>
        <v>65702</v>
      </c>
      <c r="P496" t="s">
        <v>19</v>
      </c>
      <c r="Q496" t="s">
        <v>29</v>
      </c>
      <c r="R496" s="6" t="s">
        <v>21</v>
      </c>
    </row>
    <row r="497" spans="1:18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 s="17"/>
      <c r="I497">
        <v>58</v>
      </c>
      <c r="J497" s="6">
        <v>39367</v>
      </c>
      <c r="K497" s="8">
        <v>162038</v>
      </c>
      <c r="L497" s="1">
        <v>0.24</v>
      </c>
      <c r="M497" s="8">
        <f>TBL_Employees[[#This Row],[Annual Salary]]*TBL_Employees[[#This Row],[Bonus %]]</f>
        <v>38889.119999999995</v>
      </c>
      <c r="N497" s="8">
        <f>SUM(TBL_Employees[[#This Row],[Annual Salary]],TBL_Employees[[#This Row],[TOTAL BONUS]])</f>
        <v>200927.12</v>
      </c>
      <c r="O497" s="8">
        <f>TBL_Employees[[#This Row],[Annual Salary]]*TBL_Employees[[#This Row],[Bonus %]]/100+TBL_Employees[[#This Row],[Annual Salary]]</f>
        <v>162426.89120000001</v>
      </c>
      <c r="P497" t="s">
        <v>33</v>
      </c>
      <c r="Q497" t="s">
        <v>80</v>
      </c>
      <c r="R497" s="6" t="s">
        <v>21</v>
      </c>
    </row>
    <row r="498" spans="1:18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 s="17"/>
      <c r="I498">
        <v>25</v>
      </c>
      <c r="J498" s="6">
        <v>43930</v>
      </c>
      <c r="K498" s="8">
        <v>157057</v>
      </c>
      <c r="L498" s="1">
        <v>0.1</v>
      </c>
      <c r="M498" s="8">
        <f>TBL_Employees[[#This Row],[Annual Salary]]*TBL_Employees[[#This Row],[Bonus %]]</f>
        <v>15705.7</v>
      </c>
      <c r="N498" s="8">
        <f>SUM(TBL_Employees[[#This Row],[Annual Salary]],TBL_Employees[[#This Row],[TOTAL BONUS]])</f>
        <v>172762.7</v>
      </c>
      <c r="O498" s="8">
        <f>TBL_Employees[[#This Row],[Annual Salary]]*TBL_Employees[[#This Row],[Bonus %]]/100+TBL_Employees[[#This Row],[Annual Salary]]</f>
        <v>157214.057</v>
      </c>
      <c r="P498" t="s">
        <v>19</v>
      </c>
      <c r="Q498" t="s">
        <v>29</v>
      </c>
      <c r="R498" s="6" t="s">
        <v>21</v>
      </c>
    </row>
    <row r="499" spans="1:18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 s="17"/>
      <c r="I499">
        <v>46</v>
      </c>
      <c r="J499" s="6">
        <v>44419</v>
      </c>
      <c r="K499" s="8">
        <v>127559</v>
      </c>
      <c r="L499" s="1">
        <v>0.1</v>
      </c>
      <c r="M499" s="8">
        <f>TBL_Employees[[#This Row],[Annual Salary]]*TBL_Employees[[#This Row],[Bonus %]]</f>
        <v>12755.900000000001</v>
      </c>
      <c r="N499" s="8">
        <f>SUM(TBL_Employees[[#This Row],[Annual Salary]],TBL_Employees[[#This Row],[TOTAL BONUS]])</f>
        <v>140314.9</v>
      </c>
      <c r="O499" s="8">
        <f>TBL_Employees[[#This Row],[Annual Salary]]*TBL_Employees[[#This Row],[Bonus %]]/100+TBL_Employees[[#This Row],[Annual Salary]]</f>
        <v>127686.55899999999</v>
      </c>
      <c r="P499" t="s">
        <v>19</v>
      </c>
      <c r="Q499" t="s">
        <v>25</v>
      </c>
      <c r="R499" s="6" t="s">
        <v>21</v>
      </c>
    </row>
    <row r="500" spans="1:18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 s="17"/>
      <c r="I500">
        <v>39</v>
      </c>
      <c r="J500" s="6">
        <v>43536</v>
      </c>
      <c r="K500" s="8">
        <v>62644</v>
      </c>
      <c r="L500" s="1">
        <v>0</v>
      </c>
      <c r="M500" s="8">
        <f>TBL_Employees[[#This Row],[Annual Salary]]*TBL_Employees[[#This Row],[Bonus %]]</f>
        <v>0</v>
      </c>
      <c r="N500" s="8">
        <f>SUM(TBL_Employees[[#This Row],[Annual Salary]],TBL_Employees[[#This Row],[TOTAL BONUS]])</f>
        <v>62644</v>
      </c>
      <c r="O500" s="8">
        <f>TBL_Employees[[#This Row],[Annual Salary]]*TBL_Employees[[#This Row],[Bonus %]]/100+TBL_Employees[[#This Row],[Annual Salary]]</f>
        <v>62644</v>
      </c>
      <c r="P500" t="s">
        <v>19</v>
      </c>
      <c r="Q500" t="s">
        <v>63</v>
      </c>
      <c r="R500" s="6" t="s">
        <v>21</v>
      </c>
    </row>
    <row r="501" spans="1:18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 s="17"/>
      <c r="I501">
        <v>50</v>
      </c>
      <c r="J501" s="6">
        <v>36956</v>
      </c>
      <c r="K501" s="8">
        <v>73907</v>
      </c>
      <c r="L501" s="1">
        <v>0</v>
      </c>
      <c r="M501" s="8">
        <f>TBL_Employees[[#This Row],[Annual Salary]]*TBL_Employees[[#This Row],[Bonus %]]</f>
        <v>0</v>
      </c>
      <c r="N501" s="8">
        <f>SUM(TBL_Employees[[#This Row],[Annual Salary]],TBL_Employees[[#This Row],[TOTAL BONUS]])</f>
        <v>73907</v>
      </c>
      <c r="O501" s="8">
        <f>TBL_Employees[[#This Row],[Annual Salary]]*TBL_Employees[[#This Row],[Bonus %]]/100+TBL_Employees[[#This Row],[Annual Salary]]</f>
        <v>73907</v>
      </c>
      <c r="P501" t="s">
        <v>33</v>
      </c>
      <c r="Q501" t="s">
        <v>74</v>
      </c>
      <c r="R501" s="6" t="s">
        <v>21</v>
      </c>
    </row>
    <row r="502" spans="1:18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 s="17"/>
      <c r="I502">
        <v>56</v>
      </c>
      <c r="J502" s="6">
        <v>43169</v>
      </c>
      <c r="K502" s="8">
        <v>90040</v>
      </c>
      <c r="L502" s="1">
        <v>0</v>
      </c>
      <c r="M502" s="8">
        <f>TBL_Employees[[#This Row],[Annual Salary]]*TBL_Employees[[#This Row],[Bonus %]]</f>
        <v>0</v>
      </c>
      <c r="N502" s="8">
        <f>SUM(TBL_Employees[[#This Row],[Annual Salary]],TBL_Employees[[#This Row],[TOTAL BONUS]])</f>
        <v>90040</v>
      </c>
      <c r="O502" s="8">
        <f>TBL_Employees[[#This Row],[Annual Salary]]*TBL_Employees[[#This Row],[Bonus %]]/100+TBL_Employees[[#This Row],[Annual Salary]]</f>
        <v>90040</v>
      </c>
      <c r="P502" t="s">
        <v>19</v>
      </c>
      <c r="Q502" t="s">
        <v>20</v>
      </c>
      <c r="R502" s="6" t="s">
        <v>21</v>
      </c>
    </row>
    <row r="503" spans="1:18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 s="17"/>
      <c r="I503">
        <v>30</v>
      </c>
      <c r="J503" s="6">
        <v>42516</v>
      </c>
      <c r="K503" s="8">
        <v>91134</v>
      </c>
      <c r="L503" s="1">
        <v>0</v>
      </c>
      <c r="M503" s="8">
        <f>TBL_Employees[[#This Row],[Annual Salary]]*TBL_Employees[[#This Row],[Bonus %]]</f>
        <v>0</v>
      </c>
      <c r="N503" s="8">
        <f>SUM(TBL_Employees[[#This Row],[Annual Salary]],TBL_Employees[[#This Row],[TOTAL BONUS]])</f>
        <v>91134</v>
      </c>
      <c r="O503" s="8">
        <f>TBL_Employees[[#This Row],[Annual Salary]]*TBL_Employees[[#This Row],[Bonus %]]/100+TBL_Employees[[#This Row],[Annual Salary]]</f>
        <v>91134</v>
      </c>
      <c r="P503" t="s">
        <v>52</v>
      </c>
      <c r="Q503" t="s">
        <v>53</v>
      </c>
      <c r="R503" s="6" t="s">
        <v>21</v>
      </c>
    </row>
    <row r="504" spans="1:18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 s="17"/>
      <c r="I504">
        <v>45</v>
      </c>
      <c r="J504" s="6">
        <v>44461</v>
      </c>
      <c r="K504" s="8">
        <v>201396</v>
      </c>
      <c r="L504" s="1">
        <v>0.32</v>
      </c>
      <c r="M504" s="8">
        <f>TBL_Employees[[#This Row],[Annual Salary]]*TBL_Employees[[#This Row],[Bonus %]]</f>
        <v>64446.720000000001</v>
      </c>
      <c r="N504" s="8">
        <f>SUM(TBL_Employees[[#This Row],[Annual Salary]],TBL_Employees[[#This Row],[TOTAL BONUS]])</f>
        <v>265842.71999999997</v>
      </c>
      <c r="O504" s="8">
        <f>TBL_Employees[[#This Row],[Annual Salary]]*TBL_Employees[[#This Row],[Bonus %]]/100+TBL_Employees[[#This Row],[Annual Salary]]</f>
        <v>202040.46720000001</v>
      </c>
      <c r="P504" t="s">
        <v>19</v>
      </c>
      <c r="Q504" t="s">
        <v>45</v>
      </c>
      <c r="R504" s="6" t="s">
        <v>21</v>
      </c>
    </row>
    <row r="505" spans="1:18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 s="17"/>
      <c r="I505">
        <v>55</v>
      </c>
      <c r="J505" s="6">
        <v>40899</v>
      </c>
      <c r="K505" s="8">
        <v>54733</v>
      </c>
      <c r="L505" s="1">
        <v>0</v>
      </c>
      <c r="M505" s="8">
        <f>TBL_Employees[[#This Row],[Annual Salary]]*TBL_Employees[[#This Row],[Bonus %]]</f>
        <v>0</v>
      </c>
      <c r="N505" s="8">
        <f>SUM(TBL_Employees[[#This Row],[Annual Salary]],TBL_Employees[[#This Row],[TOTAL BONUS]])</f>
        <v>54733</v>
      </c>
      <c r="O505" s="8">
        <f>TBL_Employees[[#This Row],[Annual Salary]]*TBL_Employees[[#This Row],[Bonus %]]/100+TBL_Employees[[#This Row],[Annual Salary]]</f>
        <v>54733</v>
      </c>
      <c r="P505" t="s">
        <v>33</v>
      </c>
      <c r="Q505" t="s">
        <v>80</v>
      </c>
      <c r="R505" s="6" t="s">
        <v>21</v>
      </c>
    </row>
    <row r="506" spans="1:18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 s="17"/>
      <c r="I506">
        <v>28</v>
      </c>
      <c r="J506" s="6">
        <v>43633</v>
      </c>
      <c r="K506" s="8">
        <v>65341</v>
      </c>
      <c r="L506" s="1">
        <v>0</v>
      </c>
      <c r="M506" s="8">
        <f>TBL_Employees[[#This Row],[Annual Salary]]*TBL_Employees[[#This Row],[Bonus %]]</f>
        <v>0</v>
      </c>
      <c r="N506" s="8">
        <f>SUM(TBL_Employees[[#This Row],[Annual Salary]],TBL_Employees[[#This Row],[TOTAL BONUS]])</f>
        <v>65341</v>
      </c>
      <c r="O506" s="8">
        <f>TBL_Employees[[#This Row],[Annual Salary]]*TBL_Employees[[#This Row],[Bonus %]]/100+TBL_Employees[[#This Row],[Annual Salary]]</f>
        <v>65341</v>
      </c>
      <c r="P506" t="s">
        <v>19</v>
      </c>
      <c r="Q506" t="s">
        <v>45</v>
      </c>
      <c r="R506" s="6">
        <v>44662</v>
      </c>
    </row>
    <row r="507" spans="1:18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 s="17"/>
      <c r="I507">
        <v>59</v>
      </c>
      <c r="J507" s="6">
        <v>43400</v>
      </c>
      <c r="K507" s="8">
        <v>139208</v>
      </c>
      <c r="L507" s="1">
        <v>0.11</v>
      </c>
      <c r="M507" s="8">
        <f>TBL_Employees[[#This Row],[Annual Salary]]*TBL_Employees[[#This Row],[Bonus %]]</f>
        <v>15312.88</v>
      </c>
      <c r="N507" s="8">
        <f>SUM(TBL_Employees[[#This Row],[Annual Salary]],TBL_Employees[[#This Row],[TOTAL BONUS]])</f>
        <v>154520.88</v>
      </c>
      <c r="O507" s="8">
        <f>TBL_Employees[[#This Row],[Annual Salary]]*TBL_Employees[[#This Row],[Bonus %]]/100+TBL_Employees[[#This Row],[Annual Salary]]</f>
        <v>139361.12880000001</v>
      </c>
      <c r="P507" t="s">
        <v>19</v>
      </c>
      <c r="Q507" t="s">
        <v>25</v>
      </c>
      <c r="R507" s="6" t="s">
        <v>21</v>
      </c>
    </row>
    <row r="508" spans="1:18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 s="17"/>
      <c r="I508">
        <v>63</v>
      </c>
      <c r="J508" s="6">
        <v>43171</v>
      </c>
      <c r="K508" s="8">
        <v>73200</v>
      </c>
      <c r="L508" s="1">
        <v>0</v>
      </c>
      <c r="M508" s="8">
        <f>TBL_Employees[[#This Row],[Annual Salary]]*TBL_Employees[[#This Row],[Bonus %]]</f>
        <v>0</v>
      </c>
      <c r="N508" s="8">
        <f>SUM(TBL_Employees[[#This Row],[Annual Salary]],TBL_Employees[[#This Row],[TOTAL BONUS]])</f>
        <v>73200</v>
      </c>
      <c r="O508" s="8">
        <f>TBL_Employees[[#This Row],[Annual Salary]]*TBL_Employees[[#This Row],[Bonus %]]/100+TBL_Employees[[#This Row],[Annual Salary]]</f>
        <v>73200</v>
      </c>
      <c r="P508" t="s">
        <v>33</v>
      </c>
      <c r="Q508" t="s">
        <v>74</v>
      </c>
      <c r="R508" s="6" t="s">
        <v>21</v>
      </c>
    </row>
    <row r="509" spans="1:18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 s="17"/>
      <c r="I509">
        <v>46</v>
      </c>
      <c r="J509" s="6">
        <v>40292</v>
      </c>
      <c r="K509" s="8">
        <v>102636</v>
      </c>
      <c r="L509" s="1">
        <v>0.06</v>
      </c>
      <c r="M509" s="8">
        <f>TBL_Employees[[#This Row],[Annual Salary]]*TBL_Employees[[#This Row],[Bonus %]]</f>
        <v>6158.16</v>
      </c>
      <c r="N509" s="8">
        <f>SUM(TBL_Employees[[#This Row],[Annual Salary]],TBL_Employees[[#This Row],[TOTAL BONUS]])</f>
        <v>108794.16</v>
      </c>
      <c r="O509" s="8">
        <f>TBL_Employees[[#This Row],[Annual Salary]]*TBL_Employees[[#This Row],[Bonus %]]/100+TBL_Employees[[#This Row],[Annual Salary]]</f>
        <v>102697.5816</v>
      </c>
      <c r="P509" t="s">
        <v>19</v>
      </c>
      <c r="Q509" t="s">
        <v>63</v>
      </c>
      <c r="R509" s="6" t="s">
        <v>21</v>
      </c>
    </row>
    <row r="510" spans="1:18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 s="17"/>
      <c r="I510">
        <v>26</v>
      </c>
      <c r="J510" s="6">
        <v>44236</v>
      </c>
      <c r="K510" s="8">
        <v>87427</v>
      </c>
      <c r="L510" s="1">
        <v>0</v>
      </c>
      <c r="M510" s="8">
        <f>TBL_Employees[[#This Row],[Annual Salary]]*TBL_Employees[[#This Row],[Bonus %]]</f>
        <v>0</v>
      </c>
      <c r="N510" s="8">
        <f>SUM(TBL_Employees[[#This Row],[Annual Salary]],TBL_Employees[[#This Row],[TOTAL BONUS]])</f>
        <v>87427</v>
      </c>
      <c r="O510" s="8">
        <f>TBL_Employees[[#This Row],[Annual Salary]]*TBL_Employees[[#This Row],[Bonus %]]/100+TBL_Employees[[#This Row],[Annual Salary]]</f>
        <v>87427</v>
      </c>
      <c r="P510" t="s">
        <v>52</v>
      </c>
      <c r="Q510" t="s">
        <v>53</v>
      </c>
      <c r="R510" s="6" t="s">
        <v>21</v>
      </c>
    </row>
    <row r="511" spans="1:18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 s="17"/>
      <c r="I511">
        <v>45</v>
      </c>
      <c r="J511" s="6">
        <v>43248</v>
      </c>
      <c r="K511" s="8">
        <v>49219</v>
      </c>
      <c r="L511" s="1">
        <v>0</v>
      </c>
      <c r="M511" s="8">
        <f>TBL_Employees[[#This Row],[Annual Salary]]*TBL_Employees[[#This Row],[Bonus %]]</f>
        <v>0</v>
      </c>
      <c r="N511" s="8">
        <f>SUM(TBL_Employees[[#This Row],[Annual Salary]],TBL_Employees[[#This Row],[TOTAL BONUS]])</f>
        <v>49219</v>
      </c>
      <c r="O511" s="8">
        <f>TBL_Employees[[#This Row],[Annual Salary]]*TBL_Employees[[#This Row],[Bonus %]]/100+TBL_Employees[[#This Row],[Annual Salary]]</f>
        <v>49219</v>
      </c>
      <c r="P511" t="s">
        <v>19</v>
      </c>
      <c r="Q511" t="s">
        <v>29</v>
      </c>
      <c r="R511" s="6" t="s">
        <v>21</v>
      </c>
    </row>
    <row r="512" spans="1:18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 s="17"/>
      <c r="I512">
        <v>50</v>
      </c>
      <c r="J512" s="6">
        <v>43239</v>
      </c>
      <c r="K512" s="8">
        <v>106437</v>
      </c>
      <c r="L512" s="1">
        <v>7.0000000000000007E-2</v>
      </c>
      <c r="M512" s="8">
        <f>TBL_Employees[[#This Row],[Annual Salary]]*TBL_Employees[[#This Row],[Bonus %]]</f>
        <v>7450.5900000000011</v>
      </c>
      <c r="N512" s="8">
        <f>SUM(TBL_Employees[[#This Row],[Annual Salary]],TBL_Employees[[#This Row],[TOTAL BONUS]])</f>
        <v>113887.59</v>
      </c>
      <c r="O512" s="8">
        <f>TBL_Employees[[#This Row],[Annual Salary]]*TBL_Employees[[#This Row],[Bonus %]]/100+TBL_Employees[[#This Row],[Annual Salary]]</f>
        <v>106511.5059</v>
      </c>
      <c r="P512" t="s">
        <v>33</v>
      </c>
      <c r="Q512" t="s">
        <v>80</v>
      </c>
      <c r="R512" s="6" t="s">
        <v>21</v>
      </c>
    </row>
    <row r="513" spans="1:18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 s="17"/>
      <c r="I513">
        <v>46</v>
      </c>
      <c r="J513" s="6">
        <v>42129</v>
      </c>
      <c r="K513" s="8">
        <v>64364</v>
      </c>
      <c r="L513" s="1">
        <v>0</v>
      </c>
      <c r="M513" s="8">
        <f>TBL_Employees[[#This Row],[Annual Salary]]*TBL_Employees[[#This Row],[Bonus %]]</f>
        <v>0</v>
      </c>
      <c r="N513" s="8">
        <f>SUM(TBL_Employees[[#This Row],[Annual Salary]],TBL_Employees[[#This Row],[TOTAL BONUS]])</f>
        <v>64364</v>
      </c>
      <c r="O513" s="8">
        <f>TBL_Employees[[#This Row],[Annual Salary]]*TBL_Employees[[#This Row],[Bonus %]]/100+TBL_Employees[[#This Row],[Annual Salary]]</f>
        <v>64364</v>
      </c>
      <c r="P513" t="s">
        <v>52</v>
      </c>
      <c r="Q513" t="s">
        <v>53</v>
      </c>
      <c r="R513" s="6" t="s">
        <v>21</v>
      </c>
    </row>
    <row r="514" spans="1:18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 s="17"/>
      <c r="I514">
        <v>50</v>
      </c>
      <c r="J514" s="6">
        <v>44486</v>
      </c>
      <c r="K514" s="8">
        <v>172180</v>
      </c>
      <c r="L514" s="1">
        <v>0.3</v>
      </c>
      <c r="M514" s="8">
        <f>TBL_Employees[[#This Row],[Annual Salary]]*TBL_Employees[[#This Row],[Bonus %]]</f>
        <v>51654</v>
      </c>
      <c r="N514" s="8">
        <f>SUM(TBL_Employees[[#This Row],[Annual Salary]],TBL_Employees[[#This Row],[TOTAL BONUS]])</f>
        <v>223834</v>
      </c>
      <c r="O514" s="8">
        <f>TBL_Employees[[#This Row],[Annual Salary]]*TBL_Employees[[#This Row],[Bonus %]]/100+TBL_Employees[[#This Row],[Annual Salary]]</f>
        <v>172696.54</v>
      </c>
      <c r="P514" t="s">
        <v>19</v>
      </c>
      <c r="Q514" t="s">
        <v>29</v>
      </c>
      <c r="R514" s="6" t="s">
        <v>21</v>
      </c>
    </row>
    <row r="515" spans="1:18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 s="17"/>
      <c r="I515">
        <v>33</v>
      </c>
      <c r="J515" s="6">
        <v>41043</v>
      </c>
      <c r="K515" s="8">
        <v>88343</v>
      </c>
      <c r="L515" s="1">
        <v>0</v>
      </c>
      <c r="M515" s="8">
        <f>TBL_Employees[[#This Row],[Annual Salary]]*TBL_Employees[[#This Row],[Bonus %]]</f>
        <v>0</v>
      </c>
      <c r="N515" s="8">
        <f>SUM(TBL_Employees[[#This Row],[Annual Salary]],TBL_Employees[[#This Row],[TOTAL BONUS]])</f>
        <v>88343</v>
      </c>
      <c r="O515" s="8">
        <f>TBL_Employees[[#This Row],[Annual Salary]]*TBL_Employees[[#This Row],[Bonus %]]/100+TBL_Employees[[#This Row],[Annual Salary]]</f>
        <v>88343</v>
      </c>
      <c r="P515" t="s">
        <v>52</v>
      </c>
      <c r="Q515" t="s">
        <v>66</v>
      </c>
      <c r="R515" s="6" t="s">
        <v>21</v>
      </c>
    </row>
    <row r="516" spans="1:18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 s="17"/>
      <c r="I516">
        <v>57</v>
      </c>
      <c r="J516" s="6">
        <v>41830</v>
      </c>
      <c r="K516" s="8">
        <v>66649</v>
      </c>
      <c r="L516" s="1">
        <v>0</v>
      </c>
      <c r="M516" s="8">
        <f>TBL_Employees[[#This Row],[Annual Salary]]*TBL_Employees[[#This Row],[Bonus %]]</f>
        <v>0</v>
      </c>
      <c r="N516" s="8">
        <f>SUM(TBL_Employees[[#This Row],[Annual Salary]],TBL_Employees[[#This Row],[TOTAL BONUS]])</f>
        <v>66649</v>
      </c>
      <c r="O516" s="8">
        <f>TBL_Employees[[#This Row],[Annual Salary]]*TBL_Employees[[#This Row],[Bonus %]]/100+TBL_Employees[[#This Row],[Annual Salary]]</f>
        <v>66649</v>
      </c>
      <c r="P516" t="s">
        <v>52</v>
      </c>
      <c r="Q516" t="s">
        <v>66</v>
      </c>
      <c r="R516" s="6" t="s">
        <v>21</v>
      </c>
    </row>
    <row r="517" spans="1:18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 s="17"/>
      <c r="I517">
        <v>48</v>
      </c>
      <c r="J517" s="6">
        <v>36272</v>
      </c>
      <c r="K517" s="8">
        <v>102847</v>
      </c>
      <c r="L517" s="1">
        <v>0.05</v>
      </c>
      <c r="M517" s="8">
        <f>TBL_Employees[[#This Row],[Annual Salary]]*TBL_Employees[[#This Row],[Bonus %]]</f>
        <v>5142.3500000000004</v>
      </c>
      <c r="N517" s="8">
        <f>SUM(TBL_Employees[[#This Row],[Annual Salary]],TBL_Employees[[#This Row],[TOTAL BONUS]])</f>
        <v>107989.35</v>
      </c>
      <c r="O517" s="8">
        <f>TBL_Employees[[#This Row],[Annual Salary]]*TBL_Employees[[#This Row],[Bonus %]]/100+TBL_Employees[[#This Row],[Annual Salary]]</f>
        <v>102898.4235</v>
      </c>
      <c r="P517" t="s">
        <v>19</v>
      </c>
      <c r="Q517" t="s">
        <v>20</v>
      </c>
      <c r="R517" s="6" t="s">
        <v>21</v>
      </c>
    </row>
    <row r="518" spans="1:18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 s="17"/>
      <c r="I518">
        <v>46</v>
      </c>
      <c r="J518" s="6">
        <v>40378</v>
      </c>
      <c r="K518" s="8">
        <v>134881</v>
      </c>
      <c r="L518" s="1">
        <v>0.15</v>
      </c>
      <c r="M518" s="8">
        <f>TBL_Employees[[#This Row],[Annual Salary]]*TBL_Employees[[#This Row],[Bonus %]]</f>
        <v>20232.149999999998</v>
      </c>
      <c r="N518" s="8">
        <f>SUM(TBL_Employees[[#This Row],[Annual Salary]],TBL_Employees[[#This Row],[TOTAL BONUS]])</f>
        <v>155113.15</v>
      </c>
      <c r="O518" s="8">
        <f>TBL_Employees[[#This Row],[Annual Salary]]*TBL_Employees[[#This Row],[Bonus %]]/100+TBL_Employees[[#This Row],[Annual Salary]]</f>
        <v>135083.32149999999</v>
      </c>
      <c r="P518" t="s">
        <v>52</v>
      </c>
      <c r="Q518" t="s">
        <v>81</v>
      </c>
      <c r="R518" s="6" t="s">
        <v>21</v>
      </c>
    </row>
    <row r="519" spans="1:18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 s="17"/>
      <c r="I519">
        <v>52</v>
      </c>
      <c r="J519" s="6">
        <v>36303</v>
      </c>
      <c r="K519" s="8">
        <v>68807</v>
      </c>
      <c r="L519" s="1">
        <v>0</v>
      </c>
      <c r="M519" s="8">
        <f>TBL_Employees[[#This Row],[Annual Salary]]*TBL_Employees[[#This Row],[Bonus %]]</f>
        <v>0</v>
      </c>
      <c r="N519" s="8">
        <f>SUM(TBL_Employees[[#This Row],[Annual Salary]],TBL_Employees[[#This Row],[TOTAL BONUS]])</f>
        <v>68807</v>
      </c>
      <c r="O519" s="8">
        <f>TBL_Employees[[#This Row],[Annual Salary]]*TBL_Employees[[#This Row],[Bonus %]]/100+TBL_Employees[[#This Row],[Annual Salary]]</f>
        <v>68807</v>
      </c>
      <c r="P519" t="s">
        <v>33</v>
      </c>
      <c r="Q519" t="s">
        <v>34</v>
      </c>
      <c r="R519" s="6">
        <v>42338</v>
      </c>
    </row>
    <row r="520" spans="1:18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 s="17"/>
      <c r="I520">
        <v>56</v>
      </c>
      <c r="J520" s="6">
        <v>38866</v>
      </c>
      <c r="K520" s="8">
        <v>228822</v>
      </c>
      <c r="L520" s="1">
        <v>0.36</v>
      </c>
      <c r="M520" s="8">
        <f>TBL_Employees[[#This Row],[Annual Salary]]*TBL_Employees[[#This Row],[Bonus %]]</f>
        <v>82375.92</v>
      </c>
      <c r="N520" s="8">
        <f>SUM(TBL_Employees[[#This Row],[Annual Salary]],TBL_Employees[[#This Row],[TOTAL BONUS]])</f>
        <v>311197.92</v>
      </c>
      <c r="O520" s="8">
        <f>TBL_Employees[[#This Row],[Annual Salary]]*TBL_Employees[[#This Row],[Bonus %]]/100+TBL_Employees[[#This Row],[Annual Salary]]</f>
        <v>229645.7592</v>
      </c>
      <c r="P520" t="s">
        <v>19</v>
      </c>
      <c r="Q520" t="s">
        <v>45</v>
      </c>
      <c r="R520" s="6" t="s">
        <v>21</v>
      </c>
    </row>
    <row r="521" spans="1:18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 s="17"/>
      <c r="I521">
        <v>28</v>
      </c>
      <c r="J521" s="6">
        <v>44395</v>
      </c>
      <c r="K521" s="8">
        <v>43391</v>
      </c>
      <c r="L521" s="1">
        <v>0</v>
      </c>
      <c r="M521" s="8">
        <f>TBL_Employees[[#This Row],[Annual Salary]]*TBL_Employees[[#This Row],[Bonus %]]</f>
        <v>0</v>
      </c>
      <c r="N521" s="8">
        <f>SUM(TBL_Employees[[#This Row],[Annual Salary]],TBL_Employees[[#This Row],[TOTAL BONUS]])</f>
        <v>43391</v>
      </c>
      <c r="O521" s="8">
        <f>TBL_Employees[[#This Row],[Annual Salary]]*TBL_Employees[[#This Row],[Bonus %]]/100+TBL_Employees[[#This Row],[Annual Salary]]</f>
        <v>43391</v>
      </c>
      <c r="P521" t="s">
        <v>19</v>
      </c>
      <c r="Q521" t="s">
        <v>29</v>
      </c>
      <c r="R521" s="6" t="s">
        <v>21</v>
      </c>
    </row>
    <row r="522" spans="1:18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 s="17"/>
      <c r="I522">
        <v>29</v>
      </c>
      <c r="J522" s="6">
        <v>44515</v>
      </c>
      <c r="K522" s="8">
        <v>91782</v>
      </c>
      <c r="L522" s="1">
        <v>0</v>
      </c>
      <c r="M522" s="8">
        <f>TBL_Employees[[#This Row],[Annual Salary]]*TBL_Employees[[#This Row],[Bonus %]]</f>
        <v>0</v>
      </c>
      <c r="N522" s="8">
        <f>SUM(TBL_Employees[[#This Row],[Annual Salary]],TBL_Employees[[#This Row],[TOTAL BONUS]])</f>
        <v>91782</v>
      </c>
      <c r="O522" s="8">
        <f>TBL_Employees[[#This Row],[Annual Salary]]*TBL_Employees[[#This Row],[Bonus %]]/100+TBL_Employees[[#This Row],[Annual Salary]]</f>
        <v>91782</v>
      </c>
      <c r="P522" t="s">
        <v>33</v>
      </c>
      <c r="Q522" t="s">
        <v>80</v>
      </c>
      <c r="R522" s="6" t="s">
        <v>21</v>
      </c>
    </row>
    <row r="523" spans="1:18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 s="17"/>
      <c r="I523">
        <v>45</v>
      </c>
      <c r="J523" s="6">
        <v>42428</v>
      </c>
      <c r="K523" s="8">
        <v>211637</v>
      </c>
      <c r="L523" s="1">
        <v>0.31</v>
      </c>
      <c r="M523" s="8">
        <f>TBL_Employees[[#This Row],[Annual Salary]]*TBL_Employees[[#This Row],[Bonus %]]</f>
        <v>65607.47</v>
      </c>
      <c r="N523" s="8">
        <f>SUM(TBL_Employees[[#This Row],[Annual Salary]],TBL_Employees[[#This Row],[TOTAL BONUS]])</f>
        <v>277244.46999999997</v>
      </c>
      <c r="O523" s="8">
        <f>TBL_Employees[[#This Row],[Annual Salary]]*TBL_Employees[[#This Row],[Bonus %]]/100+TBL_Employees[[#This Row],[Annual Salary]]</f>
        <v>212293.0747</v>
      </c>
      <c r="P523" t="s">
        <v>19</v>
      </c>
      <c r="Q523" t="s">
        <v>20</v>
      </c>
      <c r="R523" s="6" t="s">
        <v>21</v>
      </c>
    </row>
    <row r="524" spans="1:18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 s="17"/>
      <c r="I524">
        <v>28</v>
      </c>
      <c r="J524" s="6">
        <v>44051</v>
      </c>
      <c r="K524" s="8">
        <v>73255</v>
      </c>
      <c r="L524" s="1">
        <v>0.09</v>
      </c>
      <c r="M524" s="8">
        <f>TBL_Employees[[#This Row],[Annual Salary]]*TBL_Employees[[#This Row],[Bonus %]]</f>
        <v>6592.95</v>
      </c>
      <c r="N524" s="8">
        <f>SUM(TBL_Employees[[#This Row],[Annual Salary]],TBL_Employees[[#This Row],[TOTAL BONUS]])</f>
        <v>79847.95</v>
      </c>
      <c r="O524" s="8">
        <f>TBL_Employees[[#This Row],[Annual Salary]]*TBL_Employees[[#This Row],[Bonus %]]/100+TBL_Employees[[#This Row],[Annual Salary]]</f>
        <v>73320.929499999998</v>
      </c>
      <c r="P524" t="s">
        <v>19</v>
      </c>
      <c r="Q524" t="s">
        <v>39</v>
      </c>
      <c r="R524" s="6" t="s">
        <v>21</v>
      </c>
    </row>
    <row r="525" spans="1:18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 s="17"/>
      <c r="I525">
        <v>28</v>
      </c>
      <c r="J525" s="6">
        <v>44204</v>
      </c>
      <c r="K525" s="8">
        <v>108826</v>
      </c>
      <c r="L525" s="1">
        <v>0.1</v>
      </c>
      <c r="M525" s="8">
        <f>TBL_Employees[[#This Row],[Annual Salary]]*TBL_Employees[[#This Row],[Bonus %]]</f>
        <v>10882.6</v>
      </c>
      <c r="N525" s="8">
        <f>SUM(TBL_Employees[[#This Row],[Annual Salary]],TBL_Employees[[#This Row],[TOTAL BONUS]])</f>
        <v>119708.6</v>
      </c>
      <c r="O525" s="8">
        <f>TBL_Employees[[#This Row],[Annual Salary]]*TBL_Employees[[#This Row],[Bonus %]]/100+TBL_Employees[[#This Row],[Annual Salary]]</f>
        <v>108934.826</v>
      </c>
      <c r="P525" t="s">
        <v>19</v>
      </c>
      <c r="Q525" t="s">
        <v>45</v>
      </c>
      <c r="R525" s="6" t="s">
        <v>21</v>
      </c>
    </row>
    <row r="526" spans="1:18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 s="17"/>
      <c r="I526">
        <v>34</v>
      </c>
      <c r="J526" s="6">
        <v>42514</v>
      </c>
      <c r="K526" s="8">
        <v>94352</v>
      </c>
      <c r="L526" s="1">
        <v>0</v>
      </c>
      <c r="M526" s="8">
        <f>TBL_Employees[[#This Row],[Annual Salary]]*TBL_Employees[[#This Row],[Bonus %]]</f>
        <v>0</v>
      </c>
      <c r="N526" s="8">
        <f>SUM(TBL_Employees[[#This Row],[Annual Salary]],TBL_Employees[[#This Row],[TOTAL BONUS]])</f>
        <v>94352</v>
      </c>
      <c r="O526" s="8">
        <f>TBL_Employees[[#This Row],[Annual Salary]]*TBL_Employees[[#This Row],[Bonus %]]/100+TBL_Employees[[#This Row],[Annual Salary]]</f>
        <v>94352</v>
      </c>
      <c r="P526" t="s">
        <v>19</v>
      </c>
      <c r="Q526" t="s">
        <v>45</v>
      </c>
      <c r="R526" s="6" t="s">
        <v>21</v>
      </c>
    </row>
    <row r="527" spans="1:18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 s="17"/>
      <c r="I527">
        <v>55</v>
      </c>
      <c r="J527" s="6">
        <v>34576</v>
      </c>
      <c r="K527" s="8">
        <v>73955</v>
      </c>
      <c r="L527" s="1">
        <v>0</v>
      </c>
      <c r="M527" s="8">
        <f>TBL_Employees[[#This Row],[Annual Salary]]*TBL_Employees[[#This Row],[Bonus %]]</f>
        <v>0</v>
      </c>
      <c r="N527" s="8">
        <f>SUM(TBL_Employees[[#This Row],[Annual Salary]],TBL_Employees[[#This Row],[TOTAL BONUS]])</f>
        <v>73955</v>
      </c>
      <c r="O527" s="8">
        <f>TBL_Employees[[#This Row],[Annual Salary]]*TBL_Employees[[#This Row],[Bonus %]]/100+TBL_Employees[[#This Row],[Annual Salary]]</f>
        <v>73955</v>
      </c>
      <c r="P527" t="s">
        <v>19</v>
      </c>
      <c r="Q527" t="s">
        <v>39</v>
      </c>
      <c r="R527" s="6" t="s">
        <v>21</v>
      </c>
    </row>
    <row r="528" spans="1:18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 s="17"/>
      <c r="I528">
        <v>34</v>
      </c>
      <c r="J528" s="6">
        <v>41499</v>
      </c>
      <c r="K528" s="8">
        <v>113909</v>
      </c>
      <c r="L528" s="1">
        <v>0.06</v>
      </c>
      <c r="M528" s="8">
        <f>TBL_Employees[[#This Row],[Annual Salary]]*TBL_Employees[[#This Row],[Bonus %]]</f>
        <v>6834.54</v>
      </c>
      <c r="N528" s="8">
        <f>SUM(TBL_Employees[[#This Row],[Annual Salary]],TBL_Employees[[#This Row],[TOTAL BONUS]])</f>
        <v>120743.54</v>
      </c>
      <c r="O528" s="8">
        <f>TBL_Employees[[#This Row],[Annual Salary]]*TBL_Employees[[#This Row],[Bonus %]]/100+TBL_Employees[[#This Row],[Annual Salary]]</f>
        <v>113977.34540000001</v>
      </c>
      <c r="P528" t="s">
        <v>52</v>
      </c>
      <c r="Q528" t="s">
        <v>66</v>
      </c>
      <c r="R528" s="6" t="s">
        <v>21</v>
      </c>
    </row>
    <row r="529" spans="1:18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 s="17"/>
      <c r="I529">
        <v>27</v>
      </c>
      <c r="J529" s="6">
        <v>44189</v>
      </c>
      <c r="K529" s="8">
        <v>92321</v>
      </c>
      <c r="L529" s="1">
        <v>0</v>
      </c>
      <c r="M529" s="8">
        <f>TBL_Employees[[#This Row],[Annual Salary]]*TBL_Employees[[#This Row],[Bonus %]]</f>
        <v>0</v>
      </c>
      <c r="N529" s="8">
        <f>SUM(TBL_Employees[[#This Row],[Annual Salary]],TBL_Employees[[#This Row],[TOTAL BONUS]])</f>
        <v>92321</v>
      </c>
      <c r="O529" s="8">
        <f>TBL_Employees[[#This Row],[Annual Salary]]*TBL_Employees[[#This Row],[Bonus %]]/100+TBL_Employees[[#This Row],[Annual Salary]]</f>
        <v>92321</v>
      </c>
      <c r="P529" t="s">
        <v>19</v>
      </c>
      <c r="Q529" t="s">
        <v>20</v>
      </c>
      <c r="R529" s="6" t="s">
        <v>21</v>
      </c>
    </row>
    <row r="530" spans="1:18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 s="17"/>
      <c r="I530">
        <v>52</v>
      </c>
      <c r="J530" s="6">
        <v>41417</v>
      </c>
      <c r="K530" s="8">
        <v>99557</v>
      </c>
      <c r="L530" s="1">
        <v>0.09</v>
      </c>
      <c r="M530" s="8">
        <f>TBL_Employees[[#This Row],[Annual Salary]]*TBL_Employees[[#This Row],[Bonus %]]</f>
        <v>8960.1299999999992</v>
      </c>
      <c r="N530" s="8">
        <f>SUM(TBL_Employees[[#This Row],[Annual Salary]],TBL_Employees[[#This Row],[TOTAL BONUS]])</f>
        <v>108517.13</v>
      </c>
      <c r="O530" s="8">
        <f>TBL_Employees[[#This Row],[Annual Salary]]*TBL_Employees[[#This Row],[Bonus %]]/100+TBL_Employees[[#This Row],[Annual Salary]]</f>
        <v>99646.601299999995</v>
      </c>
      <c r="P530" t="s">
        <v>19</v>
      </c>
      <c r="Q530" t="s">
        <v>63</v>
      </c>
      <c r="R530" s="6" t="s">
        <v>21</v>
      </c>
    </row>
    <row r="531" spans="1:18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 s="17"/>
      <c r="I531">
        <v>28</v>
      </c>
      <c r="J531" s="6">
        <v>43418</v>
      </c>
      <c r="K531" s="8">
        <v>115854</v>
      </c>
      <c r="L531" s="1">
        <v>0</v>
      </c>
      <c r="M531" s="8">
        <f>TBL_Employees[[#This Row],[Annual Salary]]*TBL_Employees[[#This Row],[Bonus %]]</f>
        <v>0</v>
      </c>
      <c r="N531" s="8">
        <f>SUM(TBL_Employees[[#This Row],[Annual Salary]],TBL_Employees[[#This Row],[TOTAL BONUS]])</f>
        <v>115854</v>
      </c>
      <c r="O531" s="8">
        <f>TBL_Employees[[#This Row],[Annual Salary]]*TBL_Employees[[#This Row],[Bonus %]]/100+TBL_Employees[[#This Row],[Annual Salary]]</f>
        <v>115854</v>
      </c>
      <c r="P531" t="s">
        <v>19</v>
      </c>
      <c r="Q531" t="s">
        <v>39</v>
      </c>
      <c r="R531" s="6" t="s">
        <v>21</v>
      </c>
    </row>
    <row r="532" spans="1:18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 s="17"/>
      <c r="I532">
        <v>44</v>
      </c>
      <c r="J532" s="6">
        <v>40603</v>
      </c>
      <c r="K532" s="8">
        <v>82462</v>
      </c>
      <c r="L532" s="1">
        <v>0</v>
      </c>
      <c r="M532" s="8">
        <f>TBL_Employees[[#This Row],[Annual Salary]]*TBL_Employees[[#This Row],[Bonus %]]</f>
        <v>0</v>
      </c>
      <c r="N532" s="8">
        <f>SUM(TBL_Employees[[#This Row],[Annual Salary]],TBL_Employees[[#This Row],[TOTAL BONUS]])</f>
        <v>82462</v>
      </c>
      <c r="O532" s="8">
        <f>TBL_Employees[[#This Row],[Annual Salary]]*TBL_Employees[[#This Row],[Bonus %]]/100+TBL_Employees[[#This Row],[Annual Salary]]</f>
        <v>82462</v>
      </c>
      <c r="P532" t="s">
        <v>19</v>
      </c>
      <c r="Q532" t="s">
        <v>25</v>
      </c>
      <c r="R532" s="6" t="s">
        <v>21</v>
      </c>
    </row>
    <row r="533" spans="1:18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 s="17"/>
      <c r="I533">
        <v>53</v>
      </c>
      <c r="J533" s="6">
        <v>40856</v>
      </c>
      <c r="K533" s="8">
        <v>198473</v>
      </c>
      <c r="L533" s="1">
        <v>0.32</v>
      </c>
      <c r="M533" s="8">
        <f>TBL_Employees[[#This Row],[Annual Salary]]*TBL_Employees[[#This Row],[Bonus %]]</f>
        <v>63511.360000000001</v>
      </c>
      <c r="N533" s="8">
        <f>SUM(TBL_Employees[[#This Row],[Annual Salary]],TBL_Employees[[#This Row],[TOTAL BONUS]])</f>
        <v>261984.36</v>
      </c>
      <c r="O533" s="8">
        <f>TBL_Employees[[#This Row],[Annual Salary]]*TBL_Employees[[#This Row],[Bonus %]]/100+TBL_Employees[[#This Row],[Annual Salary]]</f>
        <v>199108.11360000001</v>
      </c>
      <c r="P533" t="s">
        <v>19</v>
      </c>
      <c r="Q533" t="s">
        <v>45</v>
      </c>
      <c r="R533" s="6" t="s">
        <v>21</v>
      </c>
    </row>
    <row r="534" spans="1:18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 s="17"/>
      <c r="I534">
        <v>43</v>
      </c>
      <c r="J534" s="6">
        <v>39005</v>
      </c>
      <c r="K534" s="8">
        <v>153492</v>
      </c>
      <c r="L534" s="1">
        <v>0.11</v>
      </c>
      <c r="M534" s="8">
        <f>TBL_Employees[[#This Row],[Annual Salary]]*TBL_Employees[[#This Row],[Bonus %]]</f>
        <v>16884.12</v>
      </c>
      <c r="N534" s="8">
        <f>SUM(TBL_Employees[[#This Row],[Annual Salary]],TBL_Employees[[#This Row],[TOTAL BONUS]])</f>
        <v>170376.12</v>
      </c>
      <c r="O534" s="8">
        <f>TBL_Employees[[#This Row],[Annual Salary]]*TBL_Employees[[#This Row],[Bonus %]]/100+TBL_Employees[[#This Row],[Annual Salary]]</f>
        <v>153660.8412</v>
      </c>
      <c r="P534" t="s">
        <v>19</v>
      </c>
      <c r="Q534" t="s">
        <v>20</v>
      </c>
      <c r="R534" s="6" t="s">
        <v>21</v>
      </c>
    </row>
    <row r="535" spans="1:18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 s="17"/>
      <c r="I535">
        <v>28</v>
      </c>
      <c r="J535" s="6">
        <v>43121</v>
      </c>
      <c r="K535" s="8">
        <v>208210</v>
      </c>
      <c r="L535" s="1">
        <v>0.3</v>
      </c>
      <c r="M535" s="8">
        <f>TBL_Employees[[#This Row],[Annual Salary]]*TBL_Employees[[#This Row],[Bonus %]]</f>
        <v>62463</v>
      </c>
      <c r="N535" s="8">
        <f>SUM(TBL_Employees[[#This Row],[Annual Salary]],TBL_Employees[[#This Row],[TOTAL BONUS]])</f>
        <v>270673</v>
      </c>
      <c r="O535" s="8">
        <f>TBL_Employees[[#This Row],[Annual Salary]]*TBL_Employees[[#This Row],[Bonus %]]/100+TBL_Employees[[#This Row],[Annual Salary]]</f>
        <v>208834.63</v>
      </c>
      <c r="P535" t="s">
        <v>19</v>
      </c>
      <c r="Q535" t="s">
        <v>63</v>
      </c>
      <c r="R535" s="6" t="s">
        <v>21</v>
      </c>
    </row>
    <row r="536" spans="1:18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 s="17"/>
      <c r="I536">
        <v>33</v>
      </c>
      <c r="J536" s="6">
        <v>42325</v>
      </c>
      <c r="K536" s="8">
        <v>91632</v>
      </c>
      <c r="L536" s="1">
        <v>0</v>
      </c>
      <c r="M536" s="8">
        <f>TBL_Employees[[#This Row],[Annual Salary]]*TBL_Employees[[#This Row],[Bonus %]]</f>
        <v>0</v>
      </c>
      <c r="N536" s="8">
        <f>SUM(TBL_Employees[[#This Row],[Annual Salary]],TBL_Employees[[#This Row],[TOTAL BONUS]])</f>
        <v>91632</v>
      </c>
      <c r="O536" s="8">
        <f>TBL_Employees[[#This Row],[Annual Salary]]*TBL_Employees[[#This Row],[Bonus %]]/100+TBL_Employees[[#This Row],[Annual Salary]]</f>
        <v>91632</v>
      </c>
      <c r="P536" t="s">
        <v>19</v>
      </c>
      <c r="Q536" t="s">
        <v>39</v>
      </c>
      <c r="R536" s="6" t="s">
        <v>21</v>
      </c>
    </row>
    <row r="537" spans="1:18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 s="17"/>
      <c r="I537">
        <v>31</v>
      </c>
      <c r="J537" s="6">
        <v>43002</v>
      </c>
      <c r="K537" s="8">
        <v>71755</v>
      </c>
      <c r="L537" s="1">
        <v>0</v>
      </c>
      <c r="M537" s="8">
        <f>TBL_Employees[[#This Row],[Annual Salary]]*TBL_Employees[[#This Row],[Bonus %]]</f>
        <v>0</v>
      </c>
      <c r="N537" s="8">
        <f>SUM(TBL_Employees[[#This Row],[Annual Salary]],TBL_Employees[[#This Row],[TOTAL BONUS]])</f>
        <v>71755</v>
      </c>
      <c r="O537" s="8">
        <f>TBL_Employees[[#This Row],[Annual Salary]]*TBL_Employees[[#This Row],[Bonus %]]/100+TBL_Employees[[#This Row],[Annual Salary]]</f>
        <v>71755</v>
      </c>
      <c r="P537" t="s">
        <v>33</v>
      </c>
      <c r="Q537" t="s">
        <v>80</v>
      </c>
      <c r="R537" s="6" t="s">
        <v>21</v>
      </c>
    </row>
    <row r="538" spans="1:18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 s="17"/>
      <c r="I538">
        <v>52</v>
      </c>
      <c r="J538" s="6">
        <v>44519</v>
      </c>
      <c r="K538" s="8">
        <v>111006</v>
      </c>
      <c r="L538" s="1">
        <v>0.08</v>
      </c>
      <c r="M538" s="8">
        <f>TBL_Employees[[#This Row],[Annual Salary]]*TBL_Employees[[#This Row],[Bonus %]]</f>
        <v>8880.48</v>
      </c>
      <c r="N538" s="8">
        <f>SUM(TBL_Employees[[#This Row],[Annual Salary]],TBL_Employees[[#This Row],[TOTAL BONUS]])</f>
        <v>119886.48</v>
      </c>
      <c r="O538" s="8">
        <f>TBL_Employees[[#This Row],[Annual Salary]]*TBL_Employees[[#This Row],[Bonus %]]/100+TBL_Employees[[#This Row],[Annual Salary]]</f>
        <v>111094.8048</v>
      </c>
      <c r="P538" t="s">
        <v>33</v>
      </c>
      <c r="Q538" t="s">
        <v>80</v>
      </c>
      <c r="R538" s="6" t="s">
        <v>21</v>
      </c>
    </row>
    <row r="539" spans="1:18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 s="17"/>
      <c r="I539">
        <v>55</v>
      </c>
      <c r="J539" s="6">
        <v>34692</v>
      </c>
      <c r="K539" s="8">
        <v>99774</v>
      </c>
      <c r="L539" s="1">
        <v>0</v>
      </c>
      <c r="M539" s="8">
        <f>TBL_Employees[[#This Row],[Annual Salary]]*TBL_Employees[[#This Row],[Bonus %]]</f>
        <v>0</v>
      </c>
      <c r="N539" s="8">
        <f>SUM(TBL_Employees[[#This Row],[Annual Salary]],TBL_Employees[[#This Row],[TOTAL BONUS]])</f>
        <v>99774</v>
      </c>
      <c r="O539" s="8">
        <f>TBL_Employees[[#This Row],[Annual Salary]]*TBL_Employees[[#This Row],[Bonus %]]/100+TBL_Employees[[#This Row],[Annual Salary]]</f>
        <v>99774</v>
      </c>
      <c r="P539" t="s">
        <v>19</v>
      </c>
      <c r="Q539" t="s">
        <v>25</v>
      </c>
      <c r="R539" s="6" t="s">
        <v>21</v>
      </c>
    </row>
    <row r="540" spans="1:18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 s="17"/>
      <c r="I540">
        <v>55</v>
      </c>
      <c r="J540" s="6">
        <v>39154</v>
      </c>
      <c r="K540" s="8">
        <v>184648</v>
      </c>
      <c r="L540" s="1">
        <v>0.24</v>
      </c>
      <c r="M540" s="8">
        <f>TBL_Employees[[#This Row],[Annual Salary]]*TBL_Employees[[#This Row],[Bonus %]]</f>
        <v>44315.519999999997</v>
      </c>
      <c r="N540" s="8">
        <f>SUM(TBL_Employees[[#This Row],[Annual Salary]],TBL_Employees[[#This Row],[TOTAL BONUS]])</f>
        <v>228963.52</v>
      </c>
      <c r="O540" s="8">
        <f>TBL_Employees[[#This Row],[Annual Salary]]*TBL_Employees[[#This Row],[Bonus %]]/100+TBL_Employees[[#This Row],[Annual Salary]]</f>
        <v>185091.15520000001</v>
      </c>
      <c r="P540" t="s">
        <v>33</v>
      </c>
      <c r="Q540" t="s">
        <v>74</v>
      </c>
      <c r="R540" s="6" t="s">
        <v>21</v>
      </c>
    </row>
    <row r="541" spans="1:18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 s="17"/>
      <c r="I541">
        <v>51</v>
      </c>
      <c r="J541" s="6">
        <v>37091</v>
      </c>
      <c r="K541" s="8">
        <v>247874</v>
      </c>
      <c r="L541" s="1">
        <v>0.33</v>
      </c>
      <c r="M541" s="8">
        <f>TBL_Employees[[#This Row],[Annual Salary]]*TBL_Employees[[#This Row],[Bonus %]]</f>
        <v>81798.42</v>
      </c>
      <c r="N541" s="8">
        <f>SUM(TBL_Employees[[#This Row],[Annual Salary]],TBL_Employees[[#This Row],[TOTAL BONUS]])</f>
        <v>329672.42</v>
      </c>
      <c r="O541" s="8">
        <f>TBL_Employees[[#This Row],[Annual Salary]]*TBL_Employees[[#This Row],[Bonus %]]/100+TBL_Employees[[#This Row],[Annual Salary]]</f>
        <v>248691.98420000001</v>
      </c>
      <c r="P541" t="s">
        <v>52</v>
      </c>
      <c r="Q541" t="s">
        <v>81</v>
      </c>
      <c r="R541" s="6" t="s">
        <v>21</v>
      </c>
    </row>
    <row r="542" spans="1:18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 s="17"/>
      <c r="I542">
        <v>60</v>
      </c>
      <c r="J542" s="6">
        <v>39944</v>
      </c>
      <c r="K542" s="8">
        <v>62239</v>
      </c>
      <c r="L542" s="1">
        <v>0</v>
      </c>
      <c r="M542" s="8">
        <f>TBL_Employees[[#This Row],[Annual Salary]]*TBL_Employees[[#This Row],[Bonus %]]</f>
        <v>0</v>
      </c>
      <c r="N542" s="8">
        <f>SUM(TBL_Employees[[#This Row],[Annual Salary]],TBL_Employees[[#This Row],[TOTAL BONUS]])</f>
        <v>62239</v>
      </c>
      <c r="O542" s="8">
        <f>TBL_Employees[[#This Row],[Annual Salary]]*TBL_Employees[[#This Row],[Bonus %]]/100+TBL_Employees[[#This Row],[Annual Salary]]</f>
        <v>62239</v>
      </c>
      <c r="P542" t="s">
        <v>33</v>
      </c>
      <c r="Q542" t="s">
        <v>60</v>
      </c>
      <c r="R542" s="6" t="s">
        <v>21</v>
      </c>
    </row>
    <row r="543" spans="1:18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 s="17"/>
      <c r="I543">
        <v>31</v>
      </c>
      <c r="J543" s="6">
        <v>41919</v>
      </c>
      <c r="K543" s="8">
        <v>114911</v>
      </c>
      <c r="L543" s="1">
        <v>7.0000000000000007E-2</v>
      </c>
      <c r="M543" s="8">
        <f>TBL_Employees[[#This Row],[Annual Salary]]*TBL_Employees[[#This Row],[Bonus %]]</f>
        <v>8043.77</v>
      </c>
      <c r="N543" s="8">
        <f>SUM(TBL_Employees[[#This Row],[Annual Salary]],TBL_Employees[[#This Row],[TOTAL BONUS]])</f>
        <v>122954.77</v>
      </c>
      <c r="O543" s="8">
        <f>TBL_Employees[[#This Row],[Annual Salary]]*TBL_Employees[[#This Row],[Bonus %]]/100+TBL_Employees[[#This Row],[Annual Salary]]</f>
        <v>114991.43769999999</v>
      </c>
      <c r="P543" t="s">
        <v>19</v>
      </c>
      <c r="Q543" t="s">
        <v>20</v>
      </c>
      <c r="R543" s="6" t="s">
        <v>21</v>
      </c>
    </row>
    <row r="544" spans="1:18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 s="17"/>
      <c r="I544">
        <v>45</v>
      </c>
      <c r="J544" s="6">
        <v>43217</v>
      </c>
      <c r="K544" s="8">
        <v>115490</v>
      </c>
      <c r="L544" s="1">
        <v>0.12</v>
      </c>
      <c r="M544" s="8">
        <f>TBL_Employees[[#This Row],[Annual Salary]]*TBL_Employees[[#This Row],[Bonus %]]</f>
        <v>13858.8</v>
      </c>
      <c r="N544" s="8">
        <f>SUM(TBL_Employees[[#This Row],[Annual Salary]],TBL_Employees[[#This Row],[TOTAL BONUS]])</f>
        <v>129348.8</v>
      </c>
      <c r="O544" s="8">
        <f>TBL_Employees[[#This Row],[Annual Salary]]*TBL_Employees[[#This Row],[Bonus %]]/100+TBL_Employees[[#This Row],[Annual Salary]]</f>
        <v>115628.588</v>
      </c>
      <c r="P544" t="s">
        <v>19</v>
      </c>
      <c r="Q544" t="s">
        <v>20</v>
      </c>
      <c r="R544" s="6" t="s">
        <v>21</v>
      </c>
    </row>
    <row r="545" spans="1:18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 s="17"/>
      <c r="I545">
        <v>34</v>
      </c>
      <c r="J545" s="6">
        <v>40952</v>
      </c>
      <c r="K545" s="8">
        <v>118708</v>
      </c>
      <c r="L545" s="1">
        <v>7.0000000000000007E-2</v>
      </c>
      <c r="M545" s="8">
        <f>TBL_Employees[[#This Row],[Annual Salary]]*TBL_Employees[[#This Row],[Bonus %]]</f>
        <v>8309.5600000000013</v>
      </c>
      <c r="N545" s="8">
        <f>SUM(TBL_Employees[[#This Row],[Annual Salary]],TBL_Employees[[#This Row],[TOTAL BONUS]])</f>
        <v>127017.56</v>
      </c>
      <c r="O545" s="8">
        <f>TBL_Employees[[#This Row],[Annual Salary]]*TBL_Employees[[#This Row],[Bonus %]]/100+TBL_Employees[[#This Row],[Annual Salary]]</f>
        <v>118791.0956</v>
      </c>
      <c r="P545" t="s">
        <v>33</v>
      </c>
      <c r="Q545" t="s">
        <v>74</v>
      </c>
      <c r="R545" s="6" t="s">
        <v>21</v>
      </c>
    </row>
    <row r="546" spans="1:18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 s="17"/>
      <c r="I546">
        <v>29</v>
      </c>
      <c r="J546" s="6">
        <v>42914</v>
      </c>
      <c r="K546" s="8">
        <v>197649</v>
      </c>
      <c r="L546" s="1">
        <v>0.2</v>
      </c>
      <c r="M546" s="8">
        <f>TBL_Employees[[#This Row],[Annual Salary]]*TBL_Employees[[#This Row],[Bonus %]]</f>
        <v>39529.800000000003</v>
      </c>
      <c r="N546" s="8">
        <f>SUM(TBL_Employees[[#This Row],[Annual Salary]],TBL_Employees[[#This Row],[TOTAL BONUS]])</f>
        <v>237178.8</v>
      </c>
      <c r="O546" s="8">
        <f>TBL_Employees[[#This Row],[Annual Salary]]*TBL_Employees[[#This Row],[Bonus %]]/100+TBL_Employees[[#This Row],[Annual Salary]]</f>
        <v>198044.29800000001</v>
      </c>
      <c r="P546" t="s">
        <v>19</v>
      </c>
      <c r="Q546" t="s">
        <v>29</v>
      </c>
      <c r="R546" s="6" t="s">
        <v>21</v>
      </c>
    </row>
    <row r="547" spans="1:18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 s="17"/>
      <c r="I547">
        <v>45</v>
      </c>
      <c r="J547" s="6">
        <v>43999</v>
      </c>
      <c r="K547" s="8">
        <v>89841</v>
      </c>
      <c r="L547" s="1">
        <v>0</v>
      </c>
      <c r="M547" s="8">
        <f>TBL_Employees[[#This Row],[Annual Salary]]*TBL_Employees[[#This Row],[Bonus %]]</f>
        <v>0</v>
      </c>
      <c r="N547" s="8">
        <f>SUM(TBL_Employees[[#This Row],[Annual Salary]],TBL_Employees[[#This Row],[TOTAL BONUS]])</f>
        <v>89841</v>
      </c>
      <c r="O547" s="8">
        <f>TBL_Employees[[#This Row],[Annual Salary]]*TBL_Employees[[#This Row],[Bonus %]]/100+TBL_Employees[[#This Row],[Annual Salary]]</f>
        <v>89841</v>
      </c>
      <c r="P547" t="s">
        <v>33</v>
      </c>
      <c r="Q547" t="s">
        <v>60</v>
      </c>
      <c r="R547" s="6" t="s">
        <v>21</v>
      </c>
    </row>
    <row r="548" spans="1:18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 s="17"/>
      <c r="I548">
        <v>52</v>
      </c>
      <c r="J548" s="6">
        <v>43819</v>
      </c>
      <c r="K548" s="8">
        <v>61026</v>
      </c>
      <c r="L548" s="1">
        <v>0</v>
      </c>
      <c r="M548" s="8">
        <f>TBL_Employees[[#This Row],[Annual Salary]]*TBL_Employees[[#This Row],[Bonus %]]</f>
        <v>0</v>
      </c>
      <c r="N548" s="8">
        <f>SUM(TBL_Employees[[#This Row],[Annual Salary]],TBL_Employees[[#This Row],[TOTAL BONUS]])</f>
        <v>61026</v>
      </c>
      <c r="O548" s="8">
        <f>TBL_Employees[[#This Row],[Annual Salary]]*TBL_Employees[[#This Row],[Bonus %]]/100+TBL_Employees[[#This Row],[Annual Salary]]</f>
        <v>61026</v>
      </c>
      <c r="P548" t="s">
        <v>19</v>
      </c>
      <c r="Q548" t="s">
        <v>39</v>
      </c>
      <c r="R548" s="6" t="s">
        <v>21</v>
      </c>
    </row>
    <row r="549" spans="1:18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 s="17"/>
      <c r="I549">
        <v>48</v>
      </c>
      <c r="J549" s="6">
        <v>41907</v>
      </c>
      <c r="K549" s="8">
        <v>96693</v>
      </c>
      <c r="L549" s="1">
        <v>0</v>
      </c>
      <c r="M549" s="8">
        <f>TBL_Employees[[#This Row],[Annual Salary]]*TBL_Employees[[#This Row],[Bonus %]]</f>
        <v>0</v>
      </c>
      <c r="N549" s="8">
        <f>SUM(TBL_Employees[[#This Row],[Annual Salary]],TBL_Employees[[#This Row],[TOTAL BONUS]])</f>
        <v>96693</v>
      </c>
      <c r="O549" s="8">
        <f>TBL_Employees[[#This Row],[Annual Salary]]*TBL_Employees[[#This Row],[Bonus %]]/100+TBL_Employees[[#This Row],[Annual Salary]]</f>
        <v>96693</v>
      </c>
      <c r="P549" t="s">
        <v>19</v>
      </c>
      <c r="Q549" t="s">
        <v>20</v>
      </c>
      <c r="R549" s="6" t="s">
        <v>21</v>
      </c>
    </row>
    <row r="550" spans="1:18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 s="17"/>
      <c r="I550">
        <v>48</v>
      </c>
      <c r="J550" s="6">
        <v>39991</v>
      </c>
      <c r="K550" s="8">
        <v>82907</v>
      </c>
      <c r="L550" s="1">
        <v>0</v>
      </c>
      <c r="M550" s="8">
        <f>TBL_Employees[[#This Row],[Annual Salary]]*TBL_Employees[[#This Row],[Bonus %]]</f>
        <v>0</v>
      </c>
      <c r="N550" s="8">
        <f>SUM(TBL_Employees[[#This Row],[Annual Salary]],TBL_Employees[[#This Row],[TOTAL BONUS]])</f>
        <v>82907</v>
      </c>
      <c r="O550" s="8">
        <f>TBL_Employees[[#This Row],[Annual Salary]]*TBL_Employees[[#This Row],[Bonus %]]/100+TBL_Employees[[#This Row],[Annual Salary]]</f>
        <v>82907</v>
      </c>
      <c r="P550" t="s">
        <v>19</v>
      </c>
      <c r="Q550" t="s">
        <v>63</v>
      </c>
      <c r="R550" s="6" t="s">
        <v>21</v>
      </c>
    </row>
    <row r="551" spans="1:18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 s="17"/>
      <c r="I551">
        <v>41</v>
      </c>
      <c r="J551" s="6">
        <v>41916</v>
      </c>
      <c r="K551" s="8">
        <v>257194</v>
      </c>
      <c r="L551" s="1">
        <v>0.35</v>
      </c>
      <c r="M551" s="8">
        <f>TBL_Employees[[#This Row],[Annual Salary]]*TBL_Employees[[#This Row],[Bonus %]]</f>
        <v>90017.9</v>
      </c>
      <c r="N551" s="8">
        <f>SUM(TBL_Employees[[#This Row],[Annual Salary]],TBL_Employees[[#This Row],[TOTAL BONUS]])</f>
        <v>347211.9</v>
      </c>
      <c r="O551" s="8">
        <f>TBL_Employees[[#This Row],[Annual Salary]]*TBL_Employees[[#This Row],[Bonus %]]/100+TBL_Employees[[#This Row],[Annual Salary]]</f>
        <v>258094.179</v>
      </c>
      <c r="P551" t="s">
        <v>33</v>
      </c>
      <c r="Q551" t="s">
        <v>80</v>
      </c>
      <c r="R551" s="6" t="s">
        <v>21</v>
      </c>
    </row>
    <row r="552" spans="1:18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 s="17"/>
      <c r="I552">
        <v>41</v>
      </c>
      <c r="J552" s="6">
        <v>40929</v>
      </c>
      <c r="K552" s="8">
        <v>94658</v>
      </c>
      <c r="L552" s="1">
        <v>0</v>
      </c>
      <c r="M552" s="8">
        <f>TBL_Employees[[#This Row],[Annual Salary]]*TBL_Employees[[#This Row],[Bonus %]]</f>
        <v>0</v>
      </c>
      <c r="N552" s="8">
        <f>SUM(TBL_Employees[[#This Row],[Annual Salary]],TBL_Employees[[#This Row],[TOTAL BONUS]])</f>
        <v>94658</v>
      </c>
      <c r="O552" s="8">
        <f>TBL_Employees[[#This Row],[Annual Salary]]*TBL_Employees[[#This Row],[Bonus %]]/100+TBL_Employees[[#This Row],[Annual Salary]]</f>
        <v>94658</v>
      </c>
      <c r="P552" t="s">
        <v>19</v>
      </c>
      <c r="Q552" t="s">
        <v>45</v>
      </c>
      <c r="R552" s="6" t="s">
        <v>21</v>
      </c>
    </row>
    <row r="553" spans="1:18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 s="17"/>
      <c r="I553">
        <v>55</v>
      </c>
      <c r="J553" s="6">
        <v>40663</v>
      </c>
      <c r="K553" s="8">
        <v>89419</v>
      </c>
      <c r="L553" s="1">
        <v>0</v>
      </c>
      <c r="M553" s="8">
        <f>TBL_Employees[[#This Row],[Annual Salary]]*TBL_Employees[[#This Row],[Bonus %]]</f>
        <v>0</v>
      </c>
      <c r="N553" s="8">
        <f>SUM(TBL_Employees[[#This Row],[Annual Salary]],TBL_Employees[[#This Row],[TOTAL BONUS]])</f>
        <v>89419</v>
      </c>
      <c r="O553" s="8">
        <f>TBL_Employees[[#This Row],[Annual Salary]]*TBL_Employees[[#This Row],[Bonus %]]/100+TBL_Employees[[#This Row],[Annual Salary]]</f>
        <v>89419</v>
      </c>
      <c r="P553" t="s">
        <v>33</v>
      </c>
      <c r="Q553" t="s">
        <v>74</v>
      </c>
      <c r="R553" s="6" t="s">
        <v>21</v>
      </c>
    </row>
    <row r="554" spans="1:18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 s="17"/>
      <c r="I554">
        <v>45</v>
      </c>
      <c r="J554" s="6">
        <v>42357</v>
      </c>
      <c r="K554" s="8">
        <v>51983</v>
      </c>
      <c r="L554" s="1">
        <v>0</v>
      </c>
      <c r="M554" s="8">
        <f>TBL_Employees[[#This Row],[Annual Salary]]*TBL_Employees[[#This Row],[Bonus %]]</f>
        <v>0</v>
      </c>
      <c r="N554" s="8">
        <f>SUM(TBL_Employees[[#This Row],[Annual Salary]],TBL_Employees[[#This Row],[TOTAL BONUS]])</f>
        <v>51983</v>
      </c>
      <c r="O554" s="8">
        <f>TBL_Employees[[#This Row],[Annual Salary]]*TBL_Employees[[#This Row],[Bonus %]]/100+TBL_Employees[[#This Row],[Annual Salary]]</f>
        <v>51983</v>
      </c>
      <c r="P554" t="s">
        <v>19</v>
      </c>
      <c r="Q554" t="s">
        <v>29</v>
      </c>
      <c r="R554" s="6" t="s">
        <v>21</v>
      </c>
    </row>
    <row r="555" spans="1:18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 s="17"/>
      <c r="I555">
        <v>53</v>
      </c>
      <c r="J555" s="6">
        <v>37304</v>
      </c>
      <c r="K555" s="8">
        <v>179494</v>
      </c>
      <c r="L555" s="1">
        <v>0.2</v>
      </c>
      <c r="M555" s="8">
        <f>TBL_Employees[[#This Row],[Annual Salary]]*TBL_Employees[[#This Row],[Bonus %]]</f>
        <v>35898.800000000003</v>
      </c>
      <c r="N555" s="8">
        <f>SUM(TBL_Employees[[#This Row],[Annual Salary]],TBL_Employees[[#This Row],[TOTAL BONUS]])</f>
        <v>215392.8</v>
      </c>
      <c r="O555" s="8">
        <f>TBL_Employees[[#This Row],[Annual Salary]]*TBL_Employees[[#This Row],[Bonus %]]/100+TBL_Employees[[#This Row],[Annual Salary]]</f>
        <v>179852.98800000001</v>
      </c>
      <c r="P555" t="s">
        <v>33</v>
      </c>
      <c r="Q555" t="s">
        <v>80</v>
      </c>
      <c r="R555" s="6" t="s">
        <v>21</v>
      </c>
    </row>
    <row r="556" spans="1:18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 s="17"/>
      <c r="I556">
        <v>49</v>
      </c>
      <c r="J556" s="6">
        <v>42545</v>
      </c>
      <c r="K556" s="8">
        <v>68426</v>
      </c>
      <c r="L556" s="1">
        <v>0</v>
      </c>
      <c r="M556" s="8">
        <f>TBL_Employees[[#This Row],[Annual Salary]]*TBL_Employees[[#This Row],[Bonus %]]</f>
        <v>0</v>
      </c>
      <c r="N556" s="8">
        <f>SUM(TBL_Employees[[#This Row],[Annual Salary]],TBL_Employees[[#This Row],[TOTAL BONUS]])</f>
        <v>68426</v>
      </c>
      <c r="O556" s="8">
        <f>TBL_Employees[[#This Row],[Annual Salary]]*TBL_Employees[[#This Row],[Bonus %]]/100+TBL_Employees[[#This Row],[Annual Salary]]</f>
        <v>68426</v>
      </c>
      <c r="P556" t="s">
        <v>52</v>
      </c>
      <c r="Q556" t="s">
        <v>66</v>
      </c>
      <c r="R556" s="6" t="s">
        <v>21</v>
      </c>
    </row>
    <row r="557" spans="1:18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 s="17"/>
      <c r="I557">
        <v>55</v>
      </c>
      <c r="J557" s="6">
        <v>42772</v>
      </c>
      <c r="K557" s="8">
        <v>144986</v>
      </c>
      <c r="L557" s="1">
        <v>0.12</v>
      </c>
      <c r="M557" s="8">
        <f>TBL_Employees[[#This Row],[Annual Salary]]*TBL_Employees[[#This Row],[Bonus %]]</f>
        <v>17398.32</v>
      </c>
      <c r="N557" s="8">
        <f>SUM(TBL_Employees[[#This Row],[Annual Salary]],TBL_Employees[[#This Row],[TOTAL BONUS]])</f>
        <v>162384.32000000001</v>
      </c>
      <c r="O557" s="8">
        <f>TBL_Employees[[#This Row],[Annual Salary]]*TBL_Employees[[#This Row],[Bonus %]]/100+TBL_Employees[[#This Row],[Annual Salary]]</f>
        <v>145159.98319999999</v>
      </c>
      <c r="P557" t="s">
        <v>19</v>
      </c>
      <c r="Q557" t="s">
        <v>39</v>
      </c>
      <c r="R557" s="6" t="s">
        <v>21</v>
      </c>
    </row>
    <row r="558" spans="1:18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 s="17"/>
      <c r="I558">
        <v>45</v>
      </c>
      <c r="J558" s="6">
        <v>36754</v>
      </c>
      <c r="K558" s="8">
        <v>60113</v>
      </c>
      <c r="L558" s="1">
        <v>0</v>
      </c>
      <c r="M558" s="8">
        <f>TBL_Employees[[#This Row],[Annual Salary]]*TBL_Employees[[#This Row],[Bonus %]]</f>
        <v>0</v>
      </c>
      <c r="N558" s="8">
        <f>SUM(TBL_Employees[[#This Row],[Annual Salary]],TBL_Employees[[#This Row],[TOTAL BONUS]])</f>
        <v>60113</v>
      </c>
      <c r="O558" s="8">
        <f>TBL_Employees[[#This Row],[Annual Salary]]*TBL_Employees[[#This Row],[Bonus %]]/100+TBL_Employees[[#This Row],[Annual Salary]]</f>
        <v>60113</v>
      </c>
      <c r="P558" t="s">
        <v>19</v>
      </c>
      <c r="Q558" t="s">
        <v>20</v>
      </c>
      <c r="R558" s="6" t="s">
        <v>21</v>
      </c>
    </row>
    <row r="559" spans="1:18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 s="17"/>
      <c r="I559">
        <v>52</v>
      </c>
      <c r="J559" s="6">
        <v>44304</v>
      </c>
      <c r="K559" s="8">
        <v>50548</v>
      </c>
      <c r="L559" s="1">
        <v>0</v>
      </c>
      <c r="M559" s="8">
        <f>TBL_Employees[[#This Row],[Annual Salary]]*TBL_Employees[[#This Row],[Bonus %]]</f>
        <v>0</v>
      </c>
      <c r="N559" s="8">
        <f>SUM(TBL_Employees[[#This Row],[Annual Salary]],TBL_Employees[[#This Row],[TOTAL BONUS]])</f>
        <v>50548</v>
      </c>
      <c r="O559" s="8">
        <f>TBL_Employees[[#This Row],[Annual Salary]]*TBL_Employees[[#This Row],[Bonus %]]/100+TBL_Employees[[#This Row],[Annual Salary]]</f>
        <v>50548</v>
      </c>
      <c r="P559" t="s">
        <v>52</v>
      </c>
      <c r="Q559" t="s">
        <v>53</v>
      </c>
      <c r="R559" s="6" t="s">
        <v>21</v>
      </c>
    </row>
    <row r="560" spans="1:18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 s="17"/>
      <c r="I560">
        <v>33</v>
      </c>
      <c r="J560" s="6">
        <v>43904</v>
      </c>
      <c r="K560" s="8">
        <v>68846</v>
      </c>
      <c r="L560" s="1">
        <v>0</v>
      </c>
      <c r="M560" s="8">
        <f>TBL_Employees[[#This Row],[Annual Salary]]*TBL_Employees[[#This Row],[Bonus %]]</f>
        <v>0</v>
      </c>
      <c r="N560" s="8">
        <f>SUM(TBL_Employees[[#This Row],[Annual Salary]],TBL_Employees[[#This Row],[TOTAL BONUS]])</f>
        <v>68846</v>
      </c>
      <c r="O560" s="8">
        <f>TBL_Employees[[#This Row],[Annual Salary]]*TBL_Employees[[#This Row],[Bonus %]]/100+TBL_Employees[[#This Row],[Annual Salary]]</f>
        <v>68846</v>
      </c>
      <c r="P560" t="s">
        <v>19</v>
      </c>
      <c r="Q560" t="s">
        <v>20</v>
      </c>
      <c r="R560" s="6" t="s">
        <v>21</v>
      </c>
    </row>
    <row r="561" spans="1:18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 s="17"/>
      <c r="I561">
        <v>59</v>
      </c>
      <c r="J561" s="6">
        <v>41717</v>
      </c>
      <c r="K561" s="8">
        <v>90901</v>
      </c>
      <c r="L561" s="1">
        <v>0</v>
      </c>
      <c r="M561" s="8">
        <f>TBL_Employees[[#This Row],[Annual Salary]]*TBL_Employees[[#This Row],[Bonus %]]</f>
        <v>0</v>
      </c>
      <c r="N561" s="8">
        <f>SUM(TBL_Employees[[#This Row],[Annual Salary]],TBL_Employees[[#This Row],[TOTAL BONUS]])</f>
        <v>90901</v>
      </c>
      <c r="O561" s="8">
        <f>TBL_Employees[[#This Row],[Annual Salary]]*TBL_Employees[[#This Row],[Bonus %]]/100+TBL_Employees[[#This Row],[Annual Salary]]</f>
        <v>90901</v>
      </c>
      <c r="P561" t="s">
        <v>19</v>
      </c>
      <c r="Q561" t="s">
        <v>63</v>
      </c>
      <c r="R561" s="6" t="s">
        <v>21</v>
      </c>
    </row>
    <row r="562" spans="1:18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 s="17"/>
      <c r="I562">
        <v>50</v>
      </c>
      <c r="J562" s="6">
        <v>41155</v>
      </c>
      <c r="K562" s="8">
        <v>102033</v>
      </c>
      <c r="L562" s="1">
        <v>0.08</v>
      </c>
      <c r="M562" s="8">
        <f>TBL_Employees[[#This Row],[Annual Salary]]*TBL_Employees[[#This Row],[Bonus %]]</f>
        <v>8162.64</v>
      </c>
      <c r="N562" s="8">
        <f>SUM(TBL_Employees[[#This Row],[Annual Salary]],TBL_Employees[[#This Row],[TOTAL BONUS]])</f>
        <v>110195.64</v>
      </c>
      <c r="O562" s="8">
        <f>TBL_Employees[[#This Row],[Annual Salary]]*TBL_Employees[[#This Row],[Bonus %]]/100+TBL_Employees[[#This Row],[Annual Salary]]</f>
        <v>102114.62639999999</v>
      </c>
      <c r="P562" t="s">
        <v>19</v>
      </c>
      <c r="Q562" t="s">
        <v>25</v>
      </c>
      <c r="R562" s="6" t="s">
        <v>21</v>
      </c>
    </row>
    <row r="563" spans="1:18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 s="17"/>
      <c r="I563">
        <v>61</v>
      </c>
      <c r="J563" s="6">
        <v>44219</v>
      </c>
      <c r="K563" s="8">
        <v>151783</v>
      </c>
      <c r="L563" s="1">
        <v>0.26</v>
      </c>
      <c r="M563" s="8">
        <f>TBL_Employees[[#This Row],[Annual Salary]]*TBL_Employees[[#This Row],[Bonus %]]</f>
        <v>39463.58</v>
      </c>
      <c r="N563" s="8">
        <f>SUM(TBL_Employees[[#This Row],[Annual Salary]],TBL_Employees[[#This Row],[TOTAL BONUS]])</f>
        <v>191246.58000000002</v>
      </c>
      <c r="O563" s="8">
        <f>TBL_Employees[[#This Row],[Annual Salary]]*TBL_Employees[[#This Row],[Bonus %]]/100+TBL_Employees[[#This Row],[Annual Salary]]</f>
        <v>152177.63579999999</v>
      </c>
      <c r="P563" t="s">
        <v>19</v>
      </c>
      <c r="Q563" t="s">
        <v>63</v>
      </c>
      <c r="R563" s="6" t="s">
        <v>21</v>
      </c>
    </row>
    <row r="564" spans="1:18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 s="17"/>
      <c r="I564">
        <v>27</v>
      </c>
      <c r="J564" s="6">
        <v>43441</v>
      </c>
      <c r="K564" s="8">
        <v>170164</v>
      </c>
      <c r="L564" s="1">
        <v>0.17</v>
      </c>
      <c r="M564" s="8">
        <f>TBL_Employees[[#This Row],[Annual Salary]]*TBL_Employees[[#This Row],[Bonus %]]</f>
        <v>28927.88</v>
      </c>
      <c r="N564" s="8">
        <f>SUM(TBL_Employees[[#This Row],[Annual Salary]],TBL_Employees[[#This Row],[TOTAL BONUS]])</f>
        <v>199091.88</v>
      </c>
      <c r="O564" s="8">
        <f>TBL_Employees[[#This Row],[Annual Salary]]*TBL_Employees[[#This Row],[Bonus %]]/100+TBL_Employees[[#This Row],[Annual Salary]]</f>
        <v>170453.2788</v>
      </c>
      <c r="P564" t="s">
        <v>19</v>
      </c>
      <c r="Q564" t="s">
        <v>25</v>
      </c>
      <c r="R564" s="6" t="s">
        <v>21</v>
      </c>
    </row>
    <row r="565" spans="1:18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 s="17"/>
      <c r="I565">
        <v>35</v>
      </c>
      <c r="J565" s="6">
        <v>41690</v>
      </c>
      <c r="K565" s="8">
        <v>155905</v>
      </c>
      <c r="L565" s="1">
        <v>0.14000000000000001</v>
      </c>
      <c r="M565" s="8">
        <f>TBL_Employees[[#This Row],[Annual Salary]]*TBL_Employees[[#This Row],[Bonus %]]</f>
        <v>21826.7</v>
      </c>
      <c r="N565" s="8">
        <f>SUM(TBL_Employees[[#This Row],[Annual Salary]],TBL_Employees[[#This Row],[TOTAL BONUS]])</f>
        <v>177731.7</v>
      </c>
      <c r="O565" s="8">
        <f>TBL_Employees[[#This Row],[Annual Salary]]*TBL_Employees[[#This Row],[Bonus %]]/100+TBL_Employees[[#This Row],[Annual Salary]]</f>
        <v>156123.26699999999</v>
      </c>
      <c r="P565" t="s">
        <v>19</v>
      </c>
      <c r="Q565" t="s">
        <v>39</v>
      </c>
      <c r="R565" s="6" t="s">
        <v>21</v>
      </c>
    </row>
    <row r="566" spans="1:18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 s="17"/>
      <c r="I566">
        <v>40</v>
      </c>
      <c r="J566" s="6">
        <v>42721</v>
      </c>
      <c r="K566" s="8">
        <v>50733</v>
      </c>
      <c r="L566" s="1">
        <v>0</v>
      </c>
      <c r="M566" s="8">
        <f>TBL_Employees[[#This Row],[Annual Salary]]*TBL_Employees[[#This Row],[Bonus %]]</f>
        <v>0</v>
      </c>
      <c r="N566" s="8">
        <f>SUM(TBL_Employees[[#This Row],[Annual Salary]],TBL_Employees[[#This Row],[TOTAL BONUS]])</f>
        <v>50733</v>
      </c>
      <c r="O566" s="8">
        <f>TBL_Employees[[#This Row],[Annual Salary]]*TBL_Employees[[#This Row],[Bonus %]]/100+TBL_Employees[[#This Row],[Annual Salary]]</f>
        <v>50733</v>
      </c>
      <c r="P566" t="s">
        <v>19</v>
      </c>
      <c r="Q566" t="s">
        <v>45</v>
      </c>
      <c r="R566" s="6" t="s">
        <v>21</v>
      </c>
    </row>
    <row r="567" spans="1:18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 s="17"/>
      <c r="I567">
        <v>30</v>
      </c>
      <c r="J567" s="6">
        <v>42761</v>
      </c>
      <c r="K567" s="8">
        <v>88663</v>
      </c>
      <c r="L567" s="1">
        <v>0</v>
      </c>
      <c r="M567" s="8">
        <f>TBL_Employees[[#This Row],[Annual Salary]]*TBL_Employees[[#This Row],[Bonus %]]</f>
        <v>0</v>
      </c>
      <c r="N567" s="8">
        <f>SUM(TBL_Employees[[#This Row],[Annual Salary]],TBL_Employees[[#This Row],[TOTAL BONUS]])</f>
        <v>88663</v>
      </c>
      <c r="O567" s="8">
        <f>TBL_Employees[[#This Row],[Annual Salary]]*TBL_Employees[[#This Row],[Bonus %]]/100+TBL_Employees[[#This Row],[Annual Salary]]</f>
        <v>88663</v>
      </c>
      <c r="P567" t="s">
        <v>19</v>
      </c>
      <c r="Q567" t="s">
        <v>39</v>
      </c>
      <c r="R567" s="6" t="s">
        <v>21</v>
      </c>
    </row>
    <row r="568" spans="1:18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 s="17"/>
      <c r="I568">
        <v>60</v>
      </c>
      <c r="J568" s="6">
        <v>33890</v>
      </c>
      <c r="K568" s="8">
        <v>88213</v>
      </c>
      <c r="L568" s="1">
        <v>0</v>
      </c>
      <c r="M568" s="8">
        <f>TBL_Employees[[#This Row],[Annual Salary]]*TBL_Employees[[#This Row],[Bonus %]]</f>
        <v>0</v>
      </c>
      <c r="N568" s="8">
        <f>SUM(TBL_Employees[[#This Row],[Annual Salary]],TBL_Employees[[#This Row],[TOTAL BONUS]])</f>
        <v>88213</v>
      </c>
      <c r="O568" s="8">
        <f>TBL_Employees[[#This Row],[Annual Salary]]*TBL_Employees[[#This Row],[Bonus %]]/100+TBL_Employees[[#This Row],[Annual Salary]]</f>
        <v>88213</v>
      </c>
      <c r="P568" t="s">
        <v>33</v>
      </c>
      <c r="Q568" t="s">
        <v>80</v>
      </c>
      <c r="R568" s="6" t="s">
        <v>21</v>
      </c>
    </row>
    <row r="569" spans="1:18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 s="17"/>
      <c r="I569">
        <v>55</v>
      </c>
      <c r="J569" s="6">
        <v>44410</v>
      </c>
      <c r="K569" s="8">
        <v>67130</v>
      </c>
      <c r="L569" s="1">
        <v>0</v>
      </c>
      <c r="M569" s="8">
        <f>TBL_Employees[[#This Row],[Annual Salary]]*TBL_Employees[[#This Row],[Bonus %]]</f>
        <v>0</v>
      </c>
      <c r="N569" s="8">
        <f>SUM(TBL_Employees[[#This Row],[Annual Salary]],TBL_Employees[[#This Row],[TOTAL BONUS]])</f>
        <v>67130</v>
      </c>
      <c r="O569" s="8">
        <f>TBL_Employees[[#This Row],[Annual Salary]]*TBL_Employees[[#This Row],[Bonus %]]/100+TBL_Employees[[#This Row],[Annual Salary]]</f>
        <v>67130</v>
      </c>
      <c r="P569" t="s">
        <v>19</v>
      </c>
      <c r="Q569" t="s">
        <v>45</v>
      </c>
      <c r="R569" s="6" t="s">
        <v>21</v>
      </c>
    </row>
    <row r="570" spans="1:18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 s="17"/>
      <c r="I570">
        <v>33</v>
      </c>
      <c r="J570" s="6">
        <v>42285</v>
      </c>
      <c r="K570" s="8">
        <v>94876</v>
      </c>
      <c r="L570" s="1">
        <v>0</v>
      </c>
      <c r="M570" s="8">
        <f>TBL_Employees[[#This Row],[Annual Salary]]*TBL_Employees[[#This Row],[Bonus %]]</f>
        <v>0</v>
      </c>
      <c r="N570" s="8">
        <f>SUM(TBL_Employees[[#This Row],[Annual Salary]],TBL_Employees[[#This Row],[TOTAL BONUS]])</f>
        <v>94876</v>
      </c>
      <c r="O570" s="8">
        <f>TBL_Employees[[#This Row],[Annual Salary]]*TBL_Employees[[#This Row],[Bonus %]]/100+TBL_Employees[[#This Row],[Annual Salary]]</f>
        <v>94876</v>
      </c>
      <c r="P570" t="s">
        <v>19</v>
      </c>
      <c r="Q570" t="s">
        <v>45</v>
      </c>
      <c r="R570" s="6" t="s">
        <v>21</v>
      </c>
    </row>
    <row r="571" spans="1:18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 s="17"/>
      <c r="I571">
        <v>62</v>
      </c>
      <c r="J571" s="6">
        <v>34616</v>
      </c>
      <c r="K571" s="8">
        <v>98230</v>
      </c>
      <c r="L571" s="1">
        <v>0</v>
      </c>
      <c r="M571" s="8">
        <f>TBL_Employees[[#This Row],[Annual Salary]]*TBL_Employees[[#This Row],[Bonus %]]</f>
        <v>0</v>
      </c>
      <c r="N571" s="8">
        <f>SUM(TBL_Employees[[#This Row],[Annual Salary]],TBL_Employees[[#This Row],[TOTAL BONUS]])</f>
        <v>98230</v>
      </c>
      <c r="O571" s="8">
        <f>TBL_Employees[[#This Row],[Annual Salary]]*TBL_Employees[[#This Row],[Bonus %]]/100+TBL_Employees[[#This Row],[Annual Salary]]</f>
        <v>98230</v>
      </c>
      <c r="P571" t="s">
        <v>19</v>
      </c>
      <c r="Q571" t="s">
        <v>45</v>
      </c>
      <c r="R571" s="6" t="s">
        <v>21</v>
      </c>
    </row>
    <row r="572" spans="1:18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 s="17"/>
      <c r="I572">
        <v>36</v>
      </c>
      <c r="J572" s="6">
        <v>43448</v>
      </c>
      <c r="K572" s="8">
        <v>96757</v>
      </c>
      <c r="L572" s="1">
        <v>0</v>
      </c>
      <c r="M572" s="8">
        <f>TBL_Employees[[#This Row],[Annual Salary]]*TBL_Employees[[#This Row],[Bonus %]]</f>
        <v>0</v>
      </c>
      <c r="N572" s="8">
        <f>SUM(TBL_Employees[[#This Row],[Annual Salary]],TBL_Employees[[#This Row],[TOTAL BONUS]])</f>
        <v>96757</v>
      </c>
      <c r="O572" s="8">
        <f>TBL_Employees[[#This Row],[Annual Salary]]*TBL_Employees[[#This Row],[Bonus %]]/100+TBL_Employees[[#This Row],[Annual Salary]]</f>
        <v>96757</v>
      </c>
      <c r="P572" t="s">
        <v>19</v>
      </c>
      <c r="Q572" t="s">
        <v>29</v>
      </c>
      <c r="R572" s="6" t="s">
        <v>21</v>
      </c>
    </row>
    <row r="573" spans="1:18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 s="17"/>
      <c r="I573">
        <v>35</v>
      </c>
      <c r="J573" s="6">
        <v>44015</v>
      </c>
      <c r="K573" s="8">
        <v>51513</v>
      </c>
      <c r="L573" s="1">
        <v>0</v>
      </c>
      <c r="M573" s="8">
        <f>TBL_Employees[[#This Row],[Annual Salary]]*TBL_Employees[[#This Row],[Bonus %]]</f>
        <v>0</v>
      </c>
      <c r="N573" s="8">
        <f>SUM(TBL_Employees[[#This Row],[Annual Salary]],TBL_Employees[[#This Row],[TOTAL BONUS]])</f>
        <v>51513</v>
      </c>
      <c r="O573" s="8">
        <f>TBL_Employees[[#This Row],[Annual Salary]]*TBL_Employees[[#This Row],[Bonus %]]/100+TBL_Employees[[#This Row],[Annual Salary]]</f>
        <v>51513</v>
      </c>
      <c r="P573" t="s">
        <v>19</v>
      </c>
      <c r="Q573" t="s">
        <v>29</v>
      </c>
      <c r="R573" s="6" t="s">
        <v>21</v>
      </c>
    </row>
    <row r="574" spans="1:18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 s="17"/>
      <c r="I574">
        <v>60</v>
      </c>
      <c r="J574" s="6">
        <v>39109</v>
      </c>
      <c r="K574" s="8">
        <v>234311</v>
      </c>
      <c r="L574" s="1">
        <v>0.37</v>
      </c>
      <c r="M574" s="8">
        <f>TBL_Employees[[#This Row],[Annual Salary]]*TBL_Employees[[#This Row],[Bonus %]]</f>
        <v>86695.069999999992</v>
      </c>
      <c r="N574" s="8">
        <f>SUM(TBL_Employees[[#This Row],[Annual Salary]],TBL_Employees[[#This Row],[TOTAL BONUS]])</f>
        <v>321006.07</v>
      </c>
      <c r="O574" s="8">
        <f>TBL_Employees[[#This Row],[Annual Salary]]*TBL_Employees[[#This Row],[Bonus %]]/100+TBL_Employees[[#This Row],[Annual Salary]]</f>
        <v>235177.95069999999</v>
      </c>
      <c r="P574" t="s">
        <v>19</v>
      </c>
      <c r="Q574" t="s">
        <v>45</v>
      </c>
      <c r="R574" s="6" t="s">
        <v>21</v>
      </c>
    </row>
    <row r="575" spans="1:18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 s="17"/>
      <c r="I575">
        <v>45</v>
      </c>
      <c r="J575" s="6">
        <v>40685</v>
      </c>
      <c r="K575" s="8">
        <v>152353</v>
      </c>
      <c r="L575" s="1">
        <v>0.14000000000000001</v>
      </c>
      <c r="M575" s="8">
        <f>TBL_Employees[[#This Row],[Annual Salary]]*TBL_Employees[[#This Row],[Bonus %]]</f>
        <v>21329.420000000002</v>
      </c>
      <c r="N575" s="8">
        <f>SUM(TBL_Employees[[#This Row],[Annual Salary]],TBL_Employees[[#This Row],[TOTAL BONUS]])</f>
        <v>173682.42</v>
      </c>
      <c r="O575" s="8">
        <f>TBL_Employees[[#This Row],[Annual Salary]]*TBL_Employees[[#This Row],[Bonus %]]/100+TBL_Employees[[#This Row],[Annual Salary]]</f>
        <v>152566.2942</v>
      </c>
      <c r="P575" t="s">
        <v>19</v>
      </c>
      <c r="Q575" t="s">
        <v>63</v>
      </c>
      <c r="R575" s="6" t="s">
        <v>21</v>
      </c>
    </row>
    <row r="576" spans="1:18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 s="17"/>
      <c r="I576">
        <v>48</v>
      </c>
      <c r="J576" s="6">
        <v>40389</v>
      </c>
      <c r="K576" s="8">
        <v>124774</v>
      </c>
      <c r="L576" s="1">
        <v>0.12</v>
      </c>
      <c r="M576" s="8">
        <f>TBL_Employees[[#This Row],[Annual Salary]]*TBL_Employees[[#This Row],[Bonus %]]</f>
        <v>14972.88</v>
      </c>
      <c r="N576" s="8">
        <f>SUM(TBL_Employees[[#This Row],[Annual Salary]],TBL_Employees[[#This Row],[TOTAL BONUS]])</f>
        <v>139746.88</v>
      </c>
      <c r="O576" s="8">
        <f>TBL_Employees[[#This Row],[Annual Salary]]*TBL_Employees[[#This Row],[Bonus %]]/100+TBL_Employees[[#This Row],[Annual Salary]]</f>
        <v>124923.7288</v>
      </c>
      <c r="P576" t="s">
        <v>19</v>
      </c>
      <c r="Q576" t="s">
        <v>39</v>
      </c>
      <c r="R576" s="6" t="s">
        <v>21</v>
      </c>
    </row>
    <row r="577" spans="1:18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 s="17"/>
      <c r="I577">
        <v>36</v>
      </c>
      <c r="J577" s="6">
        <v>40434</v>
      </c>
      <c r="K577" s="8">
        <v>157070</v>
      </c>
      <c r="L577" s="1">
        <v>0.28000000000000003</v>
      </c>
      <c r="M577" s="8">
        <f>TBL_Employees[[#This Row],[Annual Salary]]*TBL_Employees[[#This Row],[Bonus %]]</f>
        <v>43979.600000000006</v>
      </c>
      <c r="N577" s="8">
        <f>SUM(TBL_Employees[[#This Row],[Annual Salary]],TBL_Employees[[#This Row],[TOTAL BONUS]])</f>
        <v>201049.60000000001</v>
      </c>
      <c r="O577" s="8">
        <f>TBL_Employees[[#This Row],[Annual Salary]]*TBL_Employees[[#This Row],[Bonus %]]/100+TBL_Employees[[#This Row],[Annual Salary]]</f>
        <v>157509.796</v>
      </c>
      <c r="P577" t="s">
        <v>33</v>
      </c>
      <c r="Q577" t="s">
        <v>80</v>
      </c>
      <c r="R577" s="6" t="s">
        <v>21</v>
      </c>
    </row>
    <row r="578" spans="1:18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 s="17"/>
      <c r="I578">
        <v>44</v>
      </c>
      <c r="J578" s="6">
        <v>43685</v>
      </c>
      <c r="K578" s="8">
        <v>130133</v>
      </c>
      <c r="L578" s="1">
        <v>0.15</v>
      </c>
      <c r="M578" s="8">
        <f>TBL_Employees[[#This Row],[Annual Salary]]*TBL_Employees[[#This Row],[Bonus %]]</f>
        <v>19519.95</v>
      </c>
      <c r="N578" s="8">
        <f>SUM(TBL_Employees[[#This Row],[Annual Salary]],TBL_Employees[[#This Row],[TOTAL BONUS]])</f>
        <v>149652.95000000001</v>
      </c>
      <c r="O578" s="8">
        <f>TBL_Employees[[#This Row],[Annual Salary]]*TBL_Employees[[#This Row],[Bonus %]]/100+TBL_Employees[[#This Row],[Annual Salary]]</f>
        <v>130328.1995</v>
      </c>
      <c r="P578" t="s">
        <v>19</v>
      </c>
      <c r="Q578" t="s">
        <v>25</v>
      </c>
      <c r="R578" s="6">
        <v>44699</v>
      </c>
    </row>
    <row r="579" spans="1:18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 s="17"/>
      <c r="I579">
        <v>64</v>
      </c>
      <c r="J579" s="6">
        <v>43729</v>
      </c>
      <c r="K579" s="8">
        <v>108780</v>
      </c>
      <c r="L579" s="1">
        <v>0.06</v>
      </c>
      <c r="M579" s="8">
        <f>TBL_Employees[[#This Row],[Annual Salary]]*TBL_Employees[[#This Row],[Bonus %]]</f>
        <v>6526.8</v>
      </c>
      <c r="N579" s="8">
        <f>SUM(TBL_Employees[[#This Row],[Annual Salary]],TBL_Employees[[#This Row],[TOTAL BONUS]])</f>
        <v>115306.8</v>
      </c>
      <c r="O579" s="8">
        <f>TBL_Employees[[#This Row],[Annual Salary]]*TBL_Employees[[#This Row],[Bonus %]]/100+TBL_Employees[[#This Row],[Annual Salary]]</f>
        <v>108845.268</v>
      </c>
      <c r="P579" t="s">
        <v>33</v>
      </c>
      <c r="Q579" t="s">
        <v>74</v>
      </c>
      <c r="R579" s="6" t="s">
        <v>21</v>
      </c>
    </row>
    <row r="580" spans="1:18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 s="17"/>
      <c r="I580">
        <v>46</v>
      </c>
      <c r="J580" s="6">
        <v>44125</v>
      </c>
      <c r="K580" s="8">
        <v>151853</v>
      </c>
      <c r="L580" s="1">
        <v>0.16</v>
      </c>
      <c r="M580" s="8">
        <f>TBL_Employees[[#This Row],[Annual Salary]]*TBL_Employees[[#This Row],[Bonus %]]</f>
        <v>24296.48</v>
      </c>
      <c r="N580" s="8">
        <f>SUM(TBL_Employees[[#This Row],[Annual Salary]],TBL_Employees[[#This Row],[TOTAL BONUS]])</f>
        <v>176149.48</v>
      </c>
      <c r="O580" s="8">
        <f>TBL_Employees[[#This Row],[Annual Salary]]*TBL_Employees[[#This Row],[Bonus %]]/100+TBL_Employees[[#This Row],[Annual Salary]]</f>
        <v>152095.96479999999</v>
      </c>
      <c r="P580" t="s">
        <v>33</v>
      </c>
      <c r="Q580" t="s">
        <v>34</v>
      </c>
      <c r="R580" s="6" t="s">
        <v>21</v>
      </c>
    </row>
    <row r="581" spans="1:18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 s="17"/>
      <c r="I581">
        <v>62</v>
      </c>
      <c r="J581" s="6">
        <v>38977</v>
      </c>
      <c r="K581" s="8">
        <v>64669</v>
      </c>
      <c r="L581" s="1">
        <v>0</v>
      </c>
      <c r="M581" s="8">
        <f>TBL_Employees[[#This Row],[Annual Salary]]*TBL_Employees[[#This Row],[Bonus %]]</f>
        <v>0</v>
      </c>
      <c r="N581" s="8">
        <f>SUM(TBL_Employees[[#This Row],[Annual Salary]],TBL_Employees[[#This Row],[TOTAL BONUS]])</f>
        <v>64669</v>
      </c>
      <c r="O581" s="8">
        <f>TBL_Employees[[#This Row],[Annual Salary]]*TBL_Employees[[#This Row],[Bonus %]]/100+TBL_Employees[[#This Row],[Annual Salary]]</f>
        <v>64669</v>
      </c>
      <c r="P581" t="s">
        <v>33</v>
      </c>
      <c r="Q581" t="s">
        <v>80</v>
      </c>
      <c r="R581" s="6" t="s">
        <v>21</v>
      </c>
    </row>
    <row r="582" spans="1:18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 s="17"/>
      <c r="I582">
        <v>61</v>
      </c>
      <c r="J582" s="6">
        <v>39568</v>
      </c>
      <c r="K582" s="8">
        <v>69352</v>
      </c>
      <c r="L582" s="1">
        <v>0</v>
      </c>
      <c r="M582" s="8">
        <f>TBL_Employees[[#This Row],[Annual Salary]]*TBL_Employees[[#This Row],[Bonus %]]</f>
        <v>0</v>
      </c>
      <c r="N582" s="8">
        <f>SUM(TBL_Employees[[#This Row],[Annual Salary]],TBL_Employees[[#This Row],[TOTAL BONUS]])</f>
        <v>69352</v>
      </c>
      <c r="O582" s="8">
        <f>TBL_Employees[[#This Row],[Annual Salary]]*TBL_Employees[[#This Row],[Bonus %]]/100+TBL_Employees[[#This Row],[Annual Salary]]</f>
        <v>69352</v>
      </c>
      <c r="P582" t="s">
        <v>52</v>
      </c>
      <c r="Q582" t="s">
        <v>66</v>
      </c>
      <c r="R582" s="6" t="s">
        <v>21</v>
      </c>
    </row>
    <row r="583" spans="1:18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 s="17"/>
      <c r="I583">
        <v>65</v>
      </c>
      <c r="J583" s="6">
        <v>37181</v>
      </c>
      <c r="K583" s="8">
        <v>74631</v>
      </c>
      <c r="L583" s="1">
        <v>0</v>
      </c>
      <c r="M583" s="8">
        <f>TBL_Employees[[#This Row],[Annual Salary]]*TBL_Employees[[#This Row],[Bonus %]]</f>
        <v>0</v>
      </c>
      <c r="N583" s="8">
        <f>SUM(TBL_Employees[[#This Row],[Annual Salary]],TBL_Employees[[#This Row],[TOTAL BONUS]])</f>
        <v>74631</v>
      </c>
      <c r="O583" s="8">
        <f>TBL_Employees[[#This Row],[Annual Salary]]*TBL_Employees[[#This Row],[Bonus %]]/100+TBL_Employees[[#This Row],[Annual Salary]]</f>
        <v>74631</v>
      </c>
      <c r="P583" t="s">
        <v>33</v>
      </c>
      <c r="Q583" t="s">
        <v>80</v>
      </c>
      <c r="R583" s="6" t="s">
        <v>21</v>
      </c>
    </row>
    <row r="584" spans="1:18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 s="17"/>
      <c r="I584">
        <v>54</v>
      </c>
      <c r="J584" s="6">
        <v>41028</v>
      </c>
      <c r="K584" s="8">
        <v>96441</v>
      </c>
      <c r="L584" s="1">
        <v>0</v>
      </c>
      <c r="M584" s="8">
        <f>TBL_Employees[[#This Row],[Annual Salary]]*TBL_Employees[[#This Row],[Bonus %]]</f>
        <v>0</v>
      </c>
      <c r="N584" s="8">
        <f>SUM(TBL_Employees[[#This Row],[Annual Salary]],TBL_Employees[[#This Row],[TOTAL BONUS]])</f>
        <v>96441</v>
      </c>
      <c r="O584" s="8">
        <f>TBL_Employees[[#This Row],[Annual Salary]]*TBL_Employees[[#This Row],[Bonus %]]/100+TBL_Employees[[#This Row],[Annual Salary]]</f>
        <v>96441</v>
      </c>
      <c r="P584" t="s">
        <v>52</v>
      </c>
      <c r="Q584" t="s">
        <v>53</v>
      </c>
      <c r="R584" s="6" t="s">
        <v>21</v>
      </c>
    </row>
    <row r="585" spans="1:18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 s="17"/>
      <c r="I585">
        <v>46</v>
      </c>
      <c r="J585" s="6">
        <v>40836</v>
      </c>
      <c r="K585" s="8">
        <v>114250</v>
      </c>
      <c r="L585" s="1">
        <v>0.14000000000000001</v>
      </c>
      <c r="M585" s="8">
        <f>TBL_Employees[[#This Row],[Annual Salary]]*TBL_Employees[[#This Row],[Bonus %]]</f>
        <v>15995.000000000002</v>
      </c>
      <c r="N585" s="8">
        <f>SUM(TBL_Employees[[#This Row],[Annual Salary]],TBL_Employees[[#This Row],[TOTAL BONUS]])</f>
        <v>130245</v>
      </c>
      <c r="O585" s="8">
        <f>TBL_Employees[[#This Row],[Annual Salary]]*TBL_Employees[[#This Row],[Bonus %]]/100+TBL_Employees[[#This Row],[Annual Salary]]</f>
        <v>114409.95</v>
      </c>
      <c r="P585" t="s">
        <v>33</v>
      </c>
      <c r="Q585" t="s">
        <v>34</v>
      </c>
      <c r="R585" s="6" t="s">
        <v>21</v>
      </c>
    </row>
    <row r="586" spans="1:18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 s="17"/>
      <c r="I586">
        <v>36</v>
      </c>
      <c r="J586" s="6">
        <v>44192</v>
      </c>
      <c r="K586" s="8">
        <v>70165</v>
      </c>
      <c r="L586" s="1">
        <v>7.0000000000000007E-2</v>
      </c>
      <c r="M586" s="8">
        <f>TBL_Employees[[#This Row],[Annual Salary]]*TBL_Employees[[#This Row],[Bonus %]]</f>
        <v>4911.55</v>
      </c>
      <c r="N586" s="8">
        <f>SUM(TBL_Employees[[#This Row],[Annual Salary]],TBL_Employees[[#This Row],[TOTAL BONUS]])</f>
        <v>75076.55</v>
      </c>
      <c r="O586" s="8">
        <f>TBL_Employees[[#This Row],[Annual Salary]]*TBL_Employees[[#This Row],[Bonus %]]/100+TBL_Employees[[#This Row],[Annual Salary]]</f>
        <v>70214.1155</v>
      </c>
      <c r="P586" t="s">
        <v>52</v>
      </c>
      <c r="Q586" t="s">
        <v>81</v>
      </c>
      <c r="R586" s="6" t="s">
        <v>21</v>
      </c>
    </row>
    <row r="587" spans="1:18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 s="17"/>
      <c r="I587">
        <v>60</v>
      </c>
      <c r="J587" s="6">
        <v>36554</v>
      </c>
      <c r="K587" s="8">
        <v>109059</v>
      </c>
      <c r="L587" s="1">
        <v>7.0000000000000007E-2</v>
      </c>
      <c r="M587" s="8">
        <f>TBL_Employees[[#This Row],[Annual Salary]]*TBL_Employees[[#This Row],[Bonus %]]</f>
        <v>7634.130000000001</v>
      </c>
      <c r="N587" s="8">
        <f>SUM(TBL_Employees[[#This Row],[Annual Salary]],TBL_Employees[[#This Row],[TOTAL BONUS]])</f>
        <v>116693.13</v>
      </c>
      <c r="O587" s="8">
        <f>TBL_Employees[[#This Row],[Annual Salary]]*TBL_Employees[[#This Row],[Bonus %]]/100+TBL_Employees[[#This Row],[Annual Salary]]</f>
        <v>109135.3413</v>
      </c>
      <c r="P587" t="s">
        <v>33</v>
      </c>
      <c r="Q587" t="s">
        <v>34</v>
      </c>
      <c r="R587" s="6" t="s">
        <v>21</v>
      </c>
    </row>
    <row r="588" spans="1:18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 s="17"/>
      <c r="I588">
        <v>30</v>
      </c>
      <c r="J588" s="6">
        <v>42322</v>
      </c>
      <c r="K588" s="8">
        <v>77442</v>
      </c>
      <c r="L588" s="1">
        <v>0</v>
      </c>
      <c r="M588" s="8">
        <f>TBL_Employees[[#This Row],[Annual Salary]]*TBL_Employees[[#This Row],[Bonus %]]</f>
        <v>0</v>
      </c>
      <c r="N588" s="8">
        <f>SUM(TBL_Employees[[#This Row],[Annual Salary]],TBL_Employees[[#This Row],[TOTAL BONUS]])</f>
        <v>77442</v>
      </c>
      <c r="O588" s="8">
        <f>TBL_Employees[[#This Row],[Annual Salary]]*TBL_Employees[[#This Row],[Bonus %]]/100+TBL_Employees[[#This Row],[Annual Salary]]</f>
        <v>77442</v>
      </c>
      <c r="P588" t="s">
        <v>19</v>
      </c>
      <c r="Q588" t="s">
        <v>29</v>
      </c>
      <c r="R588" s="6" t="s">
        <v>21</v>
      </c>
    </row>
    <row r="589" spans="1:18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 s="17"/>
      <c r="I589">
        <v>34</v>
      </c>
      <c r="J589" s="6">
        <v>41066</v>
      </c>
      <c r="K589" s="8">
        <v>72126</v>
      </c>
      <c r="L589" s="1">
        <v>0</v>
      </c>
      <c r="M589" s="8">
        <f>TBL_Employees[[#This Row],[Annual Salary]]*TBL_Employees[[#This Row],[Bonus %]]</f>
        <v>0</v>
      </c>
      <c r="N589" s="8">
        <f>SUM(TBL_Employees[[#This Row],[Annual Salary]],TBL_Employees[[#This Row],[TOTAL BONUS]])</f>
        <v>72126</v>
      </c>
      <c r="O589" s="8">
        <f>TBL_Employees[[#This Row],[Annual Salary]]*TBL_Employees[[#This Row],[Bonus %]]/100+TBL_Employees[[#This Row],[Annual Salary]]</f>
        <v>72126</v>
      </c>
      <c r="P589" t="s">
        <v>52</v>
      </c>
      <c r="Q589" t="s">
        <v>81</v>
      </c>
      <c r="R589" s="6" t="s">
        <v>21</v>
      </c>
    </row>
    <row r="590" spans="1:18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 s="17"/>
      <c r="I590">
        <v>55</v>
      </c>
      <c r="J590" s="6">
        <v>41565</v>
      </c>
      <c r="K590" s="8">
        <v>70334</v>
      </c>
      <c r="L590" s="1">
        <v>0</v>
      </c>
      <c r="M590" s="8">
        <f>TBL_Employees[[#This Row],[Annual Salary]]*TBL_Employees[[#This Row],[Bonus %]]</f>
        <v>0</v>
      </c>
      <c r="N590" s="8">
        <f>SUM(TBL_Employees[[#This Row],[Annual Salary]],TBL_Employees[[#This Row],[TOTAL BONUS]])</f>
        <v>70334</v>
      </c>
      <c r="O590" s="8">
        <f>TBL_Employees[[#This Row],[Annual Salary]]*TBL_Employees[[#This Row],[Bonus %]]/100+TBL_Employees[[#This Row],[Annual Salary]]</f>
        <v>70334</v>
      </c>
      <c r="P590" t="s">
        <v>19</v>
      </c>
      <c r="Q590" t="s">
        <v>45</v>
      </c>
      <c r="R590" s="6" t="s">
        <v>21</v>
      </c>
    </row>
    <row r="591" spans="1:18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 s="17"/>
      <c r="I591">
        <v>59</v>
      </c>
      <c r="J591" s="6">
        <v>40170</v>
      </c>
      <c r="K591" s="8">
        <v>78006</v>
      </c>
      <c r="L591" s="1">
        <v>0</v>
      </c>
      <c r="M591" s="8">
        <f>TBL_Employees[[#This Row],[Annual Salary]]*TBL_Employees[[#This Row],[Bonus %]]</f>
        <v>0</v>
      </c>
      <c r="N591" s="8">
        <f>SUM(TBL_Employees[[#This Row],[Annual Salary]],TBL_Employees[[#This Row],[TOTAL BONUS]])</f>
        <v>78006</v>
      </c>
      <c r="O591" s="8">
        <f>TBL_Employees[[#This Row],[Annual Salary]]*TBL_Employees[[#This Row],[Bonus %]]/100+TBL_Employees[[#This Row],[Annual Salary]]</f>
        <v>78006</v>
      </c>
      <c r="P591" t="s">
        <v>19</v>
      </c>
      <c r="Q591" t="s">
        <v>45</v>
      </c>
      <c r="R591" s="6" t="s">
        <v>21</v>
      </c>
    </row>
    <row r="592" spans="1:18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 s="17"/>
      <c r="I592">
        <v>28</v>
      </c>
      <c r="J592" s="6">
        <v>44221</v>
      </c>
      <c r="K592" s="8">
        <v>160385</v>
      </c>
      <c r="L592" s="1">
        <v>0.23</v>
      </c>
      <c r="M592" s="8">
        <f>TBL_Employees[[#This Row],[Annual Salary]]*TBL_Employees[[#This Row],[Bonus %]]</f>
        <v>36888.550000000003</v>
      </c>
      <c r="N592" s="8">
        <f>SUM(TBL_Employees[[#This Row],[Annual Salary]],TBL_Employees[[#This Row],[TOTAL BONUS]])</f>
        <v>197273.55</v>
      </c>
      <c r="O592" s="8">
        <f>TBL_Employees[[#This Row],[Annual Salary]]*TBL_Employees[[#This Row],[Bonus %]]/100+TBL_Employees[[#This Row],[Annual Salary]]</f>
        <v>160753.8855</v>
      </c>
      <c r="P592" t="s">
        <v>19</v>
      </c>
      <c r="Q592" t="s">
        <v>45</v>
      </c>
      <c r="R592" s="6">
        <v>44334</v>
      </c>
    </row>
    <row r="593" spans="1:18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 s="17"/>
      <c r="I593">
        <v>36</v>
      </c>
      <c r="J593" s="6">
        <v>41650</v>
      </c>
      <c r="K593" s="8">
        <v>202323</v>
      </c>
      <c r="L593" s="1">
        <v>0.39</v>
      </c>
      <c r="M593" s="8">
        <f>TBL_Employees[[#This Row],[Annual Salary]]*TBL_Employees[[#This Row],[Bonus %]]</f>
        <v>78905.97</v>
      </c>
      <c r="N593" s="8">
        <f>SUM(TBL_Employees[[#This Row],[Annual Salary]],TBL_Employees[[#This Row],[TOTAL BONUS]])</f>
        <v>281228.96999999997</v>
      </c>
      <c r="O593" s="8">
        <f>TBL_Employees[[#This Row],[Annual Salary]]*TBL_Employees[[#This Row],[Bonus %]]/100+TBL_Employees[[#This Row],[Annual Salary]]</f>
        <v>203112.05970000001</v>
      </c>
      <c r="P593" t="s">
        <v>19</v>
      </c>
      <c r="Q593" t="s">
        <v>20</v>
      </c>
      <c r="R593" s="6" t="s">
        <v>21</v>
      </c>
    </row>
    <row r="594" spans="1:18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 s="17"/>
      <c r="I594">
        <v>29</v>
      </c>
      <c r="J594" s="6">
        <v>44025</v>
      </c>
      <c r="K594" s="8">
        <v>141555</v>
      </c>
      <c r="L594" s="1">
        <v>0.11</v>
      </c>
      <c r="M594" s="8">
        <f>TBL_Employees[[#This Row],[Annual Salary]]*TBL_Employees[[#This Row],[Bonus %]]</f>
        <v>15571.05</v>
      </c>
      <c r="N594" s="8">
        <f>SUM(TBL_Employees[[#This Row],[Annual Salary]],TBL_Employees[[#This Row],[TOTAL BONUS]])</f>
        <v>157126.04999999999</v>
      </c>
      <c r="O594" s="8">
        <f>TBL_Employees[[#This Row],[Annual Salary]]*TBL_Employees[[#This Row],[Bonus %]]/100+TBL_Employees[[#This Row],[Annual Salary]]</f>
        <v>141710.71049999999</v>
      </c>
      <c r="P594" t="s">
        <v>52</v>
      </c>
      <c r="Q594" t="s">
        <v>81</v>
      </c>
      <c r="R594" s="6" t="s">
        <v>21</v>
      </c>
    </row>
    <row r="595" spans="1:18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 s="17"/>
      <c r="I595">
        <v>34</v>
      </c>
      <c r="J595" s="6">
        <v>44032</v>
      </c>
      <c r="K595" s="8">
        <v>184960</v>
      </c>
      <c r="L595" s="1">
        <v>0.18</v>
      </c>
      <c r="M595" s="8">
        <f>TBL_Employees[[#This Row],[Annual Salary]]*TBL_Employees[[#This Row],[Bonus %]]</f>
        <v>33292.799999999996</v>
      </c>
      <c r="N595" s="8">
        <f>SUM(TBL_Employees[[#This Row],[Annual Salary]],TBL_Employees[[#This Row],[TOTAL BONUS]])</f>
        <v>218252.79999999999</v>
      </c>
      <c r="O595" s="8">
        <f>TBL_Employees[[#This Row],[Annual Salary]]*TBL_Employees[[#This Row],[Bonus %]]/100+TBL_Employees[[#This Row],[Annual Salary]]</f>
        <v>185292.92800000001</v>
      </c>
      <c r="P595" t="s">
        <v>19</v>
      </c>
      <c r="Q595" t="s">
        <v>63</v>
      </c>
      <c r="R595" s="6" t="s">
        <v>21</v>
      </c>
    </row>
    <row r="596" spans="1:18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 s="17"/>
      <c r="I596">
        <v>37</v>
      </c>
      <c r="J596" s="6">
        <v>40719</v>
      </c>
      <c r="K596" s="8">
        <v>221592</v>
      </c>
      <c r="L596" s="1">
        <v>0.31</v>
      </c>
      <c r="M596" s="8">
        <f>TBL_Employees[[#This Row],[Annual Salary]]*TBL_Employees[[#This Row],[Bonus %]]</f>
        <v>68693.52</v>
      </c>
      <c r="N596" s="8">
        <f>SUM(TBL_Employees[[#This Row],[Annual Salary]],TBL_Employees[[#This Row],[TOTAL BONUS]])</f>
        <v>290285.52</v>
      </c>
      <c r="O596" s="8">
        <f>TBL_Employees[[#This Row],[Annual Salary]]*TBL_Employees[[#This Row],[Bonus %]]/100+TBL_Employees[[#This Row],[Annual Salary]]</f>
        <v>222278.93520000001</v>
      </c>
      <c r="P596" t="s">
        <v>19</v>
      </c>
      <c r="Q596" t="s">
        <v>29</v>
      </c>
      <c r="R596" s="6" t="s">
        <v>21</v>
      </c>
    </row>
    <row r="597" spans="1:18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 s="17"/>
      <c r="I597">
        <v>44</v>
      </c>
      <c r="J597" s="6">
        <v>39841</v>
      </c>
      <c r="K597" s="8">
        <v>53301</v>
      </c>
      <c r="L597" s="1">
        <v>0</v>
      </c>
      <c r="M597" s="8">
        <f>TBL_Employees[[#This Row],[Annual Salary]]*TBL_Employees[[#This Row],[Bonus %]]</f>
        <v>0</v>
      </c>
      <c r="N597" s="8">
        <f>SUM(TBL_Employees[[#This Row],[Annual Salary]],TBL_Employees[[#This Row],[TOTAL BONUS]])</f>
        <v>53301</v>
      </c>
      <c r="O597" s="8">
        <f>TBL_Employees[[#This Row],[Annual Salary]]*TBL_Employees[[#This Row],[Bonus %]]/100+TBL_Employees[[#This Row],[Annual Salary]]</f>
        <v>53301</v>
      </c>
      <c r="P597" t="s">
        <v>19</v>
      </c>
      <c r="Q597" t="s">
        <v>63</v>
      </c>
      <c r="R597" s="6" t="s">
        <v>21</v>
      </c>
    </row>
    <row r="598" spans="1:18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 s="17"/>
      <c r="I598">
        <v>45</v>
      </c>
      <c r="J598" s="6">
        <v>36587</v>
      </c>
      <c r="K598" s="8">
        <v>91276</v>
      </c>
      <c r="L598" s="1">
        <v>0</v>
      </c>
      <c r="M598" s="8">
        <f>TBL_Employees[[#This Row],[Annual Salary]]*TBL_Employees[[#This Row],[Bonus %]]</f>
        <v>0</v>
      </c>
      <c r="N598" s="8">
        <f>SUM(TBL_Employees[[#This Row],[Annual Salary]],TBL_Employees[[#This Row],[TOTAL BONUS]])</f>
        <v>91276</v>
      </c>
      <c r="O598" s="8">
        <f>TBL_Employees[[#This Row],[Annual Salary]]*TBL_Employees[[#This Row],[Bonus %]]/100+TBL_Employees[[#This Row],[Annual Salary]]</f>
        <v>91276</v>
      </c>
      <c r="P598" t="s">
        <v>19</v>
      </c>
      <c r="Q598" t="s">
        <v>63</v>
      </c>
      <c r="R598" s="6" t="s">
        <v>21</v>
      </c>
    </row>
    <row r="599" spans="1:18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 s="17"/>
      <c r="I599">
        <v>52</v>
      </c>
      <c r="J599" s="6">
        <v>42983</v>
      </c>
      <c r="K599" s="8">
        <v>140042</v>
      </c>
      <c r="L599" s="1">
        <v>0.13</v>
      </c>
      <c r="M599" s="8">
        <f>TBL_Employees[[#This Row],[Annual Salary]]*TBL_Employees[[#This Row],[Bonus %]]</f>
        <v>18205.46</v>
      </c>
      <c r="N599" s="8">
        <f>SUM(TBL_Employees[[#This Row],[Annual Salary]],TBL_Employees[[#This Row],[TOTAL BONUS]])</f>
        <v>158247.46</v>
      </c>
      <c r="O599" s="8">
        <f>TBL_Employees[[#This Row],[Annual Salary]]*TBL_Employees[[#This Row],[Bonus %]]/100+TBL_Employees[[#This Row],[Annual Salary]]</f>
        <v>140224.0546</v>
      </c>
      <c r="P599" t="s">
        <v>19</v>
      </c>
      <c r="Q599" t="s">
        <v>25</v>
      </c>
      <c r="R599" s="6" t="s">
        <v>21</v>
      </c>
    </row>
    <row r="600" spans="1:18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 s="17"/>
      <c r="I600">
        <v>40</v>
      </c>
      <c r="J600" s="6">
        <v>43440</v>
      </c>
      <c r="K600" s="8">
        <v>57225</v>
      </c>
      <c r="L600" s="1">
        <v>0</v>
      </c>
      <c r="M600" s="8">
        <f>TBL_Employees[[#This Row],[Annual Salary]]*TBL_Employees[[#This Row],[Bonus %]]</f>
        <v>0</v>
      </c>
      <c r="N600" s="8">
        <f>SUM(TBL_Employees[[#This Row],[Annual Salary]],TBL_Employees[[#This Row],[TOTAL BONUS]])</f>
        <v>57225</v>
      </c>
      <c r="O600" s="8">
        <f>TBL_Employees[[#This Row],[Annual Salary]]*TBL_Employees[[#This Row],[Bonus %]]/100+TBL_Employees[[#This Row],[Annual Salary]]</f>
        <v>57225</v>
      </c>
      <c r="P600" t="s">
        <v>19</v>
      </c>
      <c r="Q600" t="s">
        <v>29</v>
      </c>
      <c r="R600" s="6" t="s">
        <v>21</v>
      </c>
    </row>
    <row r="601" spans="1:18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 s="17"/>
      <c r="I601">
        <v>55</v>
      </c>
      <c r="J601" s="6">
        <v>40233</v>
      </c>
      <c r="K601" s="8">
        <v>102839</v>
      </c>
      <c r="L601" s="1">
        <v>0.05</v>
      </c>
      <c r="M601" s="8">
        <f>TBL_Employees[[#This Row],[Annual Salary]]*TBL_Employees[[#This Row],[Bonus %]]</f>
        <v>5141.9500000000007</v>
      </c>
      <c r="N601" s="8">
        <f>SUM(TBL_Employees[[#This Row],[Annual Salary]],TBL_Employees[[#This Row],[TOTAL BONUS]])</f>
        <v>107980.95</v>
      </c>
      <c r="O601" s="8">
        <f>TBL_Employees[[#This Row],[Annual Salary]]*TBL_Employees[[#This Row],[Bonus %]]/100+TBL_Employees[[#This Row],[Annual Salary]]</f>
        <v>102890.4195</v>
      </c>
      <c r="P601" t="s">
        <v>19</v>
      </c>
      <c r="Q601" t="s">
        <v>45</v>
      </c>
      <c r="R601" s="6" t="s">
        <v>21</v>
      </c>
    </row>
    <row r="602" spans="1:18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 s="17"/>
      <c r="I602">
        <v>29</v>
      </c>
      <c r="J602" s="6">
        <v>44454</v>
      </c>
      <c r="K602" s="8">
        <v>199783</v>
      </c>
      <c r="L602" s="1">
        <v>0.21</v>
      </c>
      <c r="M602" s="8">
        <f>TBL_Employees[[#This Row],[Annual Salary]]*TBL_Employees[[#This Row],[Bonus %]]</f>
        <v>41954.43</v>
      </c>
      <c r="N602" s="8">
        <f>SUM(TBL_Employees[[#This Row],[Annual Salary]],TBL_Employees[[#This Row],[TOTAL BONUS]])</f>
        <v>241737.43</v>
      </c>
      <c r="O602" s="8">
        <f>TBL_Employees[[#This Row],[Annual Salary]]*TBL_Employees[[#This Row],[Bonus %]]/100+TBL_Employees[[#This Row],[Annual Salary]]</f>
        <v>200202.54430000001</v>
      </c>
      <c r="P602" t="s">
        <v>19</v>
      </c>
      <c r="Q602" t="s">
        <v>20</v>
      </c>
      <c r="R602" s="6">
        <v>44661</v>
      </c>
    </row>
    <row r="603" spans="1:18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 s="17"/>
      <c r="I603">
        <v>32</v>
      </c>
      <c r="J603" s="6">
        <v>44295</v>
      </c>
      <c r="K603" s="8">
        <v>70980</v>
      </c>
      <c r="L603" s="1">
        <v>0</v>
      </c>
      <c r="M603" s="8">
        <f>TBL_Employees[[#This Row],[Annual Salary]]*TBL_Employees[[#This Row],[Bonus %]]</f>
        <v>0</v>
      </c>
      <c r="N603" s="8">
        <f>SUM(TBL_Employees[[#This Row],[Annual Salary]],TBL_Employees[[#This Row],[TOTAL BONUS]])</f>
        <v>70980</v>
      </c>
      <c r="O603" s="8">
        <f>TBL_Employees[[#This Row],[Annual Salary]]*TBL_Employees[[#This Row],[Bonus %]]/100+TBL_Employees[[#This Row],[Annual Salary]]</f>
        <v>70980</v>
      </c>
      <c r="P603" t="s">
        <v>52</v>
      </c>
      <c r="Q603" t="s">
        <v>66</v>
      </c>
      <c r="R603" s="6" t="s">
        <v>21</v>
      </c>
    </row>
    <row r="604" spans="1:18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 s="17"/>
      <c r="I604">
        <v>51</v>
      </c>
      <c r="J604" s="6">
        <v>35456</v>
      </c>
      <c r="K604" s="8">
        <v>104431</v>
      </c>
      <c r="L604" s="1">
        <v>7.0000000000000007E-2</v>
      </c>
      <c r="M604" s="8">
        <f>TBL_Employees[[#This Row],[Annual Salary]]*TBL_Employees[[#This Row],[Bonus %]]</f>
        <v>7310.170000000001</v>
      </c>
      <c r="N604" s="8">
        <f>SUM(TBL_Employees[[#This Row],[Annual Salary]],TBL_Employees[[#This Row],[TOTAL BONUS]])</f>
        <v>111741.17</v>
      </c>
      <c r="O604" s="8">
        <f>TBL_Employees[[#This Row],[Annual Salary]]*TBL_Employees[[#This Row],[Bonus %]]/100+TBL_Employees[[#This Row],[Annual Salary]]</f>
        <v>104504.1017</v>
      </c>
      <c r="P604" t="s">
        <v>19</v>
      </c>
      <c r="Q604" t="s">
        <v>39</v>
      </c>
      <c r="R604" s="6" t="s">
        <v>21</v>
      </c>
    </row>
    <row r="605" spans="1:18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 s="17"/>
      <c r="I605">
        <v>28</v>
      </c>
      <c r="J605" s="6">
        <v>44374</v>
      </c>
      <c r="K605" s="8">
        <v>48510</v>
      </c>
      <c r="L605" s="1">
        <v>0</v>
      </c>
      <c r="M605" s="8">
        <f>TBL_Employees[[#This Row],[Annual Salary]]*TBL_Employees[[#This Row],[Bonus %]]</f>
        <v>0</v>
      </c>
      <c r="N605" s="8">
        <f>SUM(TBL_Employees[[#This Row],[Annual Salary]],TBL_Employees[[#This Row],[TOTAL BONUS]])</f>
        <v>48510</v>
      </c>
      <c r="O605" s="8">
        <f>TBL_Employees[[#This Row],[Annual Salary]]*TBL_Employees[[#This Row],[Bonus %]]/100+TBL_Employees[[#This Row],[Annual Salary]]</f>
        <v>48510</v>
      </c>
      <c r="P605" t="s">
        <v>19</v>
      </c>
      <c r="Q605" t="s">
        <v>20</v>
      </c>
      <c r="R605" s="6" t="s">
        <v>21</v>
      </c>
    </row>
    <row r="606" spans="1:18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 s="17"/>
      <c r="I606">
        <v>27</v>
      </c>
      <c r="J606" s="6">
        <v>43613</v>
      </c>
      <c r="K606" s="8">
        <v>70110</v>
      </c>
      <c r="L606" s="1">
        <v>0</v>
      </c>
      <c r="M606" s="8">
        <f>TBL_Employees[[#This Row],[Annual Salary]]*TBL_Employees[[#This Row],[Bonus %]]</f>
        <v>0</v>
      </c>
      <c r="N606" s="8">
        <f>SUM(TBL_Employees[[#This Row],[Annual Salary]],TBL_Employees[[#This Row],[TOTAL BONUS]])</f>
        <v>70110</v>
      </c>
      <c r="O606" s="8">
        <f>TBL_Employees[[#This Row],[Annual Salary]]*TBL_Employees[[#This Row],[Bonus %]]/100+TBL_Employees[[#This Row],[Annual Salary]]</f>
        <v>70110</v>
      </c>
      <c r="P606" t="s">
        <v>19</v>
      </c>
      <c r="Q606" t="s">
        <v>45</v>
      </c>
      <c r="R606" s="6">
        <v>44203</v>
      </c>
    </row>
    <row r="607" spans="1:18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 s="17"/>
      <c r="I607">
        <v>45</v>
      </c>
      <c r="J607" s="6">
        <v>39519</v>
      </c>
      <c r="K607" s="8">
        <v>186138</v>
      </c>
      <c r="L607" s="1">
        <v>0.28000000000000003</v>
      </c>
      <c r="M607" s="8">
        <f>TBL_Employees[[#This Row],[Annual Salary]]*TBL_Employees[[#This Row],[Bonus %]]</f>
        <v>52118.640000000007</v>
      </c>
      <c r="N607" s="8">
        <f>SUM(TBL_Employees[[#This Row],[Annual Salary]],TBL_Employees[[#This Row],[TOTAL BONUS]])</f>
        <v>238256.64000000001</v>
      </c>
      <c r="O607" s="8">
        <f>TBL_Employees[[#This Row],[Annual Salary]]*TBL_Employees[[#This Row],[Bonus %]]/100+TBL_Employees[[#This Row],[Annual Salary]]</f>
        <v>186659.18640000001</v>
      </c>
      <c r="P607" t="s">
        <v>33</v>
      </c>
      <c r="Q607" t="s">
        <v>80</v>
      </c>
      <c r="R607" s="6" t="s">
        <v>21</v>
      </c>
    </row>
    <row r="608" spans="1:18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 s="17"/>
      <c r="I608">
        <v>58</v>
      </c>
      <c r="J608" s="6">
        <v>40287</v>
      </c>
      <c r="K608" s="8">
        <v>56350</v>
      </c>
      <c r="L608" s="1">
        <v>0</v>
      </c>
      <c r="M608" s="8">
        <f>TBL_Employees[[#This Row],[Annual Salary]]*TBL_Employees[[#This Row],[Bonus %]]</f>
        <v>0</v>
      </c>
      <c r="N608" s="8">
        <f>SUM(TBL_Employees[[#This Row],[Annual Salary]],TBL_Employees[[#This Row],[TOTAL BONUS]])</f>
        <v>56350</v>
      </c>
      <c r="O608" s="8">
        <f>TBL_Employees[[#This Row],[Annual Salary]]*TBL_Employees[[#This Row],[Bonus %]]/100+TBL_Employees[[#This Row],[Annual Salary]]</f>
        <v>56350</v>
      </c>
      <c r="P608" t="s">
        <v>52</v>
      </c>
      <c r="Q608" t="s">
        <v>66</v>
      </c>
      <c r="R608" s="6" t="s">
        <v>21</v>
      </c>
    </row>
    <row r="609" spans="1:18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 s="17"/>
      <c r="I609">
        <v>45</v>
      </c>
      <c r="J609" s="6">
        <v>42379</v>
      </c>
      <c r="K609" s="8">
        <v>149761</v>
      </c>
      <c r="L609" s="1">
        <v>0.12</v>
      </c>
      <c r="M609" s="8">
        <f>TBL_Employees[[#This Row],[Annual Salary]]*TBL_Employees[[#This Row],[Bonus %]]</f>
        <v>17971.32</v>
      </c>
      <c r="N609" s="8">
        <f>SUM(TBL_Employees[[#This Row],[Annual Salary]],TBL_Employees[[#This Row],[TOTAL BONUS]])</f>
        <v>167732.32</v>
      </c>
      <c r="O609" s="8">
        <f>TBL_Employees[[#This Row],[Annual Salary]]*TBL_Employees[[#This Row],[Bonus %]]/100+TBL_Employees[[#This Row],[Annual Salary]]</f>
        <v>149940.7132</v>
      </c>
      <c r="P609" t="s">
        <v>19</v>
      </c>
      <c r="Q609" t="s">
        <v>29</v>
      </c>
      <c r="R609" s="6" t="s">
        <v>21</v>
      </c>
    </row>
    <row r="610" spans="1:18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 s="17"/>
      <c r="I610">
        <v>44</v>
      </c>
      <c r="J610" s="6">
        <v>39305</v>
      </c>
      <c r="K610" s="8">
        <v>126277</v>
      </c>
      <c r="L610" s="1">
        <v>0.13</v>
      </c>
      <c r="M610" s="8">
        <f>TBL_Employees[[#This Row],[Annual Salary]]*TBL_Employees[[#This Row],[Bonus %]]</f>
        <v>16416.010000000002</v>
      </c>
      <c r="N610" s="8">
        <f>SUM(TBL_Employees[[#This Row],[Annual Salary]],TBL_Employees[[#This Row],[TOTAL BONUS]])</f>
        <v>142693.01</v>
      </c>
      <c r="O610" s="8">
        <f>TBL_Employees[[#This Row],[Annual Salary]]*TBL_Employees[[#This Row],[Bonus %]]/100+TBL_Employees[[#This Row],[Annual Salary]]</f>
        <v>126441.16009999999</v>
      </c>
      <c r="P610" t="s">
        <v>52</v>
      </c>
      <c r="Q610" t="s">
        <v>81</v>
      </c>
      <c r="R610" s="6" t="s">
        <v>21</v>
      </c>
    </row>
    <row r="611" spans="1:18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 s="17"/>
      <c r="I611">
        <v>33</v>
      </c>
      <c r="J611" s="6">
        <v>41446</v>
      </c>
      <c r="K611" s="8">
        <v>119631</v>
      </c>
      <c r="L611" s="1">
        <v>0.06</v>
      </c>
      <c r="M611" s="8">
        <f>TBL_Employees[[#This Row],[Annual Salary]]*TBL_Employees[[#This Row],[Bonus %]]</f>
        <v>7177.86</v>
      </c>
      <c r="N611" s="8">
        <f>SUM(TBL_Employees[[#This Row],[Annual Salary]],TBL_Employees[[#This Row],[TOTAL BONUS]])</f>
        <v>126808.86</v>
      </c>
      <c r="O611" s="8">
        <f>TBL_Employees[[#This Row],[Annual Salary]]*TBL_Employees[[#This Row],[Bonus %]]/100+TBL_Employees[[#This Row],[Annual Salary]]</f>
        <v>119702.77860000001</v>
      </c>
      <c r="P611" t="s">
        <v>19</v>
      </c>
      <c r="Q611" t="s">
        <v>39</v>
      </c>
      <c r="R611" s="6" t="s">
        <v>21</v>
      </c>
    </row>
    <row r="612" spans="1:18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 s="17"/>
      <c r="I612">
        <v>26</v>
      </c>
      <c r="J612" s="6">
        <v>43960</v>
      </c>
      <c r="K612" s="8">
        <v>256561</v>
      </c>
      <c r="L612" s="1">
        <v>0.39</v>
      </c>
      <c r="M612" s="8">
        <f>TBL_Employees[[#This Row],[Annual Salary]]*TBL_Employees[[#This Row],[Bonus %]]</f>
        <v>100058.79000000001</v>
      </c>
      <c r="N612" s="8">
        <f>SUM(TBL_Employees[[#This Row],[Annual Salary]],TBL_Employees[[#This Row],[TOTAL BONUS]])</f>
        <v>356619.79000000004</v>
      </c>
      <c r="O612" s="8">
        <f>TBL_Employees[[#This Row],[Annual Salary]]*TBL_Employees[[#This Row],[Bonus %]]/100+TBL_Employees[[#This Row],[Annual Salary]]</f>
        <v>257561.58790000001</v>
      </c>
      <c r="P612" t="s">
        <v>19</v>
      </c>
      <c r="Q612" t="s">
        <v>25</v>
      </c>
      <c r="R612" s="6" t="s">
        <v>21</v>
      </c>
    </row>
    <row r="613" spans="1:18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 s="17"/>
      <c r="I613">
        <v>45</v>
      </c>
      <c r="J613" s="6">
        <v>43937</v>
      </c>
      <c r="K613" s="8">
        <v>66958</v>
      </c>
      <c r="L613" s="1">
        <v>0</v>
      </c>
      <c r="M613" s="8">
        <f>TBL_Employees[[#This Row],[Annual Salary]]*TBL_Employees[[#This Row],[Bonus %]]</f>
        <v>0</v>
      </c>
      <c r="N613" s="8">
        <f>SUM(TBL_Employees[[#This Row],[Annual Salary]],TBL_Employees[[#This Row],[TOTAL BONUS]])</f>
        <v>66958</v>
      </c>
      <c r="O613" s="8">
        <f>TBL_Employees[[#This Row],[Annual Salary]]*TBL_Employees[[#This Row],[Bonus %]]/100+TBL_Employees[[#This Row],[Annual Salary]]</f>
        <v>66958</v>
      </c>
      <c r="P613" t="s">
        <v>19</v>
      </c>
      <c r="Q613" t="s">
        <v>45</v>
      </c>
      <c r="R613" s="6" t="s">
        <v>21</v>
      </c>
    </row>
    <row r="614" spans="1:18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 s="17"/>
      <c r="I614">
        <v>46</v>
      </c>
      <c r="J614" s="6">
        <v>38046</v>
      </c>
      <c r="K614" s="8">
        <v>158897</v>
      </c>
      <c r="L614" s="1">
        <v>0.1</v>
      </c>
      <c r="M614" s="8">
        <f>TBL_Employees[[#This Row],[Annual Salary]]*TBL_Employees[[#This Row],[Bonus %]]</f>
        <v>15889.7</v>
      </c>
      <c r="N614" s="8">
        <f>SUM(TBL_Employees[[#This Row],[Annual Salary]],TBL_Employees[[#This Row],[TOTAL BONUS]])</f>
        <v>174786.7</v>
      </c>
      <c r="O614" s="8">
        <f>TBL_Employees[[#This Row],[Annual Salary]]*TBL_Employees[[#This Row],[Bonus %]]/100+TBL_Employees[[#This Row],[Annual Salary]]</f>
        <v>159055.897</v>
      </c>
      <c r="P614" t="s">
        <v>33</v>
      </c>
      <c r="Q614" t="s">
        <v>80</v>
      </c>
      <c r="R614" s="6" t="s">
        <v>21</v>
      </c>
    </row>
    <row r="615" spans="1:18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 s="17"/>
      <c r="I615">
        <v>37</v>
      </c>
      <c r="J615" s="6">
        <v>39493</v>
      </c>
      <c r="K615" s="8">
        <v>71695</v>
      </c>
      <c r="L615" s="1">
        <v>0</v>
      </c>
      <c r="M615" s="8">
        <f>TBL_Employees[[#This Row],[Annual Salary]]*TBL_Employees[[#This Row],[Bonus %]]</f>
        <v>0</v>
      </c>
      <c r="N615" s="8">
        <f>SUM(TBL_Employees[[#This Row],[Annual Salary]],TBL_Employees[[#This Row],[TOTAL BONUS]])</f>
        <v>71695</v>
      </c>
      <c r="O615" s="8">
        <f>TBL_Employees[[#This Row],[Annual Salary]]*TBL_Employees[[#This Row],[Bonus %]]/100+TBL_Employees[[#This Row],[Annual Salary]]</f>
        <v>71695</v>
      </c>
      <c r="P615" t="s">
        <v>19</v>
      </c>
      <c r="Q615" t="s">
        <v>39</v>
      </c>
      <c r="R615" s="6" t="s">
        <v>21</v>
      </c>
    </row>
    <row r="616" spans="1:18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 s="17"/>
      <c r="I616">
        <v>40</v>
      </c>
      <c r="J616" s="6">
        <v>41904</v>
      </c>
      <c r="K616" s="8">
        <v>73779</v>
      </c>
      <c r="L616" s="1">
        <v>0</v>
      </c>
      <c r="M616" s="8">
        <f>TBL_Employees[[#This Row],[Annual Salary]]*TBL_Employees[[#This Row],[Bonus %]]</f>
        <v>0</v>
      </c>
      <c r="N616" s="8">
        <f>SUM(TBL_Employees[[#This Row],[Annual Salary]],TBL_Employees[[#This Row],[TOTAL BONUS]])</f>
        <v>73779</v>
      </c>
      <c r="O616" s="8">
        <f>TBL_Employees[[#This Row],[Annual Salary]]*TBL_Employees[[#This Row],[Bonus %]]/100+TBL_Employees[[#This Row],[Annual Salary]]</f>
        <v>73779</v>
      </c>
      <c r="P616" t="s">
        <v>33</v>
      </c>
      <c r="Q616" t="s">
        <v>80</v>
      </c>
      <c r="R616" s="6">
        <v>43594</v>
      </c>
    </row>
    <row r="617" spans="1:18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 s="17"/>
      <c r="I617">
        <v>45</v>
      </c>
      <c r="J617" s="6">
        <v>40836</v>
      </c>
      <c r="K617" s="8">
        <v>123640</v>
      </c>
      <c r="L617" s="1">
        <v>7.0000000000000007E-2</v>
      </c>
      <c r="M617" s="8">
        <f>TBL_Employees[[#This Row],[Annual Salary]]*TBL_Employees[[#This Row],[Bonus %]]</f>
        <v>8654.8000000000011</v>
      </c>
      <c r="N617" s="8">
        <f>SUM(TBL_Employees[[#This Row],[Annual Salary]],TBL_Employees[[#This Row],[TOTAL BONUS]])</f>
        <v>132294.79999999999</v>
      </c>
      <c r="O617" s="8">
        <f>TBL_Employees[[#This Row],[Annual Salary]]*TBL_Employees[[#This Row],[Bonus %]]/100+TBL_Employees[[#This Row],[Annual Salary]]</f>
        <v>123726.548</v>
      </c>
      <c r="P617" t="s">
        <v>33</v>
      </c>
      <c r="Q617" t="s">
        <v>74</v>
      </c>
      <c r="R617" s="6" t="s">
        <v>21</v>
      </c>
    </row>
    <row r="618" spans="1:18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 s="17"/>
      <c r="I618">
        <v>33</v>
      </c>
      <c r="J618" s="6">
        <v>41742</v>
      </c>
      <c r="K618" s="8">
        <v>46878</v>
      </c>
      <c r="L618" s="1">
        <v>0</v>
      </c>
      <c r="M618" s="8">
        <f>TBL_Employees[[#This Row],[Annual Salary]]*TBL_Employees[[#This Row],[Bonus %]]</f>
        <v>0</v>
      </c>
      <c r="N618" s="8">
        <f>SUM(TBL_Employees[[#This Row],[Annual Salary]],TBL_Employees[[#This Row],[TOTAL BONUS]])</f>
        <v>46878</v>
      </c>
      <c r="O618" s="8">
        <f>TBL_Employees[[#This Row],[Annual Salary]]*TBL_Employees[[#This Row],[Bonus %]]/100+TBL_Employees[[#This Row],[Annual Salary]]</f>
        <v>46878</v>
      </c>
      <c r="P618" t="s">
        <v>19</v>
      </c>
      <c r="Q618" t="s">
        <v>45</v>
      </c>
      <c r="R618" s="6" t="s">
        <v>21</v>
      </c>
    </row>
    <row r="619" spans="1:18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 s="17"/>
      <c r="I619">
        <v>64</v>
      </c>
      <c r="J619" s="6">
        <v>37662</v>
      </c>
      <c r="K619" s="8">
        <v>57032</v>
      </c>
      <c r="L619" s="1">
        <v>0</v>
      </c>
      <c r="M619" s="8">
        <f>TBL_Employees[[#This Row],[Annual Salary]]*TBL_Employees[[#This Row],[Bonus %]]</f>
        <v>0</v>
      </c>
      <c r="N619" s="8">
        <f>SUM(TBL_Employees[[#This Row],[Annual Salary]],TBL_Employees[[#This Row],[TOTAL BONUS]])</f>
        <v>57032</v>
      </c>
      <c r="O619" s="8">
        <f>TBL_Employees[[#This Row],[Annual Salary]]*TBL_Employees[[#This Row],[Bonus %]]/100+TBL_Employees[[#This Row],[Annual Salary]]</f>
        <v>57032</v>
      </c>
      <c r="P619" t="s">
        <v>19</v>
      </c>
      <c r="Q619" t="s">
        <v>45</v>
      </c>
      <c r="R619" s="6" t="s">
        <v>21</v>
      </c>
    </row>
    <row r="620" spans="1:18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 s="17"/>
      <c r="I620">
        <v>57</v>
      </c>
      <c r="J620" s="6">
        <v>39357</v>
      </c>
      <c r="K620" s="8">
        <v>98150</v>
      </c>
      <c r="L620" s="1">
        <v>0</v>
      </c>
      <c r="M620" s="8">
        <f>TBL_Employees[[#This Row],[Annual Salary]]*TBL_Employees[[#This Row],[Bonus %]]</f>
        <v>0</v>
      </c>
      <c r="N620" s="8">
        <f>SUM(TBL_Employees[[#This Row],[Annual Salary]],TBL_Employees[[#This Row],[TOTAL BONUS]])</f>
        <v>98150</v>
      </c>
      <c r="O620" s="8">
        <f>TBL_Employees[[#This Row],[Annual Salary]]*TBL_Employees[[#This Row],[Bonus %]]/100+TBL_Employees[[#This Row],[Annual Salary]]</f>
        <v>98150</v>
      </c>
      <c r="P620" t="s">
        <v>52</v>
      </c>
      <c r="Q620" t="s">
        <v>66</v>
      </c>
      <c r="R620" s="6" t="s">
        <v>21</v>
      </c>
    </row>
    <row r="621" spans="1:18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 s="17"/>
      <c r="I621">
        <v>35</v>
      </c>
      <c r="J621" s="6">
        <v>42800</v>
      </c>
      <c r="K621" s="8">
        <v>171426</v>
      </c>
      <c r="L621" s="1">
        <v>0.15</v>
      </c>
      <c r="M621" s="8">
        <f>TBL_Employees[[#This Row],[Annual Salary]]*TBL_Employees[[#This Row],[Bonus %]]</f>
        <v>25713.899999999998</v>
      </c>
      <c r="N621" s="8">
        <f>SUM(TBL_Employees[[#This Row],[Annual Salary]],TBL_Employees[[#This Row],[TOTAL BONUS]])</f>
        <v>197139.9</v>
      </c>
      <c r="O621" s="8">
        <f>TBL_Employees[[#This Row],[Annual Salary]]*TBL_Employees[[#This Row],[Bonus %]]/100+TBL_Employees[[#This Row],[Annual Salary]]</f>
        <v>171683.139</v>
      </c>
      <c r="P621" t="s">
        <v>33</v>
      </c>
      <c r="Q621" t="s">
        <v>60</v>
      </c>
      <c r="R621" s="6">
        <v>43000</v>
      </c>
    </row>
    <row r="622" spans="1:18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 s="17"/>
      <c r="I622">
        <v>55</v>
      </c>
      <c r="J622" s="6">
        <v>44302</v>
      </c>
      <c r="K622" s="8">
        <v>48266</v>
      </c>
      <c r="L622" s="1">
        <v>0</v>
      </c>
      <c r="M622" s="8">
        <f>TBL_Employees[[#This Row],[Annual Salary]]*TBL_Employees[[#This Row],[Bonus %]]</f>
        <v>0</v>
      </c>
      <c r="N622" s="8">
        <f>SUM(TBL_Employees[[#This Row],[Annual Salary]],TBL_Employees[[#This Row],[TOTAL BONUS]])</f>
        <v>48266</v>
      </c>
      <c r="O622" s="8">
        <f>TBL_Employees[[#This Row],[Annual Salary]]*TBL_Employees[[#This Row],[Bonus %]]/100+TBL_Employees[[#This Row],[Annual Salary]]</f>
        <v>48266</v>
      </c>
      <c r="P622" t="s">
        <v>19</v>
      </c>
      <c r="Q622" t="s">
        <v>20</v>
      </c>
      <c r="R622" s="6" t="s">
        <v>21</v>
      </c>
    </row>
    <row r="623" spans="1:18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 s="17"/>
      <c r="I623">
        <v>36</v>
      </c>
      <c r="J623" s="6">
        <v>43330</v>
      </c>
      <c r="K623" s="8">
        <v>223404</v>
      </c>
      <c r="L623" s="1">
        <v>0.32</v>
      </c>
      <c r="M623" s="8">
        <f>TBL_Employees[[#This Row],[Annual Salary]]*TBL_Employees[[#This Row],[Bonus %]]</f>
        <v>71489.279999999999</v>
      </c>
      <c r="N623" s="8">
        <f>SUM(TBL_Employees[[#This Row],[Annual Salary]],TBL_Employees[[#This Row],[TOTAL BONUS]])</f>
        <v>294893.28000000003</v>
      </c>
      <c r="O623" s="8">
        <f>TBL_Employees[[#This Row],[Annual Salary]]*TBL_Employees[[#This Row],[Bonus %]]/100+TBL_Employees[[#This Row],[Annual Salary]]</f>
        <v>224118.8928</v>
      </c>
      <c r="P623" t="s">
        <v>19</v>
      </c>
      <c r="Q623" t="s">
        <v>29</v>
      </c>
      <c r="R623" s="6" t="s">
        <v>21</v>
      </c>
    </row>
    <row r="624" spans="1:18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 s="17"/>
      <c r="I624">
        <v>57</v>
      </c>
      <c r="J624" s="6">
        <v>41649</v>
      </c>
      <c r="K624" s="8">
        <v>74854</v>
      </c>
      <c r="L624" s="1">
        <v>0</v>
      </c>
      <c r="M624" s="8">
        <f>TBL_Employees[[#This Row],[Annual Salary]]*TBL_Employees[[#This Row],[Bonus %]]</f>
        <v>0</v>
      </c>
      <c r="N624" s="8">
        <f>SUM(TBL_Employees[[#This Row],[Annual Salary]],TBL_Employees[[#This Row],[TOTAL BONUS]])</f>
        <v>74854</v>
      </c>
      <c r="O624" s="8">
        <f>TBL_Employees[[#This Row],[Annual Salary]]*TBL_Employees[[#This Row],[Bonus %]]/100+TBL_Employees[[#This Row],[Annual Salary]]</f>
        <v>74854</v>
      </c>
      <c r="P624" t="s">
        <v>19</v>
      </c>
      <c r="Q624" t="s">
        <v>63</v>
      </c>
      <c r="R624" s="6" t="s">
        <v>21</v>
      </c>
    </row>
    <row r="625" spans="1:18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 s="17"/>
      <c r="I625">
        <v>48</v>
      </c>
      <c r="J625" s="6">
        <v>39197</v>
      </c>
      <c r="K625" s="8">
        <v>217783</v>
      </c>
      <c r="L625" s="1">
        <v>0.36</v>
      </c>
      <c r="M625" s="8">
        <f>TBL_Employees[[#This Row],[Annual Salary]]*TBL_Employees[[#This Row],[Bonus %]]</f>
        <v>78401.87999999999</v>
      </c>
      <c r="N625" s="8">
        <f>SUM(TBL_Employees[[#This Row],[Annual Salary]],TBL_Employees[[#This Row],[TOTAL BONUS]])</f>
        <v>296184.88</v>
      </c>
      <c r="O625" s="8">
        <f>TBL_Employees[[#This Row],[Annual Salary]]*TBL_Employees[[#This Row],[Bonus %]]/100+TBL_Employees[[#This Row],[Annual Salary]]</f>
        <v>218567.01879999999</v>
      </c>
      <c r="P625" t="s">
        <v>19</v>
      </c>
      <c r="Q625" t="s">
        <v>63</v>
      </c>
      <c r="R625" s="6" t="s">
        <v>21</v>
      </c>
    </row>
    <row r="626" spans="1:18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 s="17"/>
      <c r="I626">
        <v>53</v>
      </c>
      <c r="J626" s="6">
        <v>38214</v>
      </c>
      <c r="K626" s="8">
        <v>44735</v>
      </c>
      <c r="L626" s="1">
        <v>0</v>
      </c>
      <c r="M626" s="8">
        <f>TBL_Employees[[#This Row],[Annual Salary]]*TBL_Employees[[#This Row],[Bonus %]]</f>
        <v>0</v>
      </c>
      <c r="N626" s="8">
        <f>SUM(TBL_Employees[[#This Row],[Annual Salary]],TBL_Employees[[#This Row],[TOTAL BONUS]])</f>
        <v>44735</v>
      </c>
      <c r="O626" s="8">
        <f>TBL_Employees[[#This Row],[Annual Salary]]*TBL_Employees[[#This Row],[Bonus %]]/100+TBL_Employees[[#This Row],[Annual Salary]]</f>
        <v>44735</v>
      </c>
      <c r="P626" t="s">
        <v>52</v>
      </c>
      <c r="Q626" t="s">
        <v>81</v>
      </c>
      <c r="R626" s="6" t="s">
        <v>21</v>
      </c>
    </row>
    <row r="627" spans="1:18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 s="17"/>
      <c r="I627">
        <v>41</v>
      </c>
      <c r="J627" s="6">
        <v>39091</v>
      </c>
      <c r="K627" s="8">
        <v>50685</v>
      </c>
      <c r="L627" s="1">
        <v>0</v>
      </c>
      <c r="M627" s="8">
        <f>TBL_Employees[[#This Row],[Annual Salary]]*TBL_Employees[[#This Row],[Bonus %]]</f>
        <v>0</v>
      </c>
      <c r="N627" s="8">
        <f>SUM(TBL_Employees[[#This Row],[Annual Salary]],TBL_Employees[[#This Row],[TOTAL BONUS]])</f>
        <v>50685</v>
      </c>
      <c r="O627" s="8">
        <f>TBL_Employees[[#This Row],[Annual Salary]]*TBL_Employees[[#This Row],[Bonus %]]/100+TBL_Employees[[#This Row],[Annual Salary]]</f>
        <v>50685</v>
      </c>
      <c r="P627" t="s">
        <v>19</v>
      </c>
      <c r="Q627" t="s">
        <v>29</v>
      </c>
      <c r="R627" s="6" t="s">
        <v>21</v>
      </c>
    </row>
    <row r="628" spans="1:18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 s="17"/>
      <c r="I628">
        <v>34</v>
      </c>
      <c r="J628" s="6">
        <v>43169</v>
      </c>
      <c r="K628" s="8">
        <v>58993</v>
      </c>
      <c r="L628" s="1">
        <v>0</v>
      </c>
      <c r="M628" s="8">
        <f>TBL_Employees[[#This Row],[Annual Salary]]*TBL_Employees[[#This Row],[Bonus %]]</f>
        <v>0</v>
      </c>
      <c r="N628" s="8">
        <f>SUM(TBL_Employees[[#This Row],[Annual Salary]],TBL_Employees[[#This Row],[TOTAL BONUS]])</f>
        <v>58993</v>
      </c>
      <c r="O628" s="8">
        <f>TBL_Employees[[#This Row],[Annual Salary]]*TBL_Employees[[#This Row],[Bonus %]]/100+TBL_Employees[[#This Row],[Annual Salary]]</f>
        <v>58993</v>
      </c>
      <c r="P628" t="s">
        <v>19</v>
      </c>
      <c r="Q628" t="s">
        <v>25</v>
      </c>
      <c r="R628" s="6" t="s">
        <v>21</v>
      </c>
    </row>
    <row r="629" spans="1:18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 s="17"/>
      <c r="I629">
        <v>47</v>
      </c>
      <c r="J629" s="6">
        <v>43990</v>
      </c>
      <c r="K629" s="8">
        <v>115765</v>
      </c>
      <c r="L629" s="1">
        <v>0</v>
      </c>
      <c r="M629" s="8">
        <f>TBL_Employees[[#This Row],[Annual Salary]]*TBL_Employees[[#This Row],[Bonus %]]</f>
        <v>0</v>
      </c>
      <c r="N629" s="8">
        <f>SUM(TBL_Employees[[#This Row],[Annual Salary]],TBL_Employees[[#This Row],[TOTAL BONUS]])</f>
        <v>115765</v>
      </c>
      <c r="O629" s="8">
        <f>TBL_Employees[[#This Row],[Annual Salary]]*TBL_Employees[[#This Row],[Bonus %]]/100+TBL_Employees[[#This Row],[Annual Salary]]</f>
        <v>115765</v>
      </c>
      <c r="P629" t="s">
        <v>19</v>
      </c>
      <c r="Q629" t="s">
        <v>45</v>
      </c>
      <c r="R629" s="6">
        <v>44229</v>
      </c>
    </row>
    <row r="630" spans="1:18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 s="17"/>
      <c r="I630">
        <v>63</v>
      </c>
      <c r="J630" s="6">
        <v>39147</v>
      </c>
      <c r="K630" s="8">
        <v>193044</v>
      </c>
      <c r="L630" s="1">
        <v>0.15</v>
      </c>
      <c r="M630" s="8">
        <f>TBL_Employees[[#This Row],[Annual Salary]]*TBL_Employees[[#This Row],[Bonus %]]</f>
        <v>28956.6</v>
      </c>
      <c r="N630" s="8">
        <f>SUM(TBL_Employees[[#This Row],[Annual Salary]],TBL_Employees[[#This Row],[TOTAL BONUS]])</f>
        <v>222000.6</v>
      </c>
      <c r="O630" s="8">
        <f>TBL_Employees[[#This Row],[Annual Salary]]*TBL_Employees[[#This Row],[Bonus %]]/100+TBL_Employees[[#This Row],[Annual Salary]]</f>
        <v>193333.56599999999</v>
      </c>
      <c r="P630" t="s">
        <v>19</v>
      </c>
      <c r="Q630" t="s">
        <v>45</v>
      </c>
      <c r="R630" s="6" t="s">
        <v>21</v>
      </c>
    </row>
    <row r="631" spans="1:18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 s="17"/>
      <c r="I631">
        <v>65</v>
      </c>
      <c r="J631" s="6">
        <v>40711</v>
      </c>
      <c r="K631" s="8">
        <v>56686</v>
      </c>
      <c r="L631" s="1">
        <v>0</v>
      </c>
      <c r="M631" s="8">
        <f>TBL_Employees[[#This Row],[Annual Salary]]*TBL_Employees[[#This Row],[Bonus %]]</f>
        <v>0</v>
      </c>
      <c r="N631" s="8">
        <f>SUM(TBL_Employees[[#This Row],[Annual Salary]],TBL_Employees[[#This Row],[TOTAL BONUS]])</f>
        <v>56686</v>
      </c>
      <c r="O631" s="8">
        <f>TBL_Employees[[#This Row],[Annual Salary]]*TBL_Employees[[#This Row],[Bonus %]]/100+TBL_Employees[[#This Row],[Annual Salary]]</f>
        <v>56686</v>
      </c>
      <c r="P631" t="s">
        <v>19</v>
      </c>
      <c r="Q631" t="s">
        <v>63</v>
      </c>
      <c r="R631" s="6">
        <v>42164</v>
      </c>
    </row>
    <row r="632" spans="1:18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 s="17"/>
      <c r="I632">
        <v>33</v>
      </c>
      <c r="J632" s="6">
        <v>43763</v>
      </c>
      <c r="K632" s="8">
        <v>131652</v>
      </c>
      <c r="L632" s="1">
        <v>0.11</v>
      </c>
      <c r="M632" s="8">
        <f>TBL_Employees[[#This Row],[Annual Salary]]*TBL_Employees[[#This Row],[Bonus %]]</f>
        <v>14481.72</v>
      </c>
      <c r="N632" s="8">
        <f>SUM(TBL_Employees[[#This Row],[Annual Salary]],TBL_Employees[[#This Row],[TOTAL BONUS]])</f>
        <v>146133.72</v>
      </c>
      <c r="O632" s="8">
        <f>TBL_Employees[[#This Row],[Annual Salary]]*TBL_Employees[[#This Row],[Bonus %]]/100+TBL_Employees[[#This Row],[Annual Salary]]</f>
        <v>131796.81719999999</v>
      </c>
      <c r="P632" t="s">
        <v>19</v>
      </c>
      <c r="Q632" t="s">
        <v>63</v>
      </c>
      <c r="R632" s="6" t="s">
        <v>21</v>
      </c>
    </row>
    <row r="633" spans="1:18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 s="17"/>
      <c r="I633">
        <v>45</v>
      </c>
      <c r="J633" s="6">
        <v>39507</v>
      </c>
      <c r="K633" s="8">
        <v>150577</v>
      </c>
      <c r="L633" s="1">
        <v>0.25</v>
      </c>
      <c r="M633" s="8">
        <f>TBL_Employees[[#This Row],[Annual Salary]]*TBL_Employees[[#This Row],[Bonus %]]</f>
        <v>37644.25</v>
      </c>
      <c r="N633" s="8">
        <f>SUM(TBL_Employees[[#This Row],[Annual Salary]],TBL_Employees[[#This Row],[TOTAL BONUS]])</f>
        <v>188221.25</v>
      </c>
      <c r="O633" s="8">
        <f>TBL_Employees[[#This Row],[Annual Salary]]*TBL_Employees[[#This Row],[Bonus %]]/100+TBL_Employees[[#This Row],[Annual Salary]]</f>
        <v>150953.4425</v>
      </c>
      <c r="P633" t="s">
        <v>19</v>
      </c>
      <c r="Q633" t="s">
        <v>45</v>
      </c>
      <c r="R633" s="6" t="s">
        <v>21</v>
      </c>
    </row>
    <row r="634" spans="1:18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 s="17"/>
      <c r="I634">
        <v>37</v>
      </c>
      <c r="J634" s="6">
        <v>43461</v>
      </c>
      <c r="K634" s="8">
        <v>87359</v>
      </c>
      <c r="L634" s="1">
        <v>0.11</v>
      </c>
      <c r="M634" s="8">
        <f>TBL_Employees[[#This Row],[Annual Salary]]*TBL_Employees[[#This Row],[Bonus %]]</f>
        <v>9609.49</v>
      </c>
      <c r="N634" s="8">
        <f>SUM(TBL_Employees[[#This Row],[Annual Salary]],TBL_Employees[[#This Row],[TOTAL BONUS]])</f>
        <v>96968.49</v>
      </c>
      <c r="O634" s="8">
        <f>TBL_Employees[[#This Row],[Annual Salary]]*TBL_Employees[[#This Row],[Bonus %]]/100+TBL_Employees[[#This Row],[Annual Salary]]</f>
        <v>87455.094899999996</v>
      </c>
      <c r="P634" t="s">
        <v>52</v>
      </c>
      <c r="Q634" t="s">
        <v>66</v>
      </c>
      <c r="R634" s="6" t="s">
        <v>21</v>
      </c>
    </row>
    <row r="635" spans="1:18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 s="17"/>
      <c r="I635">
        <v>60</v>
      </c>
      <c r="J635" s="6">
        <v>41647</v>
      </c>
      <c r="K635" s="8">
        <v>51877</v>
      </c>
      <c r="L635" s="1">
        <v>0</v>
      </c>
      <c r="M635" s="8">
        <f>TBL_Employees[[#This Row],[Annual Salary]]*TBL_Employees[[#This Row],[Bonus %]]</f>
        <v>0</v>
      </c>
      <c r="N635" s="8">
        <f>SUM(TBL_Employees[[#This Row],[Annual Salary]],TBL_Employees[[#This Row],[TOTAL BONUS]])</f>
        <v>51877</v>
      </c>
      <c r="O635" s="8">
        <f>TBL_Employees[[#This Row],[Annual Salary]]*TBL_Employees[[#This Row],[Bonus %]]/100+TBL_Employees[[#This Row],[Annual Salary]]</f>
        <v>51877</v>
      </c>
      <c r="P635" t="s">
        <v>33</v>
      </c>
      <c r="Q635" t="s">
        <v>60</v>
      </c>
      <c r="R635" s="6" t="s">
        <v>21</v>
      </c>
    </row>
    <row r="636" spans="1:18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 s="17"/>
      <c r="I636">
        <v>43</v>
      </c>
      <c r="J636" s="6">
        <v>42753</v>
      </c>
      <c r="K636" s="8">
        <v>86417</v>
      </c>
      <c r="L636" s="1">
        <v>0</v>
      </c>
      <c r="M636" s="8">
        <f>TBL_Employees[[#This Row],[Annual Salary]]*TBL_Employees[[#This Row],[Bonus %]]</f>
        <v>0</v>
      </c>
      <c r="N636" s="8">
        <f>SUM(TBL_Employees[[#This Row],[Annual Salary]],TBL_Employees[[#This Row],[TOTAL BONUS]])</f>
        <v>86417</v>
      </c>
      <c r="O636" s="8">
        <f>TBL_Employees[[#This Row],[Annual Salary]]*TBL_Employees[[#This Row],[Bonus %]]/100+TBL_Employees[[#This Row],[Annual Salary]]</f>
        <v>86417</v>
      </c>
      <c r="P636" t="s">
        <v>19</v>
      </c>
      <c r="Q636" t="s">
        <v>20</v>
      </c>
      <c r="R636" s="6" t="s">
        <v>21</v>
      </c>
    </row>
    <row r="637" spans="1:18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 s="17"/>
      <c r="I637">
        <v>65</v>
      </c>
      <c r="J637" s="6">
        <v>37749</v>
      </c>
      <c r="K637" s="8">
        <v>96548</v>
      </c>
      <c r="L637" s="1">
        <v>0</v>
      </c>
      <c r="M637" s="8">
        <f>TBL_Employees[[#This Row],[Annual Salary]]*TBL_Employees[[#This Row],[Bonus %]]</f>
        <v>0</v>
      </c>
      <c r="N637" s="8">
        <f>SUM(TBL_Employees[[#This Row],[Annual Salary]],TBL_Employees[[#This Row],[TOTAL BONUS]])</f>
        <v>96548</v>
      </c>
      <c r="O637" s="8">
        <f>TBL_Employees[[#This Row],[Annual Salary]]*TBL_Employees[[#This Row],[Bonus %]]/100+TBL_Employees[[#This Row],[Annual Salary]]</f>
        <v>96548</v>
      </c>
      <c r="P637" t="s">
        <v>19</v>
      </c>
      <c r="Q637" t="s">
        <v>25</v>
      </c>
      <c r="R637" s="6" t="s">
        <v>21</v>
      </c>
    </row>
    <row r="638" spans="1:18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 s="17"/>
      <c r="I638">
        <v>43</v>
      </c>
      <c r="J638" s="6">
        <v>41662</v>
      </c>
      <c r="K638" s="8">
        <v>92940</v>
      </c>
      <c r="L638" s="1">
        <v>0</v>
      </c>
      <c r="M638" s="8">
        <f>TBL_Employees[[#This Row],[Annual Salary]]*TBL_Employees[[#This Row],[Bonus %]]</f>
        <v>0</v>
      </c>
      <c r="N638" s="8">
        <f>SUM(TBL_Employees[[#This Row],[Annual Salary]],TBL_Employees[[#This Row],[TOTAL BONUS]])</f>
        <v>92940</v>
      </c>
      <c r="O638" s="8">
        <f>TBL_Employees[[#This Row],[Annual Salary]]*TBL_Employees[[#This Row],[Bonus %]]/100+TBL_Employees[[#This Row],[Annual Salary]]</f>
        <v>92940</v>
      </c>
      <c r="P638" t="s">
        <v>33</v>
      </c>
      <c r="Q638" t="s">
        <v>34</v>
      </c>
      <c r="R638" s="6" t="s">
        <v>21</v>
      </c>
    </row>
    <row r="639" spans="1:18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 s="17"/>
      <c r="I639">
        <v>28</v>
      </c>
      <c r="J639" s="6">
        <v>43336</v>
      </c>
      <c r="K639" s="8">
        <v>61410</v>
      </c>
      <c r="L639" s="1">
        <v>0</v>
      </c>
      <c r="M639" s="8">
        <f>TBL_Employees[[#This Row],[Annual Salary]]*TBL_Employees[[#This Row],[Bonus %]]</f>
        <v>0</v>
      </c>
      <c r="N639" s="8">
        <f>SUM(TBL_Employees[[#This Row],[Annual Salary]],TBL_Employees[[#This Row],[TOTAL BONUS]])</f>
        <v>61410</v>
      </c>
      <c r="O639" s="8">
        <f>TBL_Employees[[#This Row],[Annual Salary]]*TBL_Employees[[#This Row],[Bonus %]]/100+TBL_Employees[[#This Row],[Annual Salary]]</f>
        <v>61410</v>
      </c>
      <c r="P639" t="s">
        <v>19</v>
      </c>
      <c r="Q639" t="s">
        <v>39</v>
      </c>
      <c r="R639" s="6" t="s">
        <v>21</v>
      </c>
    </row>
    <row r="640" spans="1:18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 s="17"/>
      <c r="I640">
        <v>61</v>
      </c>
      <c r="J640" s="6">
        <v>40293</v>
      </c>
      <c r="K640" s="8">
        <v>110302</v>
      </c>
      <c r="L640" s="1">
        <v>0.06</v>
      </c>
      <c r="M640" s="8">
        <f>TBL_Employees[[#This Row],[Annual Salary]]*TBL_Employees[[#This Row],[Bonus %]]</f>
        <v>6618.12</v>
      </c>
      <c r="N640" s="8">
        <f>SUM(TBL_Employees[[#This Row],[Annual Salary]],TBL_Employees[[#This Row],[TOTAL BONUS]])</f>
        <v>116920.12</v>
      </c>
      <c r="O640" s="8">
        <f>TBL_Employees[[#This Row],[Annual Salary]]*TBL_Employees[[#This Row],[Bonus %]]/100+TBL_Employees[[#This Row],[Annual Salary]]</f>
        <v>110368.18120000001</v>
      </c>
      <c r="P640" t="s">
        <v>19</v>
      </c>
      <c r="Q640" t="s">
        <v>45</v>
      </c>
      <c r="R640" s="6" t="s">
        <v>21</v>
      </c>
    </row>
    <row r="641" spans="1:18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 s="17"/>
      <c r="I641">
        <v>45</v>
      </c>
      <c r="J641" s="6">
        <v>43212</v>
      </c>
      <c r="K641" s="8">
        <v>187205</v>
      </c>
      <c r="L641" s="1">
        <v>0.24</v>
      </c>
      <c r="M641" s="8">
        <f>TBL_Employees[[#This Row],[Annual Salary]]*TBL_Employees[[#This Row],[Bonus %]]</f>
        <v>44929.2</v>
      </c>
      <c r="N641" s="8">
        <f>SUM(TBL_Employees[[#This Row],[Annual Salary]],TBL_Employees[[#This Row],[TOTAL BONUS]])</f>
        <v>232134.2</v>
      </c>
      <c r="O641" s="8">
        <f>TBL_Employees[[#This Row],[Annual Salary]]*TBL_Employees[[#This Row],[Bonus %]]/100+TBL_Employees[[#This Row],[Annual Salary]]</f>
        <v>187654.29199999999</v>
      </c>
      <c r="P641" t="s">
        <v>19</v>
      </c>
      <c r="Q641" t="s">
        <v>29</v>
      </c>
      <c r="R641" s="6">
        <v>44732</v>
      </c>
    </row>
    <row r="642" spans="1:18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 s="17"/>
      <c r="I642">
        <v>45</v>
      </c>
      <c r="J642" s="6">
        <v>40618</v>
      </c>
      <c r="K642" s="8">
        <v>81687</v>
      </c>
      <c r="L642" s="1">
        <v>0</v>
      </c>
      <c r="M642" s="8">
        <f>TBL_Employees[[#This Row],[Annual Salary]]*TBL_Employees[[#This Row],[Bonus %]]</f>
        <v>0</v>
      </c>
      <c r="N642" s="8">
        <f>SUM(TBL_Employees[[#This Row],[Annual Salary]],TBL_Employees[[#This Row],[TOTAL BONUS]])</f>
        <v>81687</v>
      </c>
      <c r="O642" s="8">
        <f>TBL_Employees[[#This Row],[Annual Salary]]*TBL_Employees[[#This Row],[Bonus %]]/100+TBL_Employees[[#This Row],[Annual Salary]]</f>
        <v>81687</v>
      </c>
      <c r="P642" t="s">
        <v>19</v>
      </c>
      <c r="Q642" t="s">
        <v>39</v>
      </c>
      <c r="R642" s="6" t="s">
        <v>21</v>
      </c>
    </row>
    <row r="643" spans="1:18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 s="17"/>
      <c r="I643">
        <v>54</v>
      </c>
      <c r="J643" s="6">
        <v>40040</v>
      </c>
      <c r="K643" s="8">
        <v>241083</v>
      </c>
      <c r="L643" s="1">
        <v>0.39</v>
      </c>
      <c r="M643" s="8">
        <f>TBL_Employees[[#This Row],[Annual Salary]]*TBL_Employees[[#This Row],[Bonus %]]</f>
        <v>94022.37000000001</v>
      </c>
      <c r="N643" s="8">
        <f>SUM(TBL_Employees[[#This Row],[Annual Salary]],TBL_Employees[[#This Row],[TOTAL BONUS]])</f>
        <v>335105.37</v>
      </c>
      <c r="O643" s="8">
        <f>TBL_Employees[[#This Row],[Annual Salary]]*TBL_Employees[[#This Row],[Bonus %]]/100+TBL_Employees[[#This Row],[Annual Salary]]</f>
        <v>242023.2237</v>
      </c>
      <c r="P643" t="s">
        <v>19</v>
      </c>
      <c r="Q643" t="s">
        <v>29</v>
      </c>
      <c r="R643" s="6" t="s">
        <v>21</v>
      </c>
    </row>
    <row r="644" spans="1:18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 s="17"/>
      <c r="I644">
        <v>38</v>
      </c>
      <c r="J644" s="6">
        <v>43413</v>
      </c>
      <c r="K644" s="8">
        <v>223805</v>
      </c>
      <c r="L644" s="1">
        <v>0.36</v>
      </c>
      <c r="M644" s="8">
        <f>TBL_Employees[[#This Row],[Annual Salary]]*TBL_Employees[[#This Row],[Bonus %]]</f>
        <v>80569.8</v>
      </c>
      <c r="N644" s="8">
        <f>SUM(TBL_Employees[[#This Row],[Annual Salary]],TBL_Employees[[#This Row],[TOTAL BONUS]])</f>
        <v>304374.8</v>
      </c>
      <c r="O644" s="8">
        <f>TBL_Employees[[#This Row],[Annual Salary]]*TBL_Employees[[#This Row],[Bonus %]]/100+TBL_Employees[[#This Row],[Annual Salary]]</f>
        <v>224610.698</v>
      </c>
      <c r="P644" t="s">
        <v>19</v>
      </c>
      <c r="Q644" t="s">
        <v>20</v>
      </c>
      <c r="R644" s="6" t="s">
        <v>21</v>
      </c>
    </row>
    <row r="645" spans="1:18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 s="17"/>
      <c r="I645">
        <v>27</v>
      </c>
      <c r="J645" s="6">
        <v>44393</v>
      </c>
      <c r="K645" s="8">
        <v>161759</v>
      </c>
      <c r="L645" s="1">
        <v>0.16</v>
      </c>
      <c r="M645" s="8">
        <f>TBL_Employees[[#This Row],[Annual Salary]]*TBL_Employees[[#This Row],[Bonus %]]</f>
        <v>25881.440000000002</v>
      </c>
      <c r="N645" s="8">
        <f>SUM(TBL_Employees[[#This Row],[Annual Salary]],TBL_Employees[[#This Row],[TOTAL BONUS]])</f>
        <v>187640.44</v>
      </c>
      <c r="O645" s="8">
        <f>TBL_Employees[[#This Row],[Annual Salary]]*TBL_Employees[[#This Row],[Bonus %]]/100+TBL_Employees[[#This Row],[Annual Salary]]</f>
        <v>162017.8144</v>
      </c>
      <c r="P645" t="s">
        <v>19</v>
      </c>
      <c r="Q645" t="s">
        <v>45</v>
      </c>
      <c r="R645" s="6" t="s">
        <v>21</v>
      </c>
    </row>
    <row r="646" spans="1:18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 s="17"/>
      <c r="I646">
        <v>40</v>
      </c>
      <c r="J646" s="6">
        <v>43520</v>
      </c>
      <c r="K646" s="8">
        <v>95899</v>
      </c>
      <c r="L646" s="1">
        <v>0.1</v>
      </c>
      <c r="M646" s="8">
        <f>TBL_Employees[[#This Row],[Annual Salary]]*TBL_Employees[[#This Row],[Bonus %]]</f>
        <v>9589.9</v>
      </c>
      <c r="N646" s="8">
        <f>SUM(TBL_Employees[[#This Row],[Annual Salary]],TBL_Employees[[#This Row],[TOTAL BONUS]])</f>
        <v>105488.9</v>
      </c>
      <c r="O646" s="8">
        <f>TBL_Employees[[#This Row],[Annual Salary]]*TBL_Employees[[#This Row],[Bonus %]]/100+TBL_Employees[[#This Row],[Annual Salary]]</f>
        <v>95994.899000000005</v>
      </c>
      <c r="P646" t="s">
        <v>19</v>
      </c>
      <c r="Q646" t="s">
        <v>29</v>
      </c>
      <c r="R646" s="6">
        <v>44263</v>
      </c>
    </row>
    <row r="647" spans="1:18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 s="17"/>
      <c r="I647">
        <v>49</v>
      </c>
      <c r="J647" s="6">
        <v>43623</v>
      </c>
      <c r="K647" s="8">
        <v>80700</v>
      </c>
      <c r="L647" s="1">
        <v>0</v>
      </c>
      <c r="M647" s="8">
        <f>TBL_Employees[[#This Row],[Annual Salary]]*TBL_Employees[[#This Row],[Bonus %]]</f>
        <v>0</v>
      </c>
      <c r="N647" s="8">
        <f>SUM(TBL_Employees[[#This Row],[Annual Salary]],TBL_Employees[[#This Row],[TOTAL BONUS]])</f>
        <v>80700</v>
      </c>
      <c r="O647" s="8">
        <f>TBL_Employees[[#This Row],[Annual Salary]]*TBL_Employees[[#This Row],[Bonus %]]/100+TBL_Employees[[#This Row],[Annual Salary]]</f>
        <v>80700</v>
      </c>
      <c r="P647" t="s">
        <v>19</v>
      </c>
      <c r="Q647" t="s">
        <v>29</v>
      </c>
      <c r="R647" s="6" t="s">
        <v>21</v>
      </c>
    </row>
    <row r="648" spans="1:18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 s="17"/>
      <c r="I648">
        <v>54</v>
      </c>
      <c r="J648" s="6">
        <v>35500</v>
      </c>
      <c r="K648" s="8">
        <v>128136</v>
      </c>
      <c r="L648" s="1">
        <v>0.05</v>
      </c>
      <c r="M648" s="8">
        <f>TBL_Employees[[#This Row],[Annual Salary]]*TBL_Employees[[#This Row],[Bonus %]]</f>
        <v>6406.8</v>
      </c>
      <c r="N648" s="8">
        <f>SUM(TBL_Employees[[#This Row],[Annual Salary]],TBL_Employees[[#This Row],[TOTAL BONUS]])</f>
        <v>134542.79999999999</v>
      </c>
      <c r="O648" s="8">
        <f>TBL_Employees[[#This Row],[Annual Salary]]*TBL_Employees[[#This Row],[Bonus %]]/100+TBL_Employees[[#This Row],[Annual Salary]]</f>
        <v>128200.068</v>
      </c>
      <c r="P648" t="s">
        <v>33</v>
      </c>
      <c r="Q648" t="s">
        <v>60</v>
      </c>
      <c r="R648" s="6" t="s">
        <v>21</v>
      </c>
    </row>
    <row r="649" spans="1:18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 s="17"/>
      <c r="I649">
        <v>39</v>
      </c>
      <c r="J649" s="6">
        <v>42843</v>
      </c>
      <c r="K649" s="8">
        <v>58745</v>
      </c>
      <c r="L649" s="1">
        <v>0</v>
      </c>
      <c r="M649" s="8">
        <f>TBL_Employees[[#This Row],[Annual Salary]]*TBL_Employees[[#This Row],[Bonus %]]</f>
        <v>0</v>
      </c>
      <c r="N649" s="8">
        <f>SUM(TBL_Employees[[#This Row],[Annual Salary]],TBL_Employees[[#This Row],[TOTAL BONUS]])</f>
        <v>58745</v>
      </c>
      <c r="O649" s="8">
        <f>TBL_Employees[[#This Row],[Annual Salary]]*TBL_Employees[[#This Row],[Bonus %]]/100+TBL_Employees[[#This Row],[Annual Salary]]</f>
        <v>58745</v>
      </c>
      <c r="P649" t="s">
        <v>19</v>
      </c>
      <c r="Q649" t="s">
        <v>25</v>
      </c>
      <c r="R649" s="6" t="s">
        <v>21</v>
      </c>
    </row>
    <row r="650" spans="1:18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 s="17"/>
      <c r="I650">
        <v>57</v>
      </c>
      <c r="J650" s="6">
        <v>33728</v>
      </c>
      <c r="K650" s="8">
        <v>76202</v>
      </c>
      <c r="L650" s="1">
        <v>0</v>
      </c>
      <c r="M650" s="8">
        <f>TBL_Employees[[#This Row],[Annual Salary]]*TBL_Employees[[#This Row],[Bonus %]]</f>
        <v>0</v>
      </c>
      <c r="N650" s="8">
        <f>SUM(TBL_Employees[[#This Row],[Annual Salary]],TBL_Employees[[#This Row],[TOTAL BONUS]])</f>
        <v>76202</v>
      </c>
      <c r="O650" s="8">
        <f>TBL_Employees[[#This Row],[Annual Salary]]*TBL_Employees[[#This Row],[Bonus %]]/100+TBL_Employees[[#This Row],[Annual Salary]]</f>
        <v>76202</v>
      </c>
      <c r="P650" t="s">
        <v>19</v>
      </c>
      <c r="Q650" t="s">
        <v>25</v>
      </c>
      <c r="R650" s="6">
        <v>34686</v>
      </c>
    </row>
    <row r="651" spans="1:18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 s="17"/>
      <c r="I651">
        <v>36</v>
      </c>
      <c r="J651" s="6">
        <v>43178</v>
      </c>
      <c r="K651" s="8">
        <v>195200</v>
      </c>
      <c r="L651" s="1">
        <v>0.36</v>
      </c>
      <c r="M651" s="8">
        <f>TBL_Employees[[#This Row],[Annual Salary]]*TBL_Employees[[#This Row],[Bonus %]]</f>
        <v>70272</v>
      </c>
      <c r="N651" s="8">
        <f>SUM(TBL_Employees[[#This Row],[Annual Salary]],TBL_Employees[[#This Row],[TOTAL BONUS]])</f>
        <v>265472</v>
      </c>
      <c r="O651" s="8">
        <f>TBL_Employees[[#This Row],[Annual Salary]]*TBL_Employees[[#This Row],[Bonus %]]/100+TBL_Employees[[#This Row],[Annual Salary]]</f>
        <v>195902.72</v>
      </c>
      <c r="P651" t="s">
        <v>19</v>
      </c>
      <c r="Q651" t="s">
        <v>25</v>
      </c>
      <c r="R651" s="6" t="s">
        <v>21</v>
      </c>
    </row>
    <row r="652" spans="1:18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 s="17"/>
      <c r="I652">
        <v>45</v>
      </c>
      <c r="J652" s="6">
        <v>42711</v>
      </c>
      <c r="K652" s="8">
        <v>71454</v>
      </c>
      <c r="L652" s="1">
        <v>0</v>
      </c>
      <c r="M652" s="8">
        <f>TBL_Employees[[#This Row],[Annual Salary]]*TBL_Employees[[#This Row],[Bonus %]]</f>
        <v>0</v>
      </c>
      <c r="N652" s="8">
        <f>SUM(TBL_Employees[[#This Row],[Annual Salary]],TBL_Employees[[#This Row],[TOTAL BONUS]])</f>
        <v>71454</v>
      </c>
      <c r="O652" s="8">
        <f>TBL_Employees[[#This Row],[Annual Salary]]*TBL_Employees[[#This Row],[Bonus %]]/100+TBL_Employees[[#This Row],[Annual Salary]]</f>
        <v>71454</v>
      </c>
      <c r="P652" t="s">
        <v>33</v>
      </c>
      <c r="Q652" t="s">
        <v>74</v>
      </c>
      <c r="R652" s="6" t="s">
        <v>21</v>
      </c>
    </row>
    <row r="653" spans="1:18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 s="17"/>
      <c r="I653">
        <v>30</v>
      </c>
      <c r="J653" s="6">
        <v>43864</v>
      </c>
      <c r="K653" s="8">
        <v>94652</v>
      </c>
      <c r="L653" s="1">
        <v>0</v>
      </c>
      <c r="M653" s="8">
        <f>TBL_Employees[[#This Row],[Annual Salary]]*TBL_Employees[[#This Row],[Bonus %]]</f>
        <v>0</v>
      </c>
      <c r="N653" s="8">
        <f>SUM(TBL_Employees[[#This Row],[Annual Salary]],TBL_Employees[[#This Row],[TOTAL BONUS]])</f>
        <v>94652</v>
      </c>
      <c r="O653" s="8">
        <f>TBL_Employees[[#This Row],[Annual Salary]]*TBL_Employees[[#This Row],[Bonus %]]/100+TBL_Employees[[#This Row],[Annual Salary]]</f>
        <v>94652</v>
      </c>
      <c r="P653" t="s">
        <v>19</v>
      </c>
      <c r="Q653" t="s">
        <v>63</v>
      </c>
      <c r="R653" s="6" t="s">
        <v>21</v>
      </c>
    </row>
    <row r="654" spans="1:18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 s="17"/>
      <c r="I654">
        <v>34</v>
      </c>
      <c r="J654" s="6">
        <v>42416</v>
      </c>
      <c r="K654" s="8">
        <v>63411</v>
      </c>
      <c r="L654" s="1">
        <v>0</v>
      </c>
      <c r="M654" s="8">
        <f>TBL_Employees[[#This Row],[Annual Salary]]*TBL_Employees[[#This Row],[Bonus %]]</f>
        <v>0</v>
      </c>
      <c r="N654" s="8">
        <f>SUM(TBL_Employees[[#This Row],[Annual Salary]],TBL_Employees[[#This Row],[TOTAL BONUS]])</f>
        <v>63411</v>
      </c>
      <c r="O654" s="8">
        <f>TBL_Employees[[#This Row],[Annual Salary]]*TBL_Employees[[#This Row],[Bonus %]]/100+TBL_Employees[[#This Row],[Annual Salary]]</f>
        <v>63411</v>
      </c>
      <c r="P654" t="s">
        <v>19</v>
      </c>
      <c r="Q654" t="s">
        <v>45</v>
      </c>
      <c r="R654" s="6" t="s">
        <v>21</v>
      </c>
    </row>
    <row r="655" spans="1:18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 s="17"/>
      <c r="I655">
        <v>31</v>
      </c>
      <c r="J655" s="6">
        <v>43878</v>
      </c>
      <c r="K655" s="8">
        <v>67171</v>
      </c>
      <c r="L655" s="1">
        <v>0</v>
      </c>
      <c r="M655" s="8">
        <f>TBL_Employees[[#This Row],[Annual Salary]]*TBL_Employees[[#This Row],[Bonus %]]</f>
        <v>0</v>
      </c>
      <c r="N655" s="8">
        <f>SUM(TBL_Employees[[#This Row],[Annual Salary]],TBL_Employees[[#This Row],[TOTAL BONUS]])</f>
        <v>67171</v>
      </c>
      <c r="O655" s="8">
        <f>TBL_Employees[[#This Row],[Annual Salary]]*TBL_Employees[[#This Row],[Bonus %]]/100+TBL_Employees[[#This Row],[Annual Salary]]</f>
        <v>67171</v>
      </c>
      <c r="P655" t="s">
        <v>33</v>
      </c>
      <c r="Q655" t="s">
        <v>80</v>
      </c>
      <c r="R655" s="6">
        <v>44317</v>
      </c>
    </row>
    <row r="656" spans="1:18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 s="17"/>
      <c r="I656">
        <v>28</v>
      </c>
      <c r="J656" s="6">
        <v>43652</v>
      </c>
      <c r="K656" s="8">
        <v>152036</v>
      </c>
      <c r="L656" s="1">
        <v>0.15</v>
      </c>
      <c r="M656" s="8">
        <f>TBL_Employees[[#This Row],[Annual Salary]]*TBL_Employees[[#This Row],[Bonus %]]</f>
        <v>22805.399999999998</v>
      </c>
      <c r="N656" s="8">
        <f>SUM(TBL_Employees[[#This Row],[Annual Salary]],TBL_Employees[[#This Row],[TOTAL BONUS]])</f>
        <v>174841.4</v>
      </c>
      <c r="O656" s="8">
        <f>TBL_Employees[[#This Row],[Annual Salary]]*TBL_Employees[[#This Row],[Bonus %]]/100+TBL_Employees[[#This Row],[Annual Salary]]</f>
        <v>152264.054</v>
      </c>
      <c r="P656" t="s">
        <v>52</v>
      </c>
      <c r="Q656" t="s">
        <v>66</v>
      </c>
      <c r="R656" s="6" t="s">
        <v>21</v>
      </c>
    </row>
    <row r="657" spans="1:18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 s="17"/>
      <c r="I657">
        <v>55</v>
      </c>
      <c r="J657" s="6">
        <v>44276</v>
      </c>
      <c r="K657" s="8">
        <v>95562</v>
      </c>
      <c r="L657" s="1">
        <v>0</v>
      </c>
      <c r="M657" s="8">
        <f>TBL_Employees[[#This Row],[Annual Salary]]*TBL_Employees[[#This Row],[Bonus %]]</f>
        <v>0</v>
      </c>
      <c r="N657" s="8">
        <f>SUM(TBL_Employees[[#This Row],[Annual Salary]],TBL_Employees[[#This Row],[TOTAL BONUS]])</f>
        <v>95562</v>
      </c>
      <c r="O657" s="8">
        <f>TBL_Employees[[#This Row],[Annual Salary]]*TBL_Employees[[#This Row],[Bonus %]]/100+TBL_Employees[[#This Row],[Annual Salary]]</f>
        <v>95562</v>
      </c>
      <c r="P657" t="s">
        <v>19</v>
      </c>
      <c r="Q657" t="s">
        <v>20</v>
      </c>
      <c r="R657" s="6" t="s">
        <v>21</v>
      </c>
    </row>
    <row r="658" spans="1:18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 s="17"/>
      <c r="I658">
        <v>30</v>
      </c>
      <c r="J658" s="6">
        <v>43773</v>
      </c>
      <c r="K658" s="8">
        <v>96092</v>
      </c>
      <c r="L658" s="1">
        <v>0</v>
      </c>
      <c r="M658" s="8">
        <f>TBL_Employees[[#This Row],[Annual Salary]]*TBL_Employees[[#This Row],[Bonus %]]</f>
        <v>0</v>
      </c>
      <c r="N658" s="8">
        <f>SUM(TBL_Employees[[#This Row],[Annual Salary]],TBL_Employees[[#This Row],[TOTAL BONUS]])</f>
        <v>96092</v>
      </c>
      <c r="O658" s="8">
        <f>TBL_Employees[[#This Row],[Annual Salary]]*TBL_Employees[[#This Row],[Bonus %]]/100+TBL_Employees[[#This Row],[Annual Salary]]</f>
        <v>96092</v>
      </c>
      <c r="P658" t="s">
        <v>19</v>
      </c>
      <c r="Q658" t="s">
        <v>25</v>
      </c>
      <c r="R658" s="6" t="s">
        <v>21</v>
      </c>
    </row>
    <row r="659" spans="1:18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 s="17"/>
      <c r="I659">
        <v>63</v>
      </c>
      <c r="J659" s="6">
        <v>41428</v>
      </c>
      <c r="K659" s="8">
        <v>254289</v>
      </c>
      <c r="L659" s="1">
        <v>0.39</v>
      </c>
      <c r="M659" s="8">
        <f>TBL_Employees[[#This Row],[Annual Salary]]*TBL_Employees[[#This Row],[Bonus %]]</f>
        <v>99172.71</v>
      </c>
      <c r="N659" s="8">
        <f>SUM(TBL_Employees[[#This Row],[Annual Salary]],TBL_Employees[[#This Row],[TOTAL BONUS]])</f>
        <v>353461.71</v>
      </c>
      <c r="O659" s="8">
        <f>TBL_Employees[[#This Row],[Annual Salary]]*TBL_Employees[[#This Row],[Bonus %]]/100+TBL_Employees[[#This Row],[Annual Salary]]</f>
        <v>255280.72709999999</v>
      </c>
      <c r="P659" t="s">
        <v>19</v>
      </c>
      <c r="Q659" t="s">
        <v>20</v>
      </c>
      <c r="R659" s="6" t="s">
        <v>21</v>
      </c>
    </row>
    <row r="660" spans="1:18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 s="17"/>
      <c r="I660">
        <v>26</v>
      </c>
      <c r="J660" s="6">
        <v>43656</v>
      </c>
      <c r="K660" s="8">
        <v>69110</v>
      </c>
      <c r="L660" s="1">
        <v>0.05</v>
      </c>
      <c r="M660" s="8">
        <f>TBL_Employees[[#This Row],[Annual Salary]]*TBL_Employees[[#This Row],[Bonus %]]</f>
        <v>3455.5</v>
      </c>
      <c r="N660" s="8">
        <f>SUM(TBL_Employees[[#This Row],[Annual Salary]],TBL_Employees[[#This Row],[TOTAL BONUS]])</f>
        <v>72565.5</v>
      </c>
      <c r="O660" s="8">
        <f>TBL_Employees[[#This Row],[Annual Salary]]*TBL_Employees[[#This Row],[Bonus %]]/100+TBL_Employees[[#This Row],[Annual Salary]]</f>
        <v>69144.554999999993</v>
      </c>
      <c r="P660" t="s">
        <v>19</v>
      </c>
      <c r="Q660" t="s">
        <v>20</v>
      </c>
      <c r="R660" s="6" t="s">
        <v>21</v>
      </c>
    </row>
    <row r="661" spans="1:18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 s="17"/>
      <c r="I661">
        <v>52</v>
      </c>
      <c r="J661" s="6">
        <v>37418</v>
      </c>
      <c r="K661" s="8">
        <v>236314</v>
      </c>
      <c r="L661" s="1">
        <v>0.34</v>
      </c>
      <c r="M661" s="8">
        <f>TBL_Employees[[#This Row],[Annual Salary]]*TBL_Employees[[#This Row],[Bonus %]]</f>
        <v>80346.760000000009</v>
      </c>
      <c r="N661" s="8">
        <f>SUM(TBL_Employees[[#This Row],[Annual Salary]],TBL_Employees[[#This Row],[TOTAL BONUS]])</f>
        <v>316660.76</v>
      </c>
      <c r="O661" s="8">
        <f>TBL_Employees[[#This Row],[Annual Salary]]*TBL_Employees[[#This Row],[Bonus %]]/100+TBL_Employees[[#This Row],[Annual Salary]]</f>
        <v>237117.4676</v>
      </c>
      <c r="P661" t="s">
        <v>19</v>
      </c>
      <c r="Q661" t="s">
        <v>45</v>
      </c>
      <c r="R661" s="6" t="s">
        <v>21</v>
      </c>
    </row>
    <row r="662" spans="1:18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 s="17"/>
      <c r="I662">
        <v>51</v>
      </c>
      <c r="J662" s="6">
        <v>39252</v>
      </c>
      <c r="K662" s="8">
        <v>45206</v>
      </c>
      <c r="L662" s="1">
        <v>0</v>
      </c>
      <c r="M662" s="8">
        <f>TBL_Employees[[#This Row],[Annual Salary]]*TBL_Employees[[#This Row],[Bonus %]]</f>
        <v>0</v>
      </c>
      <c r="N662" s="8">
        <f>SUM(TBL_Employees[[#This Row],[Annual Salary]],TBL_Employees[[#This Row],[TOTAL BONUS]])</f>
        <v>45206</v>
      </c>
      <c r="O662" s="8">
        <f>TBL_Employees[[#This Row],[Annual Salary]]*TBL_Employees[[#This Row],[Bonus %]]/100+TBL_Employees[[#This Row],[Annual Salary]]</f>
        <v>45206</v>
      </c>
      <c r="P662" t="s">
        <v>19</v>
      </c>
      <c r="Q662" t="s">
        <v>29</v>
      </c>
      <c r="R662" s="6" t="s">
        <v>21</v>
      </c>
    </row>
    <row r="663" spans="1:18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 s="17"/>
      <c r="I663">
        <v>25</v>
      </c>
      <c r="J663" s="6">
        <v>44515</v>
      </c>
      <c r="K663" s="8">
        <v>210708</v>
      </c>
      <c r="L663" s="1">
        <v>0.33</v>
      </c>
      <c r="M663" s="8">
        <f>TBL_Employees[[#This Row],[Annual Salary]]*TBL_Employees[[#This Row],[Bonus %]]</f>
        <v>69533.64</v>
      </c>
      <c r="N663" s="8">
        <f>SUM(TBL_Employees[[#This Row],[Annual Salary]],TBL_Employees[[#This Row],[TOTAL BONUS]])</f>
        <v>280241.64</v>
      </c>
      <c r="O663" s="8">
        <f>TBL_Employees[[#This Row],[Annual Salary]]*TBL_Employees[[#This Row],[Bonus %]]/100+TBL_Employees[[#This Row],[Annual Salary]]</f>
        <v>211403.3364</v>
      </c>
      <c r="P663" t="s">
        <v>19</v>
      </c>
      <c r="Q663" t="s">
        <v>20</v>
      </c>
      <c r="R663" s="6" t="s">
        <v>21</v>
      </c>
    </row>
    <row r="664" spans="1:18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 s="17"/>
      <c r="I664">
        <v>40</v>
      </c>
      <c r="J664" s="6">
        <v>44465</v>
      </c>
      <c r="K664" s="8">
        <v>87770</v>
      </c>
      <c r="L664" s="1">
        <v>0</v>
      </c>
      <c r="M664" s="8">
        <f>TBL_Employees[[#This Row],[Annual Salary]]*TBL_Employees[[#This Row],[Bonus %]]</f>
        <v>0</v>
      </c>
      <c r="N664" s="8">
        <f>SUM(TBL_Employees[[#This Row],[Annual Salary]],TBL_Employees[[#This Row],[TOTAL BONUS]])</f>
        <v>87770</v>
      </c>
      <c r="O664" s="8">
        <f>TBL_Employees[[#This Row],[Annual Salary]]*TBL_Employees[[#This Row],[Bonus %]]/100+TBL_Employees[[#This Row],[Annual Salary]]</f>
        <v>87770</v>
      </c>
      <c r="P664" t="s">
        <v>19</v>
      </c>
      <c r="Q664" t="s">
        <v>25</v>
      </c>
      <c r="R664" s="6" t="s">
        <v>21</v>
      </c>
    </row>
    <row r="665" spans="1:18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 s="17"/>
      <c r="I665">
        <v>38</v>
      </c>
      <c r="J665" s="6">
        <v>42228</v>
      </c>
      <c r="K665" s="8">
        <v>106858</v>
      </c>
      <c r="L665" s="1">
        <v>0.05</v>
      </c>
      <c r="M665" s="8">
        <f>TBL_Employees[[#This Row],[Annual Salary]]*TBL_Employees[[#This Row],[Bonus %]]</f>
        <v>5342.9000000000005</v>
      </c>
      <c r="N665" s="8">
        <f>SUM(TBL_Employees[[#This Row],[Annual Salary]],TBL_Employees[[#This Row],[TOTAL BONUS]])</f>
        <v>112200.9</v>
      </c>
      <c r="O665" s="8">
        <f>TBL_Employees[[#This Row],[Annual Salary]]*TBL_Employees[[#This Row],[Bonus %]]/100+TBL_Employees[[#This Row],[Annual Salary]]</f>
        <v>106911.429</v>
      </c>
      <c r="P665" t="s">
        <v>19</v>
      </c>
      <c r="Q665" t="s">
        <v>63</v>
      </c>
      <c r="R665" s="6" t="s">
        <v>21</v>
      </c>
    </row>
    <row r="666" spans="1:18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 s="17"/>
      <c r="I666">
        <v>60</v>
      </c>
      <c r="J666" s="6">
        <v>42108</v>
      </c>
      <c r="K666" s="8">
        <v>155788</v>
      </c>
      <c r="L666" s="1">
        <v>0.17</v>
      </c>
      <c r="M666" s="8">
        <f>TBL_Employees[[#This Row],[Annual Salary]]*TBL_Employees[[#This Row],[Bonus %]]</f>
        <v>26483.960000000003</v>
      </c>
      <c r="N666" s="8">
        <f>SUM(TBL_Employees[[#This Row],[Annual Salary]],TBL_Employees[[#This Row],[TOTAL BONUS]])</f>
        <v>182271.96</v>
      </c>
      <c r="O666" s="8">
        <f>TBL_Employees[[#This Row],[Annual Salary]]*TBL_Employees[[#This Row],[Bonus %]]/100+TBL_Employees[[#This Row],[Annual Salary]]</f>
        <v>156052.83960000001</v>
      </c>
      <c r="P666" t="s">
        <v>19</v>
      </c>
      <c r="Q666" t="s">
        <v>63</v>
      </c>
      <c r="R666" s="6" t="s">
        <v>21</v>
      </c>
    </row>
    <row r="667" spans="1:18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 s="17"/>
      <c r="I667">
        <v>45</v>
      </c>
      <c r="J667" s="6">
        <v>43581</v>
      </c>
      <c r="K667" s="8">
        <v>74891</v>
      </c>
      <c r="L667" s="1">
        <v>0</v>
      </c>
      <c r="M667" s="8">
        <f>TBL_Employees[[#This Row],[Annual Salary]]*TBL_Employees[[#This Row],[Bonus %]]</f>
        <v>0</v>
      </c>
      <c r="N667" s="8">
        <f>SUM(TBL_Employees[[#This Row],[Annual Salary]],TBL_Employees[[#This Row],[TOTAL BONUS]])</f>
        <v>74891</v>
      </c>
      <c r="O667" s="8">
        <f>TBL_Employees[[#This Row],[Annual Salary]]*TBL_Employees[[#This Row],[Bonus %]]/100+TBL_Employees[[#This Row],[Annual Salary]]</f>
        <v>74891</v>
      </c>
      <c r="P667" t="s">
        <v>52</v>
      </c>
      <c r="Q667" t="s">
        <v>66</v>
      </c>
      <c r="R667" s="6" t="s">
        <v>21</v>
      </c>
    </row>
    <row r="668" spans="1:18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 s="17"/>
      <c r="I668">
        <v>28</v>
      </c>
      <c r="J668" s="6">
        <v>44548</v>
      </c>
      <c r="K668" s="8">
        <v>95670</v>
      </c>
      <c r="L668" s="1">
        <v>0</v>
      </c>
      <c r="M668" s="8">
        <f>TBL_Employees[[#This Row],[Annual Salary]]*TBL_Employees[[#This Row],[Bonus %]]</f>
        <v>0</v>
      </c>
      <c r="N668" s="8">
        <f>SUM(TBL_Employees[[#This Row],[Annual Salary]],TBL_Employees[[#This Row],[TOTAL BONUS]])</f>
        <v>95670</v>
      </c>
      <c r="O668" s="8">
        <f>TBL_Employees[[#This Row],[Annual Salary]]*TBL_Employees[[#This Row],[Bonus %]]/100+TBL_Employees[[#This Row],[Annual Salary]]</f>
        <v>95670</v>
      </c>
      <c r="P668" t="s">
        <v>19</v>
      </c>
      <c r="Q668" t="s">
        <v>39</v>
      </c>
      <c r="R668" s="6" t="s">
        <v>21</v>
      </c>
    </row>
    <row r="669" spans="1:18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 s="17"/>
      <c r="I669">
        <v>65</v>
      </c>
      <c r="J669" s="6">
        <v>36798</v>
      </c>
      <c r="K669" s="8">
        <v>67837</v>
      </c>
      <c r="L669" s="1">
        <v>0</v>
      </c>
      <c r="M669" s="8">
        <f>TBL_Employees[[#This Row],[Annual Salary]]*TBL_Employees[[#This Row],[Bonus %]]</f>
        <v>0</v>
      </c>
      <c r="N669" s="8">
        <f>SUM(TBL_Employees[[#This Row],[Annual Salary]],TBL_Employees[[#This Row],[TOTAL BONUS]])</f>
        <v>67837</v>
      </c>
      <c r="O669" s="8">
        <f>TBL_Employees[[#This Row],[Annual Salary]]*TBL_Employees[[#This Row],[Bonus %]]/100+TBL_Employees[[#This Row],[Annual Salary]]</f>
        <v>67837</v>
      </c>
      <c r="P669" t="s">
        <v>19</v>
      </c>
      <c r="Q669" t="s">
        <v>25</v>
      </c>
      <c r="R669" s="6" t="s">
        <v>21</v>
      </c>
    </row>
    <row r="670" spans="1:18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 s="17"/>
      <c r="I670">
        <v>41</v>
      </c>
      <c r="J670" s="6">
        <v>40333</v>
      </c>
      <c r="K670" s="8">
        <v>72425</v>
      </c>
      <c r="L670" s="1">
        <v>0</v>
      </c>
      <c r="M670" s="8">
        <f>TBL_Employees[[#This Row],[Annual Salary]]*TBL_Employees[[#This Row],[Bonus %]]</f>
        <v>0</v>
      </c>
      <c r="N670" s="8">
        <f>SUM(TBL_Employees[[#This Row],[Annual Salary]],TBL_Employees[[#This Row],[TOTAL BONUS]])</f>
        <v>72425</v>
      </c>
      <c r="O670" s="8">
        <f>TBL_Employees[[#This Row],[Annual Salary]]*TBL_Employees[[#This Row],[Bonus %]]/100+TBL_Employees[[#This Row],[Annual Salary]]</f>
        <v>72425</v>
      </c>
      <c r="P670" t="s">
        <v>33</v>
      </c>
      <c r="Q670" t="s">
        <v>60</v>
      </c>
      <c r="R670" s="6" t="s">
        <v>21</v>
      </c>
    </row>
    <row r="671" spans="1:18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 s="17"/>
      <c r="I671">
        <v>52</v>
      </c>
      <c r="J671" s="6">
        <v>34623</v>
      </c>
      <c r="K671" s="8">
        <v>93103</v>
      </c>
      <c r="L671" s="1">
        <v>0</v>
      </c>
      <c r="M671" s="8">
        <f>TBL_Employees[[#This Row],[Annual Salary]]*TBL_Employees[[#This Row],[Bonus %]]</f>
        <v>0</v>
      </c>
      <c r="N671" s="8">
        <f>SUM(TBL_Employees[[#This Row],[Annual Salary]],TBL_Employees[[#This Row],[TOTAL BONUS]])</f>
        <v>93103</v>
      </c>
      <c r="O671" s="8">
        <f>TBL_Employees[[#This Row],[Annual Salary]]*TBL_Employees[[#This Row],[Bonus %]]/100+TBL_Employees[[#This Row],[Annual Salary]]</f>
        <v>93103</v>
      </c>
      <c r="P671" t="s">
        <v>19</v>
      </c>
      <c r="Q671" t="s">
        <v>39</v>
      </c>
      <c r="R671" s="6" t="s">
        <v>21</v>
      </c>
    </row>
    <row r="672" spans="1:18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 s="17"/>
      <c r="I672">
        <v>56</v>
      </c>
      <c r="J672" s="6">
        <v>42291</v>
      </c>
      <c r="K672" s="8">
        <v>76272</v>
      </c>
      <c r="L672" s="1">
        <v>0</v>
      </c>
      <c r="M672" s="8">
        <f>TBL_Employees[[#This Row],[Annual Salary]]*TBL_Employees[[#This Row],[Bonus %]]</f>
        <v>0</v>
      </c>
      <c r="N672" s="8">
        <f>SUM(TBL_Employees[[#This Row],[Annual Salary]],TBL_Employees[[#This Row],[TOTAL BONUS]])</f>
        <v>76272</v>
      </c>
      <c r="O672" s="8">
        <f>TBL_Employees[[#This Row],[Annual Salary]]*TBL_Employees[[#This Row],[Bonus %]]/100+TBL_Employees[[#This Row],[Annual Salary]]</f>
        <v>76272</v>
      </c>
      <c r="P672" t="s">
        <v>19</v>
      </c>
      <c r="Q672" t="s">
        <v>45</v>
      </c>
      <c r="R672" s="6">
        <v>44491</v>
      </c>
    </row>
    <row r="673" spans="1:18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 s="17"/>
      <c r="I673">
        <v>48</v>
      </c>
      <c r="J673" s="6">
        <v>37796</v>
      </c>
      <c r="K673" s="8">
        <v>55760</v>
      </c>
      <c r="L673" s="1">
        <v>0</v>
      </c>
      <c r="M673" s="8">
        <f>TBL_Employees[[#This Row],[Annual Salary]]*TBL_Employees[[#This Row],[Bonus %]]</f>
        <v>0</v>
      </c>
      <c r="N673" s="8">
        <f>SUM(TBL_Employees[[#This Row],[Annual Salary]],TBL_Employees[[#This Row],[TOTAL BONUS]])</f>
        <v>55760</v>
      </c>
      <c r="O673" s="8">
        <f>TBL_Employees[[#This Row],[Annual Salary]]*TBL_Employees[[#This Row],[Bonus %]]/100+TBL_Employees[[#This Row],[Annual Salary]]</f>
        <v>55760</v>
      </c>
      <c r="P673" t="s">
        <v>19</v>
      </c>
      <c r="Q673" t="s">
        <v>25</v>
      </c>
      <c r="R673" s="6" t="s">
        <v>21</v>
      </c>
    </row>
    <row r="674" spans="1:18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 s="17"/>
      <c r="I674">
        <v>36</v>
      </c>
      <c r="J674" s="6">
        <v>43843</v>
      </c>
      <c r="K674" s="8">
        <v>253294</v>
      </c>
      <c r="L674" s="1">
        <v>0.4</v>
      </c>
      <c r="M674" s="8">
        <f>TBL_Employees[[#This Row],[Annual Salary]]*TBL_Employees[[#This Row],[Bonus %]]</f>
        <v>101317.6</v>
      </c>
      <c r="N674" s="8">
        <f>SUM(TBL_Employees[[#This Row],[Annual Salary]],TBL_Employees[[#This Row],[TOTAL BONUS]])</f>
        <v>354611.6</v>
      </c>
      <c r="O674" s="8">
        <f>TBL_Employees[[#This Row],[Annual Salary]]*TBL_Employees[[#This Row],[Bonus %]]/100+TBL_Employees[[#This Row],[Annual Salary]]</f>
        <v>254307.17600000001</v>
      </c>
      <c r="P674" t="s">
        <v>19</v>
      </c>
      <c r="Q674" t="s">
        <v>45</v>
      </c>
      <c r="R674" s="6" t="s">
        <v>21</v>
      </c>
    </row>
    <row r="675" spans="1:18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 s="17"/>
      <c r="I675">
        <v>60</v>
      </c>
      <c r="J675" s="6">
        <v>39310</v>
      </c>
      <c r="K675" s="8">
        <v>58671</v>
      </c>
      <c r="L675" s="1">
        <v>0</v>
      </c>
      <c r="M675" s="8">
        <f>TBL_Employees[[#This Row],[Annual Salary]]*TBL_Employees[[#This Row],[Bonus %]]</f>
        <v>0</v>
      </c>
      <c r="N675" s="8">
        <f>SUM(TBL_Employees[[#This Row],[Annual Salary]],TBL_Employees[[#This Row],[TOTAL BONUS]])</f>
        <v>58671</v>
      </c>
      <c r="O675" s="8">
        <f>TBL_Employees[[#This Row],[Annual Salary]]*TBL_Employees[[#This Row],[Bonus %]]/100+TBL_Employees[[#This Row],[Annual Salary]]</f>
        <v>58671</v>
      </c>
      <c r="P675" t="s">
        <v>19</v>
      </c>
      <c r="Q675" t="s">
        <v>29</v>
      </c>
      <c r="R675" s="6" t="s">
        <v>21</v>
      </c>
    </row>
    <row r="676" spans="1:18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 s="17"/>
      <c r="I676">
        <v>40</v>
      </c>
      <c r="J676" s="6">
        <v>43175</v>
      </c>
      <c r="K676" s="8">
        <v>55457</v>
      </c>
      <c r="L676" s="1">
        <v>0</v>
      </c>
      <c r="M676" s="8">
        <f>TBL_Employees[[#This Row],[Annual Salary]]*TBL_Employees[[#This Row],[Bonus %]]</f>
        <v>0</v>
      </c>
      <c r="N676" s="8">
        <f>SUM(TBL_Employees[[#This Row],[Annual Salary]],TBL_Employees[[#This Row],[TOTAL BONUS]])</f>
        <v>55457</v>
      </c>
      <c r="O676" s="8">
        <f>TBL_Employees[[#This Row],[Annual Salary]]*TBL_Employees[[#This Row],[Bonus %]]/100+TBL_Employees[[#This Row],[Annual Salary]]</f>
        <v>55457</v>
      </c>
      <c r="P676" t="s">
        <v>19</v>
      </c>
      <c r="Q676" t="s">
        <v>29</v>
      </c>
      <c r="R676" s="6" t="s">
        <v>21</v>
      </c>
    </row>
    <row r="677" spans="1:18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 s="17"/>
      <c r="I677">
        <v>63</v>
      </c>
      <c r="J677" s="6">
        <v>43004</v>
      </c>
      <c r="K677" s="8">
        <v>72340</v>
      </c>
      <c r="L677" s="1">
        <v>0</v>
      </c>
      <c r="M677" s="8">
        <f>TBL_Employees[[#This Row],[Annual Salary]]*TBL_Employees[[#This Row],[Bonus %]]</f>
        <v>0</v>
      </c>
      <c r="N677" s="8">
        <f>SUM(TBL_Employees[[#This Row],[Annual Salary]],TBL_Employees[[#This Row],[TOTAL BONUS]])</f>
        <v>72340</v>
      </c>
      <c r="O677" s="8">
        <f>TBL_Employees[[#This Row],[Annual Salary]]*TBL_Employees[[#This Row],[Bonus %]]/100+TBL_Employees[[#This Row],[Annual Salary]]</f>
        <v>72340</v>
      </c>
      <c r="P677" t="s">
        <v>19</v>
      </c>
      <c r="Q677" t="s">
        <v>39</v>
      </c>
      <c r="R677" s="6">
        <v>43558</v>
      </c>
    </row>
    <row r="678" spans="1:18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 s="17"/>
      <c r="I678">
        <v>29</v>
      </c>
      <c r="J678" s="6">
        <v>42676</v>
      </c>
      <c r="K678" s="8">
        <v>122054</v>
      </c>
      <c r="L678" s="1">
        <v>0.06</v>
      </c>
      <c r="M678" s="8">
        <f>TBL_Employees[[#This Row],[Annual Salary]]*TBL_Employees[[#This Row],[Bonus %]]</f>
        <v>7323.24</v>
      </c>
      <c r="N678" s="8">
        <f>SUM(TBL_Employees[[#This Row],[Annual Salary]],TBL_Employees[[#This Row],[TOTAL BONUS]])</f>
        <v>129377.24</v>
      </c>
      <c r="O678" s="8">
        <f>TBL_Employees[[#This Row],[Annual Salary]]*TBL_Employees[[#This Row],[Bonus %]]/100+TBL_Employees[[#This Row],[Annual Salary]]</f>
        <v>122127.23239999999</v>
      </c>
      <c r="P678" t="s">
        <v>19</v>
      </c>
      <c r="Q678" t="s">
        <v>39</v>
      </c>
      <c r="R678" s="6" t="s">
        <v>21</v>
      </c>
    </row>
    <row r="679" spans="1:18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 s="17"/>
      <c r="I679">
        <v>27</v>
      </c>
      <c r="J679" s="6">
        <v>43103</v>
      </c>
      <c r="K679" s="8">
        <v>167100</v>
      </c>
      <c r="L679" s="1">
        <v>0.2</v>
      </c>
      <c r="M679" s="8">
        <f>TBL_Employees[[#This Row],[Annual Salary]]*TBL_Employees[[#This Row],[Bonus %]]</f>
        <v>33420</v>
      </c>
      <c r="N679" s="8">
        <f>SUM(TBL_Employees[[#This Row],[Annual Salary]],TBL_Employees[[#This Row],[TOTAL BONUS]])</f>
        <v>200520</v>
      </c>
      <c r="O679" s="8">
        <f>TBL_Employees[[#This Row],[Annual Salary]]*TBL_Employees[[#This Row],[Bonus %]]/100+TBL_Employees[[#This Row],[Annual Salary]]</f>
        <v>167434.20000000001</v>
      </c>
      <c r="P679" t="s">
        <v>33</v>
      </c>
      <c r="Q679" t="s">
        <v>34</v>
      </c>
      <c r="R679" s="6" t="s">
        <v>21</v>
      </c>
    </row>
    <row r="680" spans="1:18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 s="17"/>
      <c r="I680">
        <v>53</v>
      </c>
      <c r="J680" s="6">
        <v>35543</v>
      </c>
      <c r="K680" s="8">
        <v>78153</v>
      </c>
      <c r="L680" s="1">
        <v>0</v>
      </c>
      <c r="M680" s="8">
        <f>TBL_Employees[[#This Row],[Annual Salary]]*TBL_Employees[[#This Row],[Bonus %]]</f>
        <v>0</v>
      </c>
      <c r="N680" s="8">
        <f>SUM(TBL_Employees[[#This Row],[Annual Salary]],TBL_Employees[[#This Row],[TOTAL BONUS]])</f>
        <v>78153</v>
      </c>
      <c r="O680" s="8">
        <f>TBL_Employees[[#This Row],[Annual Salary]]*TBL_Employees[[#This Row],[Bonus %]]/100+TBL_Employees[[#This Row],[Annual Salary]]</f>
        <v>78153</v>
      </c>
      <c r="P680" t="s">
        <v>19</v>
      </c>
      <c r="Q680" t="s">
        <v>45</v>
      </c>
      <c r="R680" s="6" t="s">
        <v>21</v>
      </c>
    </row>
    <row r="681" spans="1:18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 s="17"/>
      <c r="I681">
        <v>37</v>
      </c>
      <c r="J681" s="6">
        <v>43935</v>
      </c>
      <c r="K681" s="8">
        <v>103524</v>
      </c>
      <c r="L681" s="1">
        <v>0.09</v>
      </c>
      <c r="M681" s="8">
        <f>TBL_Employees[[#This Row],[Annual Salary]]*TBL_Employees[[#This Row],[Bonus %]]</f>
        <v>9317.16</v>
      </c>
      <c r="N681" s="8">
        <f>SUM(TBL_Employees[[#This Row],[Annual Salary]],TBL_Employees[[#This Row],[TOTAL BONUS]])</f>
        <v>112841.16</v>
      </c>
      <c r="O681" s="8">
        <f>TBL_Employees[[#This Row],[Annual Salary]]*TBL_Employees[[#This Row],[Bonus %]]/100+TBL_Employees[[#This Row],[Annual Salary]]</f>
        <v>103617.1716</v>
      </c>
      <c r="P681" t="s">
        <v>19</v>
      </c>
      <c r="Q681" t="s">
        <v>39</v>
      </c>
      <c r="R681" s="6" t="s">
        <v>21</v>
      </c>
    </row>
    <row r="682" spans="1:18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 s="17"/>
      <c r="I682">
        <v>30</v>
      </c>
      <c r="J682" s="6">
        <v>42952</v>
      </c>
      <c r="K682" s="8">
        <v>119906</v>
      </c>
      <c r="L682" s="1">
        <v>0.05</v>
      </c>
      <c r="M682" s="8">
        <f>TBL_Employees[[#This Row],[Annual Salary]]*TBL_Employees[[#This Row],[Bonus %]]</f>
        <v>5995.3</v>
      </c>
      <c r="N682" s="8">
        <f>SUM(TBL_Employees[[#This Row],[Annual Salary]],TBL_Employees[[#This Row],[TOTAL BONUS]])</f>
        <v>125901.3</v>
      </c>
      <c r="O682" s="8">
        <f>TBL_Employees[[#This Row],[Annual Salary]]*TBL_Employees[[#This Row],[Bonus %]]/100+TBL_Employees[[#This Row],[Annual Salary]]</f>
        <v>119965.95299999999</v>
      </c>
      <c r="P682" t="s">
        <v>19</v>
      </c>
      <c r="Q682" t="s">
        <v>29</v>
      </c>
      <c r="R682" s="6" t="s">
        <v>21</v>
      </c>
    </row>
    <row r="683" spans="1:18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 s="17"/>
      <c r="I683">
        <v>28</v>
      </c>
      <c r="J683" s="6">
        <v>43847</v>
      </c>
      <c r="K683" s="8">
        <v>45061</v>
      </c>
      <c r="L683" s="1">
        <v>0</v>
      </c>
      <c r="M683" s="8">
        <f>TBL_Employees[[#This Row],[Annual Salary]]*TBL_Employees[[#This Row],[Bonus %]]</f>
        <v>0</v>
      </c>
      <c r="N683" s="8">
        <f>SUM(TBL_Employees[[#This Row],[Annual Salary]],TBL_Employees[[#This Row],[TOTAL BONUS]])</f>
        <v>45061</v>
      </c>
      <c r="O683" s="8">
        <f>TBL_Employees[[#This Row],[Annual Salary]]*TBL_Employees[[#This Row],[Bonus %]]/100+TBL_Employees[[#This Row],[Annual Salary]]</f>
        <v>45061</v>
      </c>
      <c r="P683" t="s">
        <v>19</v>
      </c>
      <c r="Q683" t="s">
        <v>45</v>
      </c>
      <c r="R683" s="6" t="s">
        <v>21</v>
      </c>
    </row>
    <row r="684" spans="1:18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 s="17"/>
      <c r="I684">
        <v>51</v>
      </c>
      <c r="J684" s="6">
        <v>37638</v>
      </c>
      <c r="K684" s="8">
        <v>91399</v>
      </c>
      <c r="L684" s="1">
        <v>0</v>
      </c>
      <c r="M684" s="8">
        <f>TBL_Employees[[#This Row],[Annual Salary]]*TBL_Employees[[#This Row],[Bonus %]]</f>
        <v>0</v>
      </c>
      <c r="N684" s="8">
        <f>SUM(TBL_Employees[[#This Row],[Annual Salary]],TBL_Employees[[#This Row],[TOTAL BONUS]])</f>
        <v>91399</v>
      </c>
      <c r="O684" s="8">
        <f>TBL_Employees[[#This Row],[Annual Salary]]*TBL_Employees[[#This Row],[Bonus %]]/100+TBL_Employees[[#This Row],[Annual Salary]]</f>
        <v>91399</v>
      </c>
      <c r="P684" t="s">
        <v>19</v>
      </c>
      <c r="Q684" t="s">
        <v>63</v>
      </c>
      <c r="R684" s="6" t="s">
        <v>21</v>
      </c>
    </row>
    <row r="685" spans="1:18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 s="17"/>
      <c r="I685">
        <v>28</v>
      </c>
      <c r="J685" s="6">
        <v>43006</v>
      </c>
      <c r="K685" s="8">
        <v>97336</v>
      </c>
      <c r="L685" s="1">
        <v>0</v>
      </c>
      <c r="M685" s="8">
        <f>TBL_Employees[[#This Row],[Annual Salary]]*TBL_Employees[[#This Row],[Bonus %]]</f>
        <v>0</v>
      </c>
      <c r="N685" s="8">
        <f>SUM(TBL_Employees[[#This Row],[Annual Salary]],TBL_Employees[[#This Row],[TOTAL BONUS]])</f>
        <v>97336</v>
      </c>
      <c r="O685" s="8">
        <f>TBL_Employees[[#This Row],[Annual Salary]]*TBL_Employees[[#This Row],[Bonus %]]/100+TBL_Employees[[#This Row],[Annual Salary]]</f>
        <v>97336</v>
      </c>
      <c r="P685" t="s">
        <v>19</v>
      </c>
      <c r="Q685" t="s">
        <v>25</v>
      </c>
      <c r="R685" s="6" t="s">
        <v>21</v>
      </c>
    </row>
    <row r="686" spans="1:18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 s="17"/>
      <c r="I686">
        <v>31</v>
      </c>
      <c r="J686" s="6">
        <v>42755</v>
      </c>
      <c r="K686" s="8">
        <v>124629</v>
      </c>
      <c r="L686" s="1">
        <v>0.1</v>
      </c>
      <c r="M686" s="8">
        <f>TBL_Employees[[#This Row],[Annual Salary]]*TBL_Employees[[#This Row],[Bonus %]]</f>
        <v>12462.900000000001</v>
      </c>
      <c r="N686" s="8">
        <f>SUM(TBL_Employees[[#This Row],[Annual Salary]],TBL_Employees[[#This Row],[TOTAL BONUS]])</f>
        <v>137091.9</v>
      </c>
      <c r="O686" s="8">
        <f>TBL_Employees[[#This Row],[Annual Salary]]*TBL_Employees[[#This Row],[Bonus %]]/100+TBL_Employees[[#This Row],[Annual Salary]]</f>
        <v>124753.629</v>
      </c>
      <c r="P686" t="s">
        <v>19</v>
      </c>
      <c r="Q686" t="s">
        <v>29</v>
      </c>
      <c r="R686" s="6" t="s">
        <v>21</v>
      </c>
    </row>
    <row r="687" spans="1:18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 s="17"/>
      <c r="I687">
        <v>28</v>
      </c>
      <c r="J687" s="6">
        <v>44402</v>
      </c>
      <c r="K687" s="8">
        <v>231850</v>
      </c>
      <c r="L687" s="1">
        <v>0.39</v>
      </c>
      <c r="M687" s="8">
        <f>TBL_Employees[[#This Row],[Annual Salary]]*TBL_Employees[[#This Row],[Bonus %]]</f>
        <v>90421.5</v>
      </c>
      <c r="N687" s="8">
        <f>SUM(TBL_Employees[[#This Row],[Annual Salary]],TBL_Employees[[#This Row],[TOTAL BONUS]])</f>
        <v>322271.5</v>
      </c>
      <c r="O687" s="8">
        <f>TBL_Employees[[#This Row],[Annual Salary]]*TBL_Employees[[#This Row],[Bonus %]]/100+TBL_Employees[[#This Row],[Annual Salary]]</f>
        <v>232754.215</v>
      </c>
      <c r="P687" t="s">
        <v>19</v>
      </c>
      <c r="Q687" t="s">
        <v>45</v>
      </c>
      <c r="R687" s="6" t="s">
        <v>21</v>
      </c>
    </row>
    <row r="688" spans="1:18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 s="17"/>
      <c r="I688">
        <v>34</v>
      </c>
      <c r="J688" s="6">
        <v>43255</v>
      </c>
      <c r="K688" s="8">
        <v>128329</v>
      </c>
      <c r="L688" s="1">
        <v>0.08</v>
      </c>
      <c r="M688" s="8">
        <f>TBL_Employees[[#This Row],[Annual Salary]]*TBL_Employees[[#This Row],[Bonus %]]</f>
        <v>10266.32</v>
      </c>
      <c r="N688" s="8">
        <f>SUM(TBL_Employees[[#This Row],[Annual Salary]],TBL_Employees[[#This Row],[TOTAL BONUS]])</f>
        <v>138595.32</v>
      </c>
      <c r="O688" s="8">
        <f>TBL_Employees[[#This Row],[Annual Salary]]*TBL_Employees[[#This Row],[Bonus %]]/100+TBL_Employees[[#This Row],[Annual Salary]]</f>
        <v>128431.6632</v>
      </c>
      <c r="P688" t="s">
        <v>19</v>
      </c>
      <c r="Q688" t="s">
        <v>39</v>
      </c>
      <c r="R688" s="6" t="s">
        <v>21</v>
      </c>
    </row>
    <row r="689" spans="1:18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 s="17"/>
      <c r="I689">
        <v>44</v>
      </c>
      <c r="J689" s="6">
        <v>44283</v>
      </c>
      <c r="K689" s="8">
        <v>186033</v>
      </c>
      <c r="L689" s="1">
        <v>0.34</v>
      </c>
      <c r="M689" s="8">
        <f>TBL_Employees[[#This Row],[Annual Salary]]*TBL_Employees[[#This Row],[Bonus %]]</f>
        <v>63251.22</v>
      </c>
      <c r="N689" s="8">
        <f>SUM(TBL_Employees[[#This Row],[Annual Salary]],TBL_Employees[[#This Row],[TOTAL BONUS]])</f>
        <v>249284.22</v>
      </c>
      <c r="O689" s="8">
        <f>TBL_Employees[[#This Row],[Annual Salary]]*TBL_Employees[[#This Row],[Bonus %]]/100+TBL_Employees[[#This Row],[Annual Salary]]</f>
        <v>186665.5122</v>
      </c>
      <c r="P689" t="s">
        <v>52</v>
      </c>
      <c r="Q689" t="s">
        <v>53</v>
      </c>
      <c r="R689" s="6" t="s">
        <v>21</v>
      </c>
    </row>
    <row r="690" spans="1:18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 s="17"/>
      <c r="I690">
        <v>60</v>
      </c>
      <c r="J690" s="6">
        <v>44403</v>
      </c>
      <c r="K690" s="8">
        <v>121480</v>
      </c>
      <c r="L690" s="1">
        <v>0.14000000000000001</v>
      </c>
      <c r="M690" s="8">
        <f>TBL_Employees[[#This Row],[Annual Salary]]*TBL_Employees[[#This Row],[Bonus %]]</f>
        <v>17007.2</v>
      </c>
      <c r="N690" s="8">
        <f>SUM(TBL_Employees[[#This Row],[Annual Salary]],TBL_Employees[[#This Row],[TOTAL BONUS]])</f>
        <v>138487.20000000001</v>
      </c>
      <c r="O690" s="8">
        <f>TBL_Employees[[#This Row],[Annual Salary]]*TBL_Employees[[#This Row],[Bonus %]]/100+TBL_Employees[[#This Row],[Annual Salary]]</f>
        <v>121650.072</v>
      </c>
      <c r="P690" t="s">
        <v>19</v>
      </c>
      <c r="Q690" t="s">
        <v>39</v>
      </c>
      <c r="R690" s="6" t="s">
        <v>21</v>
      </c>
    </row>
    <row r="691" spans="1:18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 s="17"/>
      <c r="I691">
        <v>41</v>
      </c>
      <c r="J691" s="6">
        <v>40319</v>
      </c>
      <c r="K691" s="8">
        <v>153275</v>
      </c>
      <c r="L691" s="1">
        <v>0.24</v>
      </c>
      <c r="M691" s="8">
        <f>TBL_Employees[[#This Row],[Annual Salary]]*TBL_Employees[[#This Row],[Bonus %]]</f>
        <v>36786</v>
      </c>
      <c r="N691" s="8">
        <f>SUM(TBL_Employees[[#This Row],[Annual Salary]],TBL_Employees[[#This Row],[TOTAL BONUS]])</f>
        <v>190061</v>
      </c>
      <c r="O691" s="8">
        <f>TBL_Employees[[#This Row],[Annual Salary]]*TBL_Employees[[#This Row],[Bonus %]]/100+TBL_Employees[[#This Row],[Annual Salary]]</f>
        <v>153642.85999999999</v>
      </c>
      <c r="P691" t="s">
        <v>19</v>
      </c>
      <c r="Q691" t="s">
        <v>29</v>
      </c>
      <c r="R691" s="6" t="s">
        <v>21</v>
      </c>
    </row>
    <row r="692" spans="1:18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 s="17"/>
      <c r="I692">
        <v>62</v>
      </c>
      <c r="J692" s="6">
        <v>43969</v>
      </c>
      <c r="K692" s="8">
        <v>97830</v>
      </c>
      <c r="L692" s="1">
        <v>0</v>
      </c>
      <c r="M692" s="8">
        <f>TBL_Employees[[#This Row],[Annual Salary]]*TBL_Employees[[#This Row],[Bonus %]]</f>
        <v>0</v>
      </c>
      <c r="N692" s="8">
        <f>SUM(TBL_Employees[[#This Row],[Annual Salary]],TBL_Employees[[#This Row],[TOTAL BONUS]])</f>
        <v>97830</v>
      </c>
      <c r="O692" s="8">
        <f>TBL_Employees[[#This Row],[Annual Salary]]*TBL_Employees[[#This Row],[Bonus %]]/100+TBL_Employees[[#This Row],[Annual Salary]]</f>
        <v>97830</v>
      </c>
      <c r="P692" t="s">
        <v>19</v>
      </c>
      <c r="Q692" t="s">
        <v>25</v>
      </c>
      <c r="R692" s="6" t="s">
        <v>21</v>
      </c>
    </row>
    <row r="693" spans="1:18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 s="17"/>
      <c r="I693">
        <v>47</v>
      </c>
      <c r="J693" s="6">
        <v>36232</v>
      </c>
      <c r="K693" s="8">
        <v>239394</v>
      </c>
      <c r="L693" s="1">
        <v>0.32</v>
      </c>
      <c r="M693" s="8">
        <f>TBL_Employees[[#This Row],[Annual Salary]]*TBL_Employees[[#This Row],[Bonus %]]</f>
        <v>76606.080000000002</v>
      </c>
      <c r="N693" s="8">
        <f>SUM(TBL_Employees[[#This Row],[Annual Salary]],TBL_Employees[[#This Row],[TOTAL BONUS]])</f>
        <v>316000.08</v>
      </c>
      <c r="O693" s="8">
        <f>TBL_Employees[[#This Row],[Annual Salary]]*TBL_Employees[[#This Row],[Bonus %]]/100+TBL_Employees[[#This Row],[Annual Salary]]</f>
        <v>240160.06080000001</v>
      </c>
      <c r="P693" t="s">
        <v>19</v>
      </c>
      <c r="Q693" t="s">
        <v>25</v>
      </c>
      <c r="R693" s="6" t="s">
        <v>21</v>
      </c>
    </row>
    <row r="694" spans="1:18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 s="17"/>
      <c r="I694">
        <v>62</v>
      </c>
      <c r="J694" s="6">
        <v>37519</v>
      </c>
      <c r="K694" s="8">
        <v>49738</v>
      </c>
      <c r="L694" s="1">
        <v>0</v>
      </c>
      <c r="M694" s="8">
        <f>TBL_Employees[[#This Row],[Annual Salary]]*TBL_Employees[[#This Row],[Bonus %]]</f>
        <v>0</v>
      </c>
      <c r="N694" s="8">
        <f>SUM(TBL_Employees[[#This Row],[Annual Salary]],TBL_Employees[[#This Row],[TOTAL BONUS]])</f>
        <v>49738</v>
      </c>
      <c r="O694" s="8">
        <f>TBL_Employees[[#This Row],[Annual Salary]]*TBL_Employees[[#This Row],[Bonus %]]/100+TBL_Employees[[#This Row],[Annual Salary]]</f>
        <v>49738</v>
      </c>
      <c r="P694" t="s">
        <v>33</v>
      </c>
      <c r="Q694" t="s">
        <v>60</v>
      </c>
      <c r="R694" s="6" t="s">
        <v>21</v>
      </c>
    </row>
    <row r="695" spans="1:18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 s="17"/>
      <c r="I695">
        <v>33</v>
      </c>
      <c r="J695" s="6">
        <v>43247</v>
      </c>
      <c r="K695" s="8">
        <v>45049</v>
      </c>
      <c r="L695" s="1">
        <v>0</v>
      </c>
      <c r="M695" s="8">
        <f>TBL_Employees[[#This Row],[Annual Salary]]*TBL_Employees[[#This Row],[Bonus %]]</f>
        <v>0</v>
      </c>
      <c r="N695" s="8">
        <f>SUM(TBL_Employees[[#This Row],[Annual Salary]],TBL_Employees[[#This Row],[TOTAL BONUS]])</f>
        <v>45049</v>
      </c>
      <c r="O695" s="8">
        <f>TBL_Employees[[#This Row],[Annual Salary]]*TBL_Employees[[#This Row],[Bonus %]]/100+TBL_Employees[[#This Row],[Annual Salary]]</f>
        <v>45049</v>
      </c>
      <c r="P695" t="s">
        <v>19</v>
      </c>
      <c r="Q695" t="s">
        <v>63</v>
      </c>
      <c r="R695" s="6" t="s">
        <v>21</v>
      </c>
    </row>
    <row r="696" spans="1:18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 s="17"/>
      <c r="I696">
        <v>27</v>
      </c>
      <c r="J696" s="6">
        <v>43977</v>
      </c>
      <c r="K696" s="8">
        <v>153628</v>
      </c>
      <c r="L696" s="1">
        <v>0.28999999999999998</v>
      </c>
      <c r="M696" s="8">
        <f>TBL_Employees[[#This Row],[Annual Salary]]*TBL_Employees[[#This Row],[Bonus %]]</f>
        <v>44552.119999999995</v>
      </c>
      <c r="N696" s="8">
        <f>SUM(TBL_Employees[[#This Row],[Annual Salary]],TBL_Employees[[#This Row],[TOTAL BONUS]])</f>
        <v>198180.12</v>
      </c>
      <c r="O696" s="8">
        <f>TBL_Employees[[#This Row],[Annual Salary]]*TBL_Employees[[#This Row],[Bonus %]]/100+TBL_Employees[[#This Row],[Annual Salary]]</f>
        <v>154073.52119999999</v>
      </c>
      <c r="P696" t="s">
        <v>33</v>
      </c>
      <c r="Q696" t="s">
        <v>80</v>
      </c>
      <c r="R696" s="6">
        <v>44177</v>
      </c>
    </row>
    <row r="697" spans="1:18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 s="17"/>
      <c r="I697">
        <v>25</v>
      </c>
      <c r="J697" s="6">
        <v>44362</v>
      </c>
      <c r="K697" s="8">
        <v>142731</v>
      </c>
      <c r="L697" s="1">
        <v>0.11</v>
      </c>
      <c r="M697" s="8">
        <f>TBL_Employees[[#This Row],[Annual Salary]]*TBL_Employees[[#This Row],[Bonus %]]</f>
        <v>15700.41</v>
      </c>
      <c r="N697" s="8">
        <f>SUM(TBL_Employees[[#This Row],[Annual Salary]],TBL_Employees[[#This Row],[TOTAL BONUS]])</f>
        <v>158431.41</v>
      </c>
      <c r="O697" s="8">
        <f>TBL_Employees[[#This Row],[Annual Salary]]*TBL_Employees[[#This Row],[Bonus %]]/100+TBL_Employees[[#This Row],[Annual Salary]]</f>
        <v>142888.00409999999</v>
      </c>
      <c r="P697" t="s">
        <v>33</v>
      </c>
      <c r="Q697" t="s">
        <v>74</v>
      </c>
      <c r="R697" s="6">
        <v>44715</v>
      </c>
    </row>
    <row r="698" spans="1:18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 s="17"/>
      <c r="I698">
        <v>29</v>
      </c>
      <c r="J698" s="6">
        <v>43966</v>
      </c>
      <c r="K698" s="8">
        <v>137106</v>
      </c>
      <c r="L698" s="1">
        <v>0.12</v>
      </c>
      <c r="M698" s="8">
        <f>TBL_Employees[[#This Row],[Annual Salary]]*TBL_Employees[[#This Row],[Bonus %]]</f>
        <v>16452.72</v>
      </c>
      <c r="N698" s="8">
        <f>SUM(TBL_Employees[[#This Row],[Annual Salary]],TBL_Employees[[#This Row],[TOTAL BONUS]])</f>
        <v>153558.72</v>
      </c>
      <c r="O698" s="8">
        <f>TBL_Employees[[#This Row],[Annual Salary]]*TBL_Employees[[#This Row],[Bonus %]]/100+TBL_Employees[[#This Row],[Annual Salary]]</f>
        <v>137270.52720000001</v>
      </c>
      <c r="P698" t="s">
        <v>52</v>
      </c>
      <c r="Q698" t="s">
        <v>53</v>
      </c>
      <c r="R698" s="6" t="s">
        <v>21</v>
      </c>
    </row>
    <row r="699" spans="1:18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 s="17"/>
      <c r="I699">
        <v>54</v>
      </c>
      <c r="J699" s="6">
        <v>39330</v>
      </c>
      <c r="K699" s="8">
        <v>183239</v>
      </c>
      <c r="L699" s="1">
        <v>0.32</v>
      </c>
      <c r="M699" s="8">
        <f>TBL_Employees[[#This Row],[Annual Salary]]*TBL_Employees[[#This Row],[Bonus %]]</f>
        <v>58636.480000000003</v>
      </c>
      <c r="N699" s="8">
        <f>SUM(TBL_Employees[[#This Row],[Annual Salary]],TBL_Employees[[#This Row],[TOTAL BONUS]])</f>
        <v>241875.48</v>
      </c>
      <c r="O699" s="8">
        <f>TBL_Employees[[#This Row],[Annual Salary]]*TBL_Employees[[#This Row],[Bonus %]]/100+TBL_Employees[[#This Row],[Annual Salary]]</f>
        <v>183825.36480000001</v>
      </c>
      <c r="P699" t="s">
        <v>19</v>
      </c>
      <c r="Q699" t="s">
        <v>63</v>
      </c>
      <c r="R699" s="6" t="s">
        <v>21</v>
      </c>
    </row>
    <row r="700" spans="1:18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 s="17"/>
      <c r="I700">
        <v>28</v>
      </c>
      <c r="J700" s="6">
        <v>43610</v>
      </c>
      <c r="K700" s="8">
        <v>45819</v>
      </c>
      <c r="L700" s="1">
        <v>0</v>
      </c>
      <c r="M700" s="8">
        <f>TBL_Employees[[#This Row],[Annual Salary]]*TBL_Employees[[#This Row],[Bonus %]]</f>
        <v>0</v>
      </c>
      <c r="N700" s="8">
        <f>SUM(TBL_Employees[[#This Row],[Annual Salary]],TBL_Employees[[#This Row],[TOTAL BONUS]])</f>
        <v>45819</v>
      </c>
      <c r="O700" s="8">
        <f>TBL_Employees[[#This Row],[Annual Salary]]*TBL_Employees[[#This Row],[Bonus %]]/100+TBL_Employees[[#This Row],[Annual Salary]]</f>
        <v>45819</v>
      </c>
      <c r="P700" t="s">
        <v>19</v>
      </c>
      <c r="Q700" t="s">
        <v>45</v>
      </c>
      <c r="R700" s="6" t="s">
        <v>21</v>
      </c>
    </row>
    <row r="701" spans="1:18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 s="17"/>
      <c r="I701">
        <v>54</v>
      </c>
      <c r="J701" s="6">
        <v>39080</v>
      </c>
      <c r="K701" s="8">
        <v>55518</v>
      </c>
      <c r="L701" s="1">
        <v>0</v>
      </c>
      <c r="M701" s="8">
        <f>TBL_Employees[[#This Row],[Annual Salary]]*TBL_Employees[[#This Row],[Bonus %]]</f>
        <v>0</v>
      </c>
      <c r="N701" s="8">
        <f>SUM(TBL_Employees[[#This Row],[Annual Salary]],TBL_Employees[[#This Row],[TOTAL BONUS]])</f>
        <v>55518</v>
      </c>
      <c r="O701" s="8">
        <f>TBL_Employees[[#This Row],[Annual Salary]]*TBL_Employees[[#This Row],[Bonus %]]/100+TBL_Employees[[#This Row],[Annual Salary]]</f>
        <v>55518</v>
      </c>
      <c r="P701" t="s">
        <v>19</v>
      </c>
      <c r="Q701" t="s">
        <v>29</v>
      </c>
      <c r="R701" s="6" t="s">
        <v>21</v>
      </c>
    </row>
    <row r="702" spans="1:18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 s="17"/>
      <c r="I702">
        <v>50</v>
      </c>
      <c r="J702" s="6">
        <v>40979</v>
      </c>
      <c r="K702" s="8">
        <v>108134</v>
      </c>
      <c r="L702" s="1">
        <v>0.1</v>
      </c>
      <c r="M702" s="8">
        <f>TBL_Employees[[#This Row],[Annual Salary]]*TBL_Employees[[#This Row],[Bonus %]]</f>
        <v>10813.400000000001</v>
      </c>
      <c r="N702" s="8">
        <f>SUM(TBL_Employees[[#This Row],[Annual Salary]],TBL_Employees[[#This Row],[TOTAL BONUS]])</f>
        <v>118947.4</v>
      </c>
      <c r="O702" s="8">
        <f>TBL_Employees[[#This Row],[Annual Salary]]*TBL_Employees[[#This Row],[Bonus %]]/100+TBL_Employees[[#This Row],[Annual Salary]]</f>
        <v>108242.13400000001</v>
      </c>
      <c r="P702" t="s">
        <v>33</v>
      </c>
      <c r="Q702" t="s">
        <v>74</v>
      </c>
      <c r="R702" s="6" t="s">
        <v>21</v>
      </c>
    </row>
    <row r="703" spans="1:18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 s="17"/>
      <c r="I703">
        <v>55</v>
      </c>
      <c r="J703" s="6">
        <v>33958</v>
      </c>
      <c r="K703" s="8">
        <v>113950</v>
      </c>
      <c r="L703" s="1">
        <v>0.09</v>
      </c>
      <c r="M703" s="8">
        <f>TBL_Employees[[#This Row],[Annual Salary]]*TBL_Employees[[#This Row],[Bonus %]]</f>
        <v>10255.5</v>
      </c>
      <c r="N703" s="8">
        <f>SUM(TBL_Employees[[#This Row],[Annual Salary]],TBL_Employees[[#This Row],[TOTAL BONUS]])</f>
        <v>124205.5</v>
      </c>
      <c r="O703" s="8">
        <f>TBL_Employees[[#This Row],[Annual Salary]]*TBL_Employees[[#This Row],[Bonus %]]/100+TBL_Employees[[#This Row],[Annual Salary]]</f>
        <v>114052.55499999999</v>
      </c>
      <c r="P703" t="s">
        <v>19</v>
      </c>
      <c r="Q703" t="s">
        <v>45</v>
      </c>
      <c r="R703" s="6" t="s">
        <v>21</v>
      </c>
    </row>
    <row r="704" spans="1:18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 s="17"/>
      <c r="I704">
        <v>52</v>
      </c>
      <c r="J704" s="6">
        <v>35886</v>
      </c>
      <c r="K704" s="8">
        <v>182035</v>
      </c>
      <c r="L704" s="1">
        <v>0.3</v>
      </c>
      <c r="M704" s="8">
        <f>TBL_Employees[[#This Row],[Annual Salary]]*TBL_Employees[[#This Row],[Bonus %]]</f>
        <v>54610.5</v>
      </c>
      <c r="N704" s="8">
        <f>SUM(TBL_Employees[[#This Row],[Annual Salary]],TBL_Employees[[#This Row],[TOTAL BONUS]])</f>
        <v>236645.5</v>
      </c>
      <c r="O704" s="8">
        <f>TBL_Employees[[#This Row],[Annual Salary]]*TBL_Employees[[#This Row],[Bonus %]]/100+TBL_Employees[[#This Row],[Annual Salary]]</f>
        <v>182581.10500000001</v>
      </c>
      <c r="P704" t="s">
        <v>19</v>
      </c>
      <c r="Q704" t="s">
        <v>20</v>
      </c>
      <c r="R704" s="6" t="s">
        <v>21</v>
      </c>
    </row>
    <row r="705" spans="1:18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 s="17"/>
      <c r="I705">
        <v>35</v>
      </c>
      <c r="J705" s="6">
        <v>42963</v>
      </c>
      <c r="K705" s="8">
        <v>181356</v>
      </c>
      <c r="L705" s="1">
        <v>0.23</v>
      </c>
      <c r="M705" s="8">
        <f>TBL_Employees[[#This Row],[Annual Salary]]*TBL_Employees[[#This Row],[Bonus %]]</f>
        <v>41711.880000000005</v>
      </c>
      <c r="N705" s="8">
        <f>SUM(TBL_Employees[[#This Row],[Annual Salary]],TBL_Employees[[#This Row],[TOTAL BONUS]])</f>
        <v>223067.88</v>
      </c>
      <c r="O705" s="8">
        <f>TBL_Employees[[#This Row],[Annual Salary]]*TBL_Employees[[#This Row],[Bonus %]]/100+TBL_Employees[[#This Row],[Annual Salary]]</f>
        <v>181773.1188</v>
      </c>
      <c r="P705" t="s">
        <v>33</v>
      </c>
      <c r="Q705" t="s">
        <v>60</v>
      </c>
      <c r="R705" s="6" t="s">
        <v>21</v>
      </c>
    </row>
    <row r="706" spans="1:18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 s="17"/>
      <c r="I706">
        <v>26</v>
      </c>
      <c r="J706" s="6">
        <v>43698</v>
      </c>
      <c r="K706" s="8">
        <v>66084</v>
      </c>
      <c r="L706" s="1">
        <v>0</v>
      </c>
      <c r="M706" s="8">
        <f>TBL_Employees[[#This Row],[Annual Salary]]*TBL_Employees[[#This Row],[Bonus %]]</f>
        <v>0</v>
      </c>
      <c r="N706" s="8">
        <f>SUM(TBL_Employees[[#This Row],[Annual Salary]],TBL_Employees[[#This Row],[TOTAL BONUS]])</f>
        <v>66084</v>
      </c>
      <c r="O706" s="8">
        <f>TBL_Employees[[#This Row],[Annual Salary]]*TBL_Employees[[#This Row],[Bonus %]]/100+TBL_Employees[[#This Row],[Annual Salary]]</f>
        <v>66084</v>
      </c>
      <c r="P706" t="s">
        <v>19</v>
      </c>
      <c r="Q706" t="s">
        <v>63</v>
      </c>
      <c r="R706" s="6" t="s">
        <v>21</v>
      </c>
    </row>
    <row r="707" spans="1:18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 s="17"/>
      <c r="I707">
        <v>43</v>
      </c>
      <c r="J707" s="6">
        <v>40290</v>
      </c>
      <c r="K707" s="8">
        <v>76912</v>
      </c>
      <c r="L707" s="1">
        <v>0</v>
      </c>
      <c r="M707" s="8">
        <f>TBL_Employees[[#This Row],[Annual Salary]]*TBL_Employees[[#This Row],[Bonus %]]</f>
        <v>0</v>
      </c>
      <c r="N707" s="8">
        <f>SUM(TBL_Employees[[#This Row],[Annual Salary]],TBL_Employees[[#This Row],[TOTAL BONUS]])</f>
        <v>76912</v>
      </c>
      <c r="O707" s="8">
        <f>TBL_Employees[[#This Row],[Annual Salary]]*TBL_Employees[[#This Row],[Bonus %]]/100+TBL_Employees[[#This Row],[Annual Salary]]</f>
        <v>76912</v>
      </c>
      <c r="P707" t="s">
        <v>52</v>
      </c>
      <c r="Q707" t="s">
        <v>53</v>
      </c>
      <c r="R707" s="6" t="s">
        <v>21</v>
      </c>
    </row>
    <row r="708" spans="1:18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 s="17"/>
      <c r="I708">
        <v>63</v>
      </c>
      <c r="J708" s="6">
        <v>43227</v>
      </c>
      <c r="K708" s="8">
        <v>67987</v>
      </c>
      <c r="L708" s="1">
        <v>0</v>
      </c>
      <c r="M708" s="8">
        <f>TBL_Employees[[#This Row],[Annual Salary]]*TBL_Employees[[#This Row],[Bonus %]]</f>
        <v>0</v>
      </c>
      <c r="N708" s="8">
        <f>SUM(TBL_Employees[[#This Row],[Annual Salary]],TBL_Employees[[#This Row],[TOTAL BONUS]])</f>
        <v>67987</v>
      </c>
      <c r="O708" s="8">
        <f>TBL_Employees[[#This Row],[Annual Salary]]*TBL_Employees[[#This Row],[Bonus %]]/100+TBL_Employees[[#This Row],[Annual Salary]]</f>
        <v>67987</v>
      </c>
      <c r="P708" t="s">
        <v>19</v>
      </c>
      <c r="Q708" t="s">
        <v>45</v>
      </c>
      <c r="R708" s="6" t="s">
        <v>21</v>
      </c>
    </row>
    <row r="709" spans="1:18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 s="17"/>
      <c r="I709">
        <v>65</v>
      </c>
      <c r="J709" s="6">
        <v>38584</v>
      </c>
      <c r="K709" s="8">
        <v>59833</v>
      </c>
      <c r="L709" s="1">
        <v>0</v>
      </c>
      <c r="M709" s="8">
        <f>TBL_Employees[[#This Row],[Annual Salary]]*TBL_Employees[[#This Row],[Bonus %]]</f>
        <v>0</v>
      </c>
      <c r="N709" s="8">
        <f>SUM(TBL_Employees[[#This Row],[Annual Salary]],TBL_Employees[[#This Row],[TOTAL BONUS]])</f>
        <v>59833</v>
      </c>
      <c r="O709" s="8">
        <f>TBL_Employees[[#This Row],[Annual Salary]]*TBL_Employees[[#This Row],[Bonus %]]/100+TBL_Employees[[#This Row],[Annual Salary]]</f>
        <v>59833</v>
      </c>
      <c r="P709" t="s">
        <v>19</v>
      </c>
      <c r="Q709" t="s">
        <v>29</v>
      </c>
      <c r="R709" s="6" t="s">
        <v>21</v>
      </c>
    </row>
    <row r="710" spans="1:18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 s="17"/>
      <c r="I710">
        <v>45</v>
      </c>
      <c r="J710" s="6">
        <v>38453</v>
      </c>
      <c r="K710" s="8">
        <v>128468</v>
      </c>
      <c r="L710" s="1">
        <v>0.11</v>
      </c>
      <c r="M710" s="8">
        <f>TBL_Employees[[#This Row],[Annual Salary]]*TBL_Employees[[#This Row],[Bonus %]]</f>
        <v>14131.48</v>
      </c>
      <c r="N710" s="8">
        <f>SUM(TBL_Employees[[#This Row],[Annual Salary]],TBL_Employees[[#This Row],[TOTAL BONUS]])</f>
        <v>142599.48000000001</v>
      </c>
      <c r="O710" s="8">
        <f>TBL_Employees[[#This Row],[Annual Salary]]*TBL_Employees[[#This Row],[Bonus %]]/100+TBL_Employees[[#This Row],[Annual Salary]]</f>
        <v>128609.31479999999</v>
      </c>
      <c r="P710" t="s">
        <v>19</v>
      </c>
      <c r="Q710" t="s">
        <v>20</v>
      </c>
      <c r="R710" s="6" t="s">
        <v>21</v>
      </c>
    </row>
    <row r="711" spans="1:18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 s="17"/>
      <c r="I711">
        <v>42</v>
      </c>
      <c r="J711" s="6">
        <v>40692</v>
      </c>
      <c r="K711" s="8">
        <v>102440</v>
      </c>
      <c r="L711" s="1">
        <v>0.06</v>
      </c>
      <c r="M711" s="8">
        <f>TBL_Employees[[#This Row],[Annual Salary]]*TBL_Employees[[#This Row],[Bonus %]]</f>
        <v>6146.4</v>
      </c>
      <c r="N711" s="8">
        <f>SUM(TBL_Employees[[#This Row],[Annual Salary]],TBL_Employees[[#This Row],[TOTAL BONUS]])</f>
        <v>108586.4</v>
      </c>
      <c r="O711" s="8">
        <f>TBL_Employees[[#This Row],[Annual Salary]]*TBL_Employees[[#This Row],[Bonus %]]/100+TBL_Employees[[#This Row],[Annual Salary]]</f>
        <v>102501.46400000001</v>
      </c>
      <c r="P711" t="s">
        <v>19</v>
      </c>
      <c r="Q711" t="s">
        <v>20</v>
      </c>
      <c r="R711" s="6" t="s">
        <v>21</v>
      </c>
    </row>
    <row r="712" spans="1:18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 s="17"/>
      <c r="I712">
        <v>59</v>
      </c>
      <c r="J712" s="6">
        <v>40542</v>
      </c>
      <c r="K712" s="8">
        <v>246619</v>
      </c>
      <c r="L712" s="1">
        <v>0.36</v>
      </c>
      <c r="M712" s="8">
        <f>TBL_Employees[[#This Row],[Annual Salary]]*TBL_Employees[[#This Row],[Bonus %]]</f>
        <v>88782.84</v>
      </c>
      <c r="N712" s="8">
        <f>SUM(TBL_Employees[[#This Row],[Annual Salary]],TBL_Employees[[#This Row],[TOTAL BONUS]])</f>
        <v>335401.83999999997</v>
      </c>
      <c r="O712" s="8">
        <f>TBL_Employees[[#This Row],[Annual Salary]]*TBL_Employees[[#This Row],[Bonus %]]/100+TBL_Employees[[#This Row],[Annual Salary]]</f>
        <v>247506.8284</v>
      </c>
      <c r="P712" t="s">
        <v>19</v>
      </c>
      <c r="Q712" t="s">
        <v>45</v>
      </c>
      <c r="R712" s="6" t="s">
        <v>21</v>
      </c>
    </row>
    <row r="713" spans="1:18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 s="17"/>
      <c r="I713">
        <v>42</v>
      </c>
      <c r="J713" s="6">
        <v>43058</v>
      </c>
      <c r="K713" s="8">
        <v>101143</v>
      </c>
      <c r="L713" s="1">
        <v>0.06</v>
      </c>
      <c r="M713" s="8">
        <f>TBL_Employees[[#This Row],[Annual Salary]]*TBL_Employees[[#This Row],[Bonus %]]</f>
        <v>6068.58</v>
      </c>
      <c r="N713" s="8">
        <f>SUM(TBL_Employees[[#This Row],[Annual Salary]],TBL_Employees[[#This Row],[TOTAL BONUS]])</f>
        <v>107211.58</v>
      </c>
      <c r="O713" s="8">
        <f>TBL_Employees[[#This Row],[Annual Salary]]*TBL_Employees[[#This Row],[Bonus %]]/100+TBL_Employees[[#This Row],[Annual Salary]]</f>
        <v>101203.68580000001</v>
      </c>
      <c r="P713" t="s">
        <v>19</v>
      </c>
      <c r="Q713" t="s">
        <v>45</v>
      </c>
      <c r="R713" s="6" t="s">
        <v>21</v>
      </c>
    </row>
    <row r="714" spans="1:18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 s="17"/>
      <c r="I714">
        <v>45</v>
      </c>
      <c r="J714" s="6">
        <v>38639</v>
      </c>
      <c r="K714" s="8">
        <v>51404</v>
      </c>
      <c r="L714" s="1">
        <v>0</v>
      </c>
      <c r="M714" s="8">
        <f>TBL_Employees[[#This Row],[Annual Salary]]*TBL_Employees[[#This Row],[Bonus %]]</f>
        <v>0</v>
      </c>
      <c r="N714" s="8">
        <f>SUM(TBL_Employees[[#This Row],[Annual Salary]],TBL_Employees[[#This Row],[TOTAL BONUS]])</f>
        <v>51404</v>
      </c>
      <c r="O714" s="8">
        <f>TBL_Employees[[#This Row],[Annual Salary]]*TBL_Employees[[#This Row],[Bonus %]]/100+TBL_Employees[[#This Row],[Annual Salary]]</f>
        <v>51404</v>
      </c>
      <c r="P714" t="s">
        <v>52</v>
      </c>
      <c r="Q714" t="s">
        <v>81</v>
      </c>
      <c r="R714" s="6">
        <v>40153</v>
      </c>
    </row>
    <row r="715" spans="1:18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 s="17"/>
      <c r="I715">
        <v>45</v>
      </c>
      <c r="J715" s="6">
        <v>42329</v>
      </c>
      <c r="K715" s="8">
        <v>87292</v>
      </c>
      <c r="L715" s="1">
        <v>0</v>
      </c>
      <c r="M715" s="8">
        <f>TBL_Employees[[#This Row],[Annual Salary]]*TBL_Employees[[#This Row],[Bonus %]]</f>
        <v>0</v>
      </c>
      <c r="N715" s="8">
        <f>SUM(TBL_Employees[[#This Row],[Annual Salary]],TBL_Employees[[#This Row],[TOTAL BONUS]])</f>
        <v>87292</v>
      </c>
      <c r="O715" s="8">
        <f>TBL_Employees[[#This Row],[Annual Salary]]*TBL_Employees[[#This Row],[Bonus %]]/100+TBL_Employees[[#This Row],[Annual Salary]]</f>
        <v>87292</v>
      </c>
      <c r="P715" t="s">
        <v>19</v>
      </c>
      <c r="Q715" t="s">
        <v>29</v>
      </c>
      <c r="R715" s="6" t="s">
        <v>21</v>
      </c>
    </row>
    <row r="716" spans="1:18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 s="17"/>
      <c r="I716">
        <v>28</v>
      </c>
      <c r="J716" s="6">
        <v>43810</v>
      </c>
      <c r="K716" s="8">
        <v>182321</v>
      </c>
      <c r="L716" s="1">
        <v>0.28000000000000003</v>
      </c>
      <c r="M716" s="8">
        <f>TBL_Employees[[#This Row],[Annual Salary]]*TBL_Employees[[#This Row],[Bonus %]]</f>
        <v>51049.880000000005</v>
      </c>
      <c r="N716" s="8">
        <f>SUM(TBL_Employees[[#This Row],[Annual Salary]],TBL_Employees[[#This Row],[TOTAL BONUS]])</f>
        <v>233370.88</v>
      </c>
      <c r="O716" s="8">
        <f>TBL_Employees[[#This Row],[Annual Salary]]*TBL_Employees[[#This Row],[Bonus %]]/100+TBL_Employees[[#This Row],[Annual Salary]]</f>
        <v>182831.4988</v>
      </c>
      <c r="P716" t="s">
        <v>33</v>
      </c>
      <c r="Q716" t="s">
        <v>60</v>
      </c>
      <c r="R716" s="6" t="s">
        <v>21</v>
      </c>
    </row>
    <row r="717" spans="1:18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 s="17"/>
      <c r="I717">
        <v>51</v>
      </c>
      <c r="J717" s="6">
        <v>41697</v>
      </c>
      <c r="K717" s="8">
        <v>53929</v>
      </c>
      <c r="L717" s="1">
        <v>0</v>
      </c>
      <c r="M717" s="8">
        <f>TBL_Employees[[#This Row],[Annual Salary]]*TBL_Employees[[#This Row],[Bonus %]]</f>
        <v>0</v>
      </c>
      <c r="N717" s="8">
        <f>SUM(TBL_Employees[[#This Row],[Annual Salary]],TBL_Employees[[#This Row],[TOTAL BONUS]])</f>
        <v>53929</v>
      </c>
      <c r="O717" s="8">
        <f>TBL_Employees[[#This Row],[Annual Salary]]*TBL_Employees[[#This Row],[Bonus %]]/100+TBL_Employees[[#This Row],[Annual Salary]]</f>
        <v>53929</v>
      </c>
      <c r="P717" t="s">
        <v>19</v>
      </c>
      <c r="Q717" t="s">
        <v>45</v>
      </c>
      <c r="R717" s="6">
        <v>43091</v>
      </c>
    </row>
    <row r="718" spans="1:18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 s="17"/>
      <c r="I718">
        <v>38</v>
      </c>
      <c r="J718" s="6">
        <v>41256</v>
      </c>
      <c r="K718" s="8">
        <v>191571</v>
      </c>
      <c r="L718" s="1">
        <v>0.32</v>
      </c>
      <c r="M718" s="8">
        <f>TBL_Employees[[#This Row],[Annual Salary]]*TBL_Employees[[#This Row],[Bonus %]]</f>
        <v>61302.720000000001</v>
      </c>
      <c r="N718" s="8">
        <f>SUM(TBL_Employees[[#This Row],[Annual Salary]],TBL_Employees[[#This Row],[TOTAL BONUS]])</f>
        <v>252873.72</v>
      </c>
      <c r="O718" s="8">
        <f>TBL_Employees[[#This Row],[Annual Salary]]*TBL_Employees[[#This Row],[Bonus %]]/100+TBL_Employees[[#This Row],[Annual Salary]]</f>
        <v>192184.02720000001</v>
      </c>
      <c r="P718" t="s">
        <v>19</v>
      </c>
      <c r="Q718" t="s">
        <v>25</v>
      </c>
      <c r="R718" s="6" t="s">
        <v>21</v>
      </c>
    </row>
    <row r="719" spans="1:18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 s="17"/>
      <c r="I719">
        <v>62</v>
      </c>
      <c r="J719" s="6">
        <v>39843</v>
      </c>
      <c r="K719" s="8">
        <v>150555</v>
      </c>
      <c r="L719" s="1">
        <v>0.13</v>
      </c>
      <c r="M719" s="8">
        <f>TBL_Employees[[#This Row],[Annual Salary]]*TBL_Employees[[#This Row],[Bonus %]]</f>
        <v>19572.150000000001</v>
      </c>
      <c r="N719" s="8">
        <f>SUM(TBL_Employees[[#This Row],[Annual Salary]],TBL_Employees[[#This Row],[TOTAL BONUS]])</f>
        <v>170127.15</v>
      </c>
      <c r="O719" s="8">
        <f>TBL_Employees[[#This Row],[Annual Salary]]*TBL_Employees[[#This Row],[Bonus %]]/100+TBL_Employees[[#This Row],[Annual Salary]]</f>
        <v>150750.72150000001</v>
      </c>
      <c r="P719" t="s">
        <v>19</v>
      </c>
      <c r="Q719" t="s">
        <v>39</v>
      </c>
      <c r="R719" s="6" t="s">
        <v>21</v>
      </c>
    </row>
    <row r="720" spans="1:18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 s="17"/>
      <c r="I720">
        <v>52</v>
      </c>
      <c r="J720" s="6">
        <v>40091</v>
      </c>
      <c r="K720" s="8">
        <v>122890</v>
      </c>
      <c r="L720" s="1">
        <v>7.0000000000000007E-2</v>
      </c>
      <c r="M720" s="8">
        <f>TBL_Employees[[#This Row],[Annual Salary]]*TBL_Employees[[#This Row],[Bonus %]]</f>
        <v>8602.3000000000011</v>
      </c>
      <c r="N720" s="8">
        <f>SUM(TBL_Employees[[#This Row],[Annual Salary]],TBL_Employees[[#This Row],[TOTAL BONUS]])</f>
        <v>131492.29999999999</v>
      </c>
      <c r="O720" s="8">
        <f>TBL_Employees[[#This Row],[Annual Salary]]*TBL_Employees[[#This Row],[Bonus %]]/100+TBL_Employees[[#This Row],[Annual Salary]]</f>
        <v>122976.023</v>
      </c>
      <c r="P720" t="s">
        <v>33</v>
      </c>
      <c r="Q720" t="s">
        <v>74</v>
      </c>
      <c r="R720" s="6" t="s">
        <v>21</v>
      </c>
    </row>
    <row r="721" spans="1:18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 s="17"/>
      <c r="I721">
        <v>52</v>
      </c>
      <c r="J721" s="6">
        <v>35576</v>
      </c>
      <c r="K721" s="8">
        <v>216999</v>
      </c>
      <c r="L721" s="1">
        <v>0.37</v>
      </c>
      <c r="M721" s="8">
        <f>TBL_Employees[[#This Row],[Annual Salary]]*TBL_Employees[[#This Row],[Bonus %]]</f>
        <v>80289.63</v>
      </c>
      <c r="N721" s="8">
        <f>SUM(TBL_Employees[[#This Row],[Annual Salary]],TBL_Employees[[#This Row],[TOTAL BONUS]])</f>
        <v>297288.63</v>
      </c>
      <c r="O721" s="8">
        <f>TBL_Employees[[#This Row],[Annual Salary]]*TBL_Employees[[#This Row],[Bonus %]]/100+TBL_Employees[[#This Row],[Annual Salary]]</f>
        <v>217801.89629999999</v>
      </c>
      <c r="P721" t="s">
        <v>19</v>
      </c>
      <c r="Q721" t="s">
        <v>45</v>
      </c>
      <c r="R721" s="6" t="s">
        <v>21</v>
      </c>
    </row>
    <row r="722" spans="1:18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 s="17"/>
      <c r="I722">
        <v>48</v>
      </c>
      <c r="J722" s="6">
        <v>42201</v>
      </c>
      <c r="K722" s="8">
        <v>110565</v>
      </c>
      <c r="L722" s="1">
        <v>0.09</v>
      </c>
      <c r="M722" s="8">
        <f>TBL_Employees[[#This Row],[Annual Salary]]*TBL_Employees[[#This Row],[Bonus %]]</f>
        <v>9950.85</v>
      </c>
      <c r="N722" s="8">
        <f>SUM(TBL_Employees[[#This Row],[Annual Salary]],TBL_Employees[[#This Row],[TOTAL BONUS]])</f>
        <v>120515.85</v>
      </c>
      <c r="O722" s="8">
        <f>TBL_Employees[[#This Row],[Annual Salary]]*TBL_Employees[[#This Row],[Bonus %]]/100+TBL_Employees[[#This Row],[Annual Salary]]</f>
        <v>110664.5085</v>
      </c>
      <c r="P722" t="s">
        <v>33</v>
      </c>
      <c r="Q722" t="s">
        <v>60</v>
      </c>
      <c r="R722" s="6" t="s">
        <v>21</v>
      </c>
    </row>
    <row r="723" spans="1:18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 s="17"/>
      <c r="I723">
        <v>38</v>
      </c>
      <c r="J723" s="6">
        <v>42113</v>
      </c>
      <c r="K723" s="8">
        <v>48762</v>
      </c>
      <c r="L723" s="1">
        <v>0</v>
      </c>
      <c r="M723" s="8">
        <f>TBL_Employees[[#This Row],[Annual Salary]]*TBL_Employees[[#This Row],[Bonus %]]</f>
        <v>0</v>
      </c>
      <c r="N723" s="8">
        <f>SUM(TBL_Employees[[#This Row],[Annual Salary]],TBL_Employees[[#This Row],[TOTAL BONUS]])</f>
        <v>48762</v>
      </c>
      <c r="O723" s="8">
        <f>TBL_Employees[[#This Row],[Annual Salary]]*TBL_Employees[[#This Row],[Bonus %]]/100+TBL_Employees[[#This Row],[Annual Salary]]</f>
        <v>48762</v>
      </c>
      <c r="P723" t="s">
        <v>19</v>
      </c>
      <c r="Q723" t="s">
        <v>63</v>
      </c>
      <c r="R723" s="6" t="s">
        <v>21</v>
      </c>
    </row>
    <row r="724" spans="1:18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 s="17"/>
      <c r="I724">
        <v>51</v>
      </c>
      <c r="J724" s="6">
        <v>42777</v>
      </c>
      <c r="K724" s="8">
        <v>87036</v>
      </c>
      <c r="L724" s="1">
        <v>0</v>
      </c>
      <c r="M724" s="8">
        <f>TBL_Employees[[#This Row],[Annual Salary]]*TBL_Employees[[#This Row],[Bonus %]]</f>
        <v>0</v>
      </c>
      <c r="N724" s="8">
        <f>SUM(TBL_Employees[[#This Row],[Annual Salary]],TBL_Employees[[#This Row],[TOTAL BONUS]])</f>
        <v>87036</v>
      </c>
      <c r="O724" s="8">
        <f>TBL_Employees[[#This Row],[Annual Salary]]*TBL_Employees[[#This Row],[Bonus %]]/100+TBL_Employees[[#This Row],[Annual Salary]]</f>
        <v>87036</v>
      </c>
      <c r="P724" t="s">
        <v>33</v>
      </c>
      <c r="Q724" t="s">
        <v>80</v>
      </c>
      <c r="R724" s="6" t="s">
        <v>21</v>
      </c>
    </row>
    <row r="725" spans="1:18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 s="17"/>
      <c r="I725">
        <v>32</v>
      </c>
      <c r="J725" s="6">
        <v>42702</v>
      </c>
      <c r="K725" s="8">
        <v>177443</v>
      </c>
      <c r="L725" s="1">
        <v>0.16</v>
      </c>
      <c r="M725" s="8">
        <f>TBL_Employees[[#This Row],[Annual Salary]]*TBL_Employees[[#This Row],[Bonus %]]</f>
        <v>28390.880000000001</v>
      </c>
      <c r="N725" s="8">
        <f>SUM(TBL_Employees[[#This Row],[Annual Salary]],TBL_Employees[[#This Row],[TOTAL BONUS]])</f>
        <v>205833.88</v>
      </c>
      <c r="O725" s="8">
        <f>TBL_Employees[[#This Row],[Annual Salary]]*TBL_Employees[[#This Row],[Bonus %]]/100+TBL_Employees[[#This Row],[Annual Salary]]</f>
        <v>177726.9088</v>
      </c>
      <c r="P725" t="s">
        <v>19</v>
      </c>
      <c r="Q725" t="s">
        <v>63</v>
      </c>
      <c r="R725" s="6" t="s">
        <v>21</v>
      </c>
    </row>
    <row r="726" spans="1:18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 s="17"/>
      <c r="I726">
        <v>36</v>
      </c>
      <c r="J726" s="6">
        <v>42489</v>
      </c>
      <c r="K726" s="8">
        <v>75862</v>
      </c>
      <c r="L726" s="1">
        <v>0</v>
      </c>
      <c r="M726" s="8">
        <f>TBL_Employees[[#This Row],[Annual Salary]]*TBL_Employees[[#This Row],[Bonus %]]</f>
        <v>0</v>
      </c>
      <c r="N726" s="8">
        <f>SUM(TBL_Employees[[#This Row],[Annual Salary]],TBL_Employees[[#This Row],[TOTAL BONUS]])</f>
        <v>75862</v>
      </c>
      <c r="O726" s="8">
        <f>TBL_Employees[[#This Row],[Annual Salary]]*TBL_Employees[[#This Row],[Bonus %]]/100+TBL_Employees[[#This Row],[Annual Salary]]</f>
        <v>75862</v>
      </c>
      <c r="P726" t="s">
        <v>19</v>
      </c>
      <c r="Q726" t="s">
        <v>25</v>
      </c>
      <c r="R726" s="6" t="s">
        <v>21</v>
      </c>
    </row>
    <row r="727" spans="1:18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 s="17"/>
      <c r="I727">
        <v>45</v>
      </c>
      <c r="J727" s="6">
        <v>43581</v>
      </c>
      <c r="K727" s="8">
        <v>90870</v>
      </c>
      <c r="L727" s="1">
        <v>0</v>
      </c>
      <c r="M727" s="8">
        <f>TBL_Employees[[#This Row],[Annual Salary]]*TBL_Employees[[#This Row],[Bonus %]]</f>
        <v>0</v>
      </c>
      <c r="N727" s="8">
        <f>SUM(TBL_Employees[[#This Row],[Annual Salary]],TBL_Employees[[#This Row],[TOTAL BONUS]])</f>
        <v>90870</v>
      </c>
      <c r="O727" s="8">
        <f>TBL_Employees[[#This Row],[Annual Salary]]*TBL_Employees[[#This Row],[Bonus %]]/100+TBL_Employees[[#This Row],[Annual Salary]]</f>
        <v>90870</v>
      </c>
      <c r="P727" t="s">
        <v>19</v>
      </c>
      <c r="Q727" t="s">
        <v>20</v>
      </c>
      <c r="R727" s="6" t="s">
        <v>21</v>
      </c>
    </row>
    <row r="728" spans="1:18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 s="17"/>
      <c r="I728">
        <v>32</v>
      </c>
      <c r="J728" s="6">
        <v>41977</v>
      </c>
      <c r="K728" s="8">
        <v>99202</v>
      </c>
      <c r="L728" s="1">
        <v>0.11</v>
      </c>
      <c r="M728" s="8">
        <f>TBL_Employees[[#This Row],[Annual Salary]]*TBL_Employees[[#This Row],[Bonus %]]</f>
        <v>10912.22</v>
      </c>
      <c r="N728" s="8">
        <f>SUM(TBL_Employees[[#This Row],[Annual Salary]],TBL_Employees[[#This Row],[TOTAL BONUS]])</f>
        <v>110114.22</v>
      </c>
      <c r="O728" s="8">
        <f>TBL_Employees[[#This Row],[Annual Salary]]*TBL_Employees[[#This Row],[Bonus %]]/100+TBL_Employees[[#This Row],[Annual Salary]]</f>
        <v>99311.122199999998</v>
      </c>
      <c r="P728" t="s">
        <v>19</v>
      </c>
      <c r="Q728" t="s">
        <v>39</v>
      </c>
      <c r="R728" s="6" t="s">
        <v>21</v>
      </c>
    </row>
    <row r="729" spans="1:18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 s="17"/>
      <c r="I729">
        <v>45</v>
      </c>
      <c r="J729" s="6">
        <v>39347</v>
      </c>
      <c r="K729" s="8">
        <v>92293</v>
      </c>
      <c r="L729" s="1">
        <v>0</v>
      </c>
      <c r="M729" s="8">
        <f>TBL_Employees[[#This Row],[Annual Salary]]*TBL_Employees[[#This Row],[Bonus %]]</f>
        <v>0</v>
      </c>
      <c r="N729" s="8">
        <f>SUM(TBL_Employees[[#This Row],[Annual Salary]],TBL_Employees[[#This Row],[TOTAL BONUS]])</f>
        <v>92293</v>
      </c>
      <c r="O729" s="8">
        <f>TBL_Employees[[#This Row],[Annual Salary]]*TBL_Employees[[#This Row],[Bonus %]]/100+TBL_Employees[[#This Row],[Annual Salary]]</f>
        <v>92293</v>
      </c>
      <c r="P729" t="s">
        <v>33</v>
      </c>
      <c r="Q729" t="s">
        <v>34</v>
      </c>
      <c r="R729" s="6" t="s">
        <v>21</v>
      </c>
    </row>
    <row r="730" spans="1:18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 s="17"/>
      <c r="I730">
        <v>54</v>
      </c>
      <c r="J730" s="6">
        <v>33785</v>
      </c>
      <c r="K730" s="8">
        <v>63196</v>
      </c>
      <c r="L730" s="1">
        <v>0</v>
      </c>
      <c r="M730" s="8">
        <f>TBL_Employees[[#This Row],[Annual Salary]]*TBL_Employees[[#This Row],[Bonus %]]</f>
        <v>0</v>
      </c>
      <c r="N730" s="8">
        <f>SUM(TBL_Employees[[#This Row],[Annual Salary]],TBL_Employees[[#This Row],[TOTAL BONUS]])</f>
        <v>63196</v>
      </c>
      <c r="O730" s="8">
        <f>TBL_Employees[[#This Row],[Annual Salary]]*TBL_Employees[[#This Row],[Bonus %]]/100+TBL_Employees[[#This Row],[Annual Salary]]</f>
        <v>63196</v>
      </c>
      <c r="P730" t="s">
        <v>19</v>
      </c>
      <c r="Q730" t="s">
        <v>20</v>
      </c>
      <c r="R730" s="6">
        <v>41938</v>
      </c>
    </row>
    <row r="731" spans="1:18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 s="17"/>
      <c r="I731">
        <v>48</v>
      </c>
      <c r="J731" s="6">
        <v>41032</v>
      </c>
      <c r="K731" s="8">
        <v>65340</v>
      </c>
      <c r="L731" s="1">
        <v>0</v>
      </c>
      <c r="M731" s="8">
        <f>TBL_Employees[[#This Row],[Annual Salary]]*TBL_Employees[[#This Row],[Bonus %]]</f>
        <v>0</v>
      </c>
      <c r="N731" s="8">
        <f>SUM(TBL_Employees[[#This Row],[Annual Salary]],TBL_Employees[[#This Row],[TOTAL BONUS]])</f>
        <v>65340</v>
      </c>
      <c r="O731" s="8">
        <f>TBL_Employees[[#This Row],[Annual Salary]]*TBL_Employees[[#This Row],[Bonus %]]/100+TBL_Employees[[#This Row],[Annual Salary]]</f>
        <v>65340</v>
      </c>
      <c r="P731" t="s">
        <v>33</v>
      </c>
      <c r="Q731" t="s">
        <v>74</v>
      </c>
      <c r="R731" s="6">
        <v>43229</v>
      </c>
    </row>
    <row r="732" spans="1:18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 s="17"/>
      <c r="I732">
        <v>45</v>
      </c>
      <c r="J732" s="6">
        <v>42271</v>
      </c>
      <c r="K732" s="8">
        <v>202680</v>
      </c>
      <c r="L732" s="1">
        <v>0.32</v>
      </c>
      <c r="M732" s="8">
        <f>TBL_Employees[[#This Row],[Annual Salary]]*TBL_Employees[[#This Row],[Bonus %]]</f>
        <v>64857.599999999999</v>
      </c>
      <c r="N732" s="8">
        <f>SUM(TBL_Employees[[#This Row],[Annual Salary]],TBL_Employees[[#This Row],[TOTAL BONUS]])</f>
        <v>267537.59999999998</v>
      </c>
      <c r="O732" s="8">
        <f>TBL_Employees[[#This Row],[Annual Salary]]*TBL_Employees[[#This Row],[Bonus %]]/100+TBL_Employees[[#This Row],[Annual Salary]]</f>
        <v>203328.576</v>
      </c>
      <c r="P732" t="s">
        <v>19</v>
      </c>
      <c r="Q732" t="s">
        <v>39</v>
      </c>
      <c r="R732" s="6">
        <v>44790</v>
      </c>
    </row>
    <row r="733" spans="1:18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 s="17"/>
      <c r="I733">
        <v>46</v>
      </c>
      <c r="J733" s="6">
        <v>42849</v>
      </c>
      <c r="K733" s="8">
        <v>77461</v>
      </c>
      <c r="L733" s="1">
        <v>0.09</v>
      </c>
      <c r="M733" s="8">
        <f>TBL_Employees[[#This Row],[Annual Salary]]*TBL_Employees[[#This Row],[Bonus %]]</f>
        <v>6971.49</v>
      </c>
      <c r="N733" s="8">
        <f>SUM(TBL_Employees[[#This Row],[Annual Salary]],TBL_Employees[[#This Row],[TOTAL BONUS]])</f>
        <v>84432.49</v>
      </c>
      <c r="O733" s="8">
        <f>TBL_Employees[[#This Row],[Annual Salary]]*TBL_Employees[[#This Row],[Bonus %]]/100+TBL_Employees[[#This Row],[Annual Salary]]</f>
        <v>77530.714900000006</v>
      </c>
      <c r="P733" t="s">
        <v>52</v>
      </c>
      <c r="Q733" t="s">
        <v>53</v>
      </c>
      <c r="R733" s="6" t="s">
        <v>21</v>
      </c>
    </row>
    <row r="734" spans="1:18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 s="17"/>
      <c r="I734">
        <v>40</v>
      </c>
      <c r="J734" s="6">
        <v>42622</v>
      </c>
      <c r="K734" s="8">
        <v>109680</v>
      </c>
      <c r="L734" s="1">
        <v>0</v>
      </c>
      <c r="M734" s="8">
        <f>TBL_Employees[[#This Row],[Annual Salary]]*TBL_Employees[[#This Row],[Bonus %]]</f>
        <v>0</v>
      </c>
      <c r="N734" s="8">
        <f>SUM(TBL_Employees[[#This Row],[Annual Salary]],TBL_Employees[[#This Row],[TOTAL BONUS]])</f>
        <v>109680</v>
      </c>
      <c r="O734" s="8">
        <f>TBL_Employees[[#This Row],[Annual Salary]]*TBL_Employees[[#This Row],[Bonus %]]/100+TBL_Employees[[#This Row],[Annual Salary]]</f>
        <v>109680</v>
      </c>
      <c r="P734" t="s">
        <v>33</v>
      </c>
      <c r="Q734" t="s">
        <v>34</v>
      </c>
      <c r="R734" s="6" t="s">
        <v>21</v>
      </c>
    </row>
    <row r="735" spans="1:18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 s="17"/>
      <c r="I735">
        <v>61</v>
      </c>
      <c r="J735" s="6">
        <v>35661</v>
      </c>
      <c r="K735" s="8">
        <v>159567</v>
      </c>
      <c r="L735" s="1">
        <v>0.28000000000000003</v>
      </c>
      <c r="M735" s="8">
        <f>TBL_Employees[[#This Row],[Annual Salary]]*TBL_Employees[[#This Row],[Bonus %]]</f>
        <v>44678.76</v>
      </c>
      <c r="N735" s="8">
        <f>SUM(TBL_Employees[[#This Row],[Annual Salary]],TBL_Employees[[#This Row],[TOTAL BONUS]])</f>
        <v>204245.76000000001</v>
      </c>
      <c r="O735" s="8">
        <f>TBL_Employees[[#This Row],[Annual Salary]]*TBL_Employees[[#This Row],[Bonus %]]/100+TBL_Employees[[#This Row],[Annual Salary]]</f>
        <v>160013.78760000001</v>
      </c>
      <c r="P735" t="s">
        <v>19</v>
      </c>
      <c r="Q735" t="s">
        <v>39</v>
      </c>
      <c r="R735" s="6" t="s">
        <v>21</v>
      </c>
    </row>
    <row r="736" spans="1:18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 s="17"/>
      <c r="I736">
        <v>54</v>
      </c>
      <c r="J736" s="6">
        <v>41237</v>
      </c>
      <c r="K736" s="8">
        <v>94407</v>
      </c>
      <c r="L736" s="1">
        <v>0</v>
      </c>
      <c r="M736" s="8">
        <f>TBL_Employees[[#This Row],[Annual Salary]]*TBL_Employees[[#This Row],[Bonus %]]</f>
        <v>0</v>
      </c>
      <c r="N736" s="8">
        <f>SUM(TBL_Employees[[#This Row],[Annual Salary]],TBL_Employees[[#This Row],[TOTAL BONUS]])</f>
        <v>94407</v>
      </c>
      <c r="O736" s="8">
        <f>TBL_Employees[[#This Row],[Annual Salary]]*TBL_Employees[[#This Row],[Bonus %]]/100+TBL_Employees[[#This Row],[Annual Salary]]</f>
        <v>94407</v>
      </c>
      <c r="P736" t="s">
        <v>52</v>
      </c>
      <c r="Q736" t="s">
        <v>53</v>
      </c>
      <c r="R736" s="6" t="s">
        <v>21</v>
      </c>
    </row>
    <row r="737" spans="1:18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 s="17"/>
      <c r="I737">
        <v>62</v>
      </c>
      <c r="J737" s="6">
        <v>37484</v>
      </c>
      <c r="K737" s="8">
        <v>234594</v>
      </c>
      <c r="L737" s="1">
        <v>0.33</v>
      </c>
      <c r="M737" s="8">
        <f>TBL_Employees[[#This Row],[Annual Salary]]*TBL_Employees[[#This Row],[Bonus %]]</f>
        <v>77416.02</v>
      </c>
      <c r="N737" s="8">
        <f>SUM(TBL_Employees[[#This Row],[Annual Salary]],TBL_Employees[[#This Row],[TOTAL BONUS]])</f>
        <v>312010.02</v>
      </c>
      <c r="O737" s="8">
        <f>TBL_Employees[[#This Row],[Annual Salary]]*TBL_Employees[[#This Row],[Bonus %]]/100+TBL_Employees[[#This Row],[Annual Salary]]</f>
        <v>235368.16020000001</v>
      </c>
      <c r="P737" t="s">
        <v>19</v>
      </c>
      <c r="Q737" t="s">
        <v>63</v>
      </c>
      <c r="R737" s="6" t="s">
        <v>21</v>
      </c>
    </row>
    <row r="738" spans="1:18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 s="17"/>
      <c r="I738">
        <v>48</v>
      </c>
      <c r="J738" s="6">
        <v>37298</v>
      </c>
      <c r="K738" s="8">
        <v>43080</v>
      </c>
      <c r="L738" s="1">
        <v>0</v>
      </c>
      <c r="M738" s="8">
        <f>TBL_Employees[[#This Row],[Annual Salary]]*TBL_Employees[[#This Row],[Bonus %]]</f>
        <v>0</v>
      </c>
      <c r="N738" s="8">
        <f>SUM(TBL_Employees[[#This Row],[Annual Salary]],TBL_Employees[[#This Row],[TOTAL BONUS]])</f>
        <v>43080</v>
      </c>
      <c r="O738" s="8">
        <f>TBL_Employees[[#This Row],[Annual Salary]]*TBL_Employees[[#This Row],[Bonus %]]/100+TBL_Employees[[#This Row],[Annual Salary]]</f>
        <v>43080</v>
      </c>
      <c r="P738" t="s">
        <v>19</v>
      </c>
      <c r="Q738" t="s">
        <v>25</v>
      </c>
      <c r="R738" s="6" t="s">
        <v>21</v>
      </c>
    </row>
    <row r="739" spans="1:18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 s="17"/>
      <c r="I739">
        <v>29</v>
      </c>
      <c r="J739" s="6">
        <v>44325</v>
      </c>
      <c r="K739" s="8">
        <v>129541</v>
      </c>
      <c r="L739" s="1">
        <v>0.08</v>
      </c>
      <c r="M739" s="8">
        <f>TBL_Employees[[#This Row],[Annual Salary]]*TBL_Employees[[#This Row],[Bonus %]]</f>
        <v>10363.280000000001</v>
      </c>
      <c r="N739" s="8">
        <f>SUM(TBL_Employees[[#This Row],[Annual Salary]],TBL_Employees[[#This Row],[TOTAL BONUS]])</f>
        <v>139904.28</v>
      </c>
      <c r="O739" s="8">
        <f>TBL_Employees[[#This Row],[Annual Salary]]*TBL_Employees[[#This Row],[Bonus %]]/100+TBL_Employees[[#This Row],[Annual Salary]]</f>
        <v>129644.63280000001</v>
      </c>
      <c r="P739" t="s">
        <v>19</v>
      </c>
      <c r="Q739" t="s">
        <v>39</v>
      </c>
      <c r="R739" s="6">
        <v>44340</v>
      </c>
    </row>
    <row r="740" spans="1:18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 s="17"/>
      <c r="I740">
        <v>39</v>
      </c>
      <c r="J740" s="6">
        <v>41635</v>
      </c>
      <c r="K740" s="8">
        <v>165756</v>
      </c>
      <c r="L740" s="1">
        <v>0.28000000000000003</v>
      </c>
      <c r="M740" s="8">
        <f>TBL_Employees[[#This Row],[Annual Salary]]*TBL_Employees[[#This Row],[Bonus %]]</f>
        <v>46411.680000000008</v>
      </c>
      <c r="N740" s="8">
        <f>SUM(TBL_Employees[[#This Row],[Annual Salary]],TBL_Employees[[#This Row],[TOTAL BONUS]])</f>
        <v>212167.67999999999</v>
      </c>
      <c r="O740" s="8">
        <f>TBL_Employees[[#This Row],[Annual Salary]]*TBL_Employees[[#This Row],[Bonus %]]/100+TBL_Employees[[#This Row],[Annual Salary]]</f>
        <v>166220.11679999999</v>
      </c>
      <c r="P740" t="s">
        <v>19</v>
      </c>
      <c r="Q740" t="s">
        <v>29</v>
      </c>
      <c r="R740" s="6">
        <v>43991</v>
      </c>
    </row>
    <row r="741" spans="1:18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 s="17"/>
      <c r="I741">
        <v>44</v>
      </c>
      <c r="J741" s="6">
        <v>40274</v>
      </c>
      <c r="K741" s="8">
        <v>142878</v>
      </c>
      <c r="L741" s="1">
        <v>0.12</v>
      </c>
      <c r="M741" s="8">
        <f>TBL_Employees[[#This Row],[Annual Salary]]*TBL_Employees[[#This Row],[Bonus %]]</f>
        <v>17145.36</v>
      </c>
      <c r="N741" s="8">
        <f>SUM(TBL_Employees[[#This Row],[Annual Salary]],TBL_Employees[[#This Row],[TOTAL BONUS]])</f>
        <v>160023.35999999999</v>
      </c>
      <c r="O741" s="8">
        <f>TBL_Employees[[#This Row],[Annual Salary]]*TBL_Employees[[#This Row],[Bonus %]]/100+TBL_Employees[[#This Row],[Annual Salary]]</f>
        <v>143049.45360000001</v>
      </c>
      <c r="P741" t="s">
        <v>19</v>
      </c>
      <c r="Q741" t="s">
        <v>29</v>
      </c>
      <c r="R741" s="6" t="s">
        <v>21</v>
      </c>
    </row>
    <row r="742" spans="1:18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 s="17"/>
      <c r="I742">
        <v>52</v>
      </c>
      <c r="J742" s="6">
        <v>39018</v>
      </c>
      <c r="K742" s="8">
        <v>187992</v>
      </c>
      <c r="L742" s="1">
        <v>0.28000000000000003</v>
      </c>
      <c r="M742" s="8">
        <f>TBL_Employees[[#This Row],[Annual Salary]]*TBL_Employees[[#This Row],[Bonus %]]</f>
        <v>52637.760000000002</v>
      </c>
      <c r="N742" s="8">
        <f>SUM(TBL_Employees[[#This Row],[Annual Salary]],TBL_Employees[[#This Row],[TOTAL BONUS]])</f>
        <v>240629.76000000001</v>
      </c>
      <c r="O742" s="8">
        <f>TBL_Employees[[#This Row],[Annual Salary]]*TBL_Employees[[#This Row],[Bonus %]]/100+TBL_Employees[[#This Row],[Annual Salary]]</f>
        <v>188518.37760000001</v>
      </c>
      <c r="P742" t="s">
        <v>19</v>
      </c>
      <c r="Q742" t="s">
        <v>45</v>
      </c>
      <c r="R742" s="6" t="s">
        <v>21</v>
      </c>
    </row>
    <row r="743" spans="1:18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 s="17"/>
      <c r="I743">
        <v>45</v>
      </c>
      <c r="J743" s="6">
        <v>43521</v>
      </c>
      <c r="K743" s="8">
        <v>249801</v>
      </c>
      <c r="L743" s="1">
        <v>0.39</v>
      </c>
      <c r="M743" s="8">
        <f>TBL_Employees[[#This Row],[Annual Salary]]*TBL_Employees[[#This Row],[Bonus %]]</f>
        <v>97422.39</v>
      </c>
      <c r="N743" s="8">
        <f>SUM(TBL_Employees[[#This Row],[Annual Salary]],TBL_Employees[[#This Row],[TOTAL BONUS]])</f>
        <v>347223.39</v>
      </c>
      <c r="O743" s="8">
        <f>TBL_Employees[[#This Row],[Annual Salary]]*TBL_Employees[[#This Row],[Bonus %]]/100+TBL_Employees[[#This Row],[Annual Salary]]</f>
        <v>250775.22390000001</v>
      </c>
      <c r="P743" t="s">
        <v>52</v>
      </c>
      <c r="Q743" t="s">
        <v>53</v>
      </c>
      <c r="R743" s="6" t="s">
        <v>21</v>
      </c>
    </row>
    <row r="744" spans="1:18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 s="17"/>
      <c r="I744">
        <v>48</v>
      </c>
      <c r="J744" s="6">
        <v>38987</v>
      </c>
      <c r="K744" s="8">
        <v>76505</v>
      </c>
      <c r="L744" s="1">
        <v>0</v>
      </c>
      <c r="M744" s="8">
        <f>TBL_Employees[[#This Row],[Annual Salary]]*TBL_Employees[[#This Row],[Bonus %]]</f>
        <v>0</v>
      </c>
      <c r="N744" s="8">
        <f>SUM(TBL_Employees[[#This Row],[Annual Salary]],TBL_Employees[[#This Row],[TOTAL BONUS]])</f>
        <v>76505</v>
      </c>
      <c r="O744" s="8">
        <f>TBL_Employees[[#This Row],[Annual Salary]]*TBL_Employees[[#This Row],[Bonus %]]/100+TBL_Employees[[#This Row],[Annual Salary]]</f>
        <v>76505</v>
      </c>
      <c r="P744" t="s">
        <v>19</v>
      </c>
      <c r="Q744" t="s">
        <v>63</v>
      </c>
      <c r="R744" s="6">
        <v>39180</v>
      </c>
    </row>
    <row r="745" spans="1:18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 s="17"/>
      <c r="I745">
        <v>39</v>
      </c>
      <c r="J745" s="6">
        <v>42664</v>
      </c>
      <c r="K745" s="8">
        <v>84297</v>
      </c>
      <c r="L745" s="1">
        <v>0</v>
      </c>
      <c r="M745" s="8">
        <f>TBL_Employees[[#This Row],[Annual Salary]]*TBL_Employees[[#This Row],[Bonus %]]</f>
        <v>0</v>
      </c>
      <c r="N745" s="8">
        <f>SUM(TBL_Employees[[#This Row],[Annual Salary]],TBL_Employees[[#This Row],[TOTAL BONUS]])</f>
        <v>84297</v>
      </c>
      <c r="O745" s="8">
        <f>TBL_Employees[[#This Row],[Annual Salary]]*TBL_Employees[[#This Row],[Bonus %]]/100+TBL_Employees[[#This Row],[Annual Salary]]</f>
        <v>84297</v>
      </c>
      <c r="P745" t="s">
        <v>52</v>
      </c>
      <c r="Q745" t="s">
        <v>81</v>
      </c>
      <c r="R745" s="6" t="s">
        <v>21</v>
      </c>
    </row>
    <row r="746" spans="1:18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 s="17"/>
      <c r="I746">
        <v>53</v>
      </c>
      <c r="J746" s="6">
        <v>42744</v>
      </c>
      <c r="K746" s="8">
        <v>75769</v>
      </c>
      <c r="L746" s="1">
        <v>0</v>
      </c>
      <c r="M746" s="8">
        <f>TBL_Employees[[#This Row],[Annual Salary]]*TBL_Employees[[#This Row],[Bonus %]]</f>
        <v>0</v>
      </c>
      <c r="N746" s="8">
        <f>SUM(TBL_Employees[[#This Row],[Annual Salary]],TBL_Employees[[#This Row],[TOTAL BONUS]])</f>
        <v>75769</v>
      </c>
      <c r="O746" s="8">
        <f>TBL_Employees[[#This Row],[Annual Salary]]*TBL_Employees[[#This Row],[Bonus %]]/100+TBL_Employees[[#This Row],[Annual Salary]]</f>
        <v>75769</v>
      </c>
      <c r="P746" t="s">
        <v>52</v>
      </c>
      <c r="Q746" t="s">
        <v>81</v>
      </c>
      <c r="R746" s="6">
        <v>44029</v>
      </c>
    </row>
    <row r="747" spans="1:18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 s="17"/>
      <c r="I747">
        <v>41</v>
      </c>
      <c r="J747" s="6">
        <v>41503</v>
      </c>
      <c r="K747" s="8">
        <v>235619</v>
      </c>
      <c r="L747" s="1">
        <v>0.3</v>
      </c>
      <c r="M747" s="8">
        <f>TBL_Employees[[#This Row],[Annual Salary]]*TBL_Employees[[#This Row],[Bonus %]]</f>
        <v>70685.7</v>
      </c>
      <c r="N747" s="8">
        <f>SUM(TBL_Employees[[#This Row],[Annual Salary]],TBL_Employees[[#This Row],[TOTAL BONUS]])</f>
        <v>306304.7</v>
      </c>
      <c r="O747" s="8">
        <f>TBL_Employees[[#This Row],[Annual Salary]]*TBL_Employees[[#This Row],[Bonus %]]/100+TBL_Employees[[#This Row],[Annual Salary]]</f>
        <v>236325.85699999999</v>
      </c>
      <c r="P747" t="s">
        <v>19</v>
      </c>
      <c r="Q747" t="s">
        <v>63</v>
      </c>
      <c r="R747" s="6" t="s">
        <v>21</v>
      </c>
    </row>
    <row r="748" spans="1:18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 s="17"/>
      <c r="I748">
        <v>40</v>
      </c>
      <c r="J748" s="6">
        <v>43868</v>
      </c>
      <c r="K748" s="8">
        <v>187187</v>
      </c>
      <c r="L748" s="1">
        <v>0.18</v>
      </c>
      <c r="M748" s="8">
        <f>TBL_Employees[[#This Row],[Annual Salary]]*TBL_Employees[[#This Row],[Bonus %]]</f>
        <v>33693.659999999996</v>
      </c>
      <c r="N748" s="8">
        <f>SUM(TBL_Employees[[#This Row],[Annual Salary]],TBL_Employees[[#This Row],[TOTAL BONUS]])</f>
        <v>220880.66</v>
      </c>
      <c r="O748" s="8">
        <f>TBL_Employees[[#This Row],[Annual Salary]]*TBL_Employees[[#This Row],[Bonus %]]/100+TBL_Employees[[#This Row],[Annual Salary]]</f>
        <v>187523.93659999999</v>
      </c>
      <c r="P748" t="s">
        <v>52</v>
      </c>
      <c r="Q748" t="s">
        <v>81</v>
      </c>
      <c r="R748" s="6" t="s">
        <v>21</v>
      </c>
    </row>
    <row r="749" spans="1:18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 s="17"/>
      <c r="I749">
        <v>48</v>
      </c>
      <c r="J749" s="6">
        <v>38560</v>
      </c>
      <c r="K749" s="8">
        <v>68987</v>
      </c>
      <c r="L749" s="1">
        <v>0</v>
      </c>
      <c r="M749" s="8">
        <f>TBL_Employees[[#This Row],[Annual Salary]]*TBL_Employees[[#This Row],[Bonus %]]</f>
        <v>0</v>
      </c>
      <c r="N749" s="8">
        <f>SUM(TBL_Employees[[#This Row],[Annual Salary]],TBL_Employees[[#This Row],[TOTAL BONUS]])</f>
        <v>68987</v>
      </c>
      <c r="O749" s="8">
        <f>TBL_Employees[[#This Row],[Annual Salary]]*TBL_Employees[[#This Row],[Bonus %]]/100+TBL_Employees[[#This Row],[Annual Salary]]</f>
        <v>68987</v>
      </c>
      <c r="P749" t="s">
        <v>19</v>
      </c>
      <c r="Q749" t="s">
        <v>20</v>
      </c>
      <c r="R749" s="6">
        <v>38829</v>
      </c>
    </row>
    <row r="750" spans="1:18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 s="17"/>
      <c r="I750">
        <v>41</v>
      </c>
      <c r="J750" s="6">
        <v>39156</v>
      </c>
      <c r="K750" s="8">
        <v>155926</v>
      </c>
      <c r="L750" s="1">
        <v>0.24</v>
      </c>
      <c r="M750" s="8">
        <f>TBL_Employees[[#This Row],[Annual Salary]]*TBL_Employees[[#This Row],[Bonus %]]</f>
        <v>37422.239999999998</v>
      </c>
      <c r="N750" s="8">
        <f>SUM(TBL_Employees[[#This Row],[Annual Salary]],TBL_Employees[[#This Row],[TOTAL BONUS]])</f>
        <v>193348.24</v>
      </c>
      <c r="O750" s="8">
        <f>TBL_Employees[[#This Row],[Annual Salary]]*TBL_Employees[[#This Row],[Bonus %]]/100+TBL_Employees[[#This Row],[Annual Salary]]</f>
        <v>156300.2224</v>
      </c>
      <c r="P750" t="s">
        <v>19</v>
      </c>
      <c r="Q750" t="s">
        <v>29</v>
      </c>
      <c r="R750" s="6">
        <v>39598</v>
      </c>
    </row>
    <row r="751" spans="1:18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 s="17"/>
      <c r="I751">
        <v>54</v>
      </c>
      <c r="J751" s="6">
        <v>42494</v>
      </c>
      <c r="K751" s="8">
        <v>93668</v>
      </c>
      <c r="L751" s="1">
        <v>0</v>
      </c>
      <c r="M751" s="8">
        <f>TBL_Employees[[#This Row],[Annual Salary]]*TBL_Employees[[#This Row],[Bonus %]]</f>
        <v>0</v>
      </c>
      <c r="N751" s="8">
        <f>SUM(TBL_Employees[[#This Row],[Annual Salary]],TBL_Employees[[#This Row],[TOTAL BONUS]])</f>
        <v>93668</v>
      </c>
      <c r="O751" s="8">
        <f>TBL_Employees[[#This Row],[Annual Salary]]*TBL_Employees[[#This Row],[Bonus %]]/100+TBL_Employees[[#This Row],[Annual Salary]]</f>
        <v>93668</v>
      </c>
      <c r="P751" t="s">
        <v>19</v>
      </c>
      <c r="Q751" t="s">
        <v>20</v>
      </c>
      <c r="R751" s="6" t="s">
        <v>21</v>
      </c>
    </row>
    <row r="752" spans="1:18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 s="17"/>
      <c r="I752">
        <v>38</v>
      </c>
      <c r="J752" s="6">
        <v>43798</v>
      </c>
      <c r="K752" s="8">
        <v>69647</v>
      </c>
      <c r="L752" s="1">
        <v>0</v>
      </c>
      <c r="M752" s="8">
        <f>TBL_Employees[[#This Row],[Annual Salary]]*TBL_Employees[[#This Row],[Bonus %]]</f>
        <v>0</v>
      </c>
      <c r="N752" s="8">
        <f>SUM(TBL_Employees[[#This Row],[Annual Salary]],TBL_Employees[[#This Row],[TOTAL BONUS]])</f>
        <v>69647</v>
      </c>
      <c r="O752" s="8">
        <f>TBL_Employees[[#This Row],[Annual Salary]]*TBL_Employees[[#This Row],[Bonus %]]/100+TBL_Employees[[#This Row],[Annual Salary]]</f>
        <v>69647</v>
      </c>
      <c r="P752" t="s">
        <v>19</v>
      </c>
      <c r="Q752" t="s">
        <v>45</v>
      </c>
      <c r="R752" s="6">
        <v>44671</v>
      </c>
    </row>
    <row r="753" spans="1:18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 s="17"/>
      <c r="I753">
        <v>57</v>
      </c>
      <c r="J753" s="6">
        <v>37798</v>
      </c>
      <c r="K753" s="8">
        <v>63318</v>
      </c>
      <c r="L753" s="1">
        <v>0</v>
      </c>
      <c r="M753" s="8">
        <f>TBL_Employees[[#This Row],[Annual Salary]]*TBL_Employees[[#This Row],[Bonus %]]</f>
        <v>0</v>
      </c>
      <c r="N753" s="8">
        <f>SUM(TBL_Employees[[#This Row],[Annual Salary]],TBL_Employees[[#This Row],[TOTAL BONUS]])</f>
        <v>63318</v>
      </c>
      <c r="O753" s="8">
        <f>TBL_Employees[[#This Row],[Annual Salary]]*TBL_Employees[[#This Row],[Bonus %]]/100+TBL_Employees[[#This Row],[Annual Salary]]</f>
        <v>63318</v>
      </c>
      <c r="P753" t="s">
        <v>19</v>
      </c>
      <c r="Q753" t="s">
        <v>29</v>
      </c>
      <c r="R753" s="6" t="s">
        <v>21</v>
      </c>
    </row>
    <row r="754" spans="1:18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 s="17"/>
      <c r="I754">
        <v>63</v>
      </c>
      <c r="J754" s="6">
        <v>42778</v>
      </c>
      <c r="K754" s="8">
        <v>77629</v>
      </c>
      <c r="L754" s="1">
        <v>0</v>
      </c>
      <c r="M754" s="8">
        <f>TBL_Employees[[#This Row],[Annual Salary]]*TBL_Employees[[#This Row],[Bonus %]]</f>
        <v>0</v>
      </c>
      <c r="N754" s="8">
        <f>SUM(TBL_Employees[[#This Row],[Annual Salary]],TBL_Employees[[#This Row],[TOTAL BONUS]])</f>
        <v>77629</v>
      </c>
      <c r="O754" s="8">
        <f>TBL_Employees[[#This Row],[Annual Salary]]*TBL_Employees[[#This Row],[Bonus %]]/100+TBL_Employees[[#This Row],[Annual Salary]]</f>
        <v>77629</v>
      </c>
      <c r="P754" t="s">
        <v>33</v>
      </c>
      <c r="Q754" t="s">
        <v>60</v>
      </c>
      <c r="R754" s="6" t="s">
        <v>21</v>
      </c>
    </row>
    <row r="755" spans="1:18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 s="17"/>
      <c r="I755">
        <v>62</v>
      </c>
      <c r="J755" s="6">
        <v>43061</v>
      </c>
      <c r="K755" s="8">
        <v>138808</v>
      </c>
      <c r="L755" s="1">
        <v>0.15</v>
      </c>
      <c r="M755" s="8">
        <f>TBL_Employees[[#This Row],[Annual Salary]]*TBL_Employees[[#This Row],[Bonus %]]</f>
        <v>20821.2</v>
      </c>
      <c r="N755" s="8">
        <f>SUM(TBL_Employees[[#This Row],[Annual Salary]],TBL_Employees[[#This Row],[TOTAL BONUS]])</f>
        <v>159629.20000000001</v>
      </c>
      <c r="O755" s="8">
        <f>TBL_Employees[[#This Row],[Annual Salary]]*TBL_Employees[[#This Row],[Bonus %]]/100+TBL_Employees[[#This Row],[Annual Salary]]</f>
        <v>139016.212</v>
      </c>
      <c r="P755" t="s">
        <v>33</v>
      </c>
      <c r="Q755" t="s">
        <v>80</v>
      </c>
      <c r="R755" s="6" t="s">
        <v>21</v>
      </c>
    </row>
    <row r="756" spans="1:18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 s="17"/>
      <c r="I756">
        <v>49</v>
      </c>
      <c r="J756" s="6">
        <v>41703</v>
      </c>
      <c r="K756" s="8">
        <v>88777</v>
      </c>
      <c r="L756" s="1">
        <v>0</v>
      </c>
      <c r="M756" s="8">
        <f>TBL_Employees[[#This Row],[Annual Salary]]*TBL_Employees[[#This Row],[Bonus %]]</f>
        <v>0</v>
      </c>
      <c r="N756" s="8">
        <f>SUM(TBL_Employees[[#This Row],[Annual Salary]],TBL_Employees[[#This Row],[TOTAL BONUS]])</f>
        <v>88777</v>
      </c>
      <c r="O756" s="8">
        <f>TBL_Employees[[#This Row],[Annual Salary]]*TBL_Employees[[#This Row],[Bonus %]]/100+TBL_Employees[[#This Row],[Annual Salary]]</f>
        <v>88777</v>
      </c>
      <c r="P756" t="s">
        <v>19</v>
      </c>
      <c r="Q756" t="s">
        <v>20</v>
      </c>
      <c r="R756" s="6" t="s">
        <v>21</v>
      </c>
    </row>
    <row r="757" spans="1:18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 s="17"/>
      <c r="I757">
        <v>60</v>
      </c>
      <c r="J757" s="6">
        <v>38121</v>
      </c>
      <c r="K757" s="8">
        <v>186378</v>
      </c>
      <c r="L757" s="1">
        <v>0.26</v>
      </c>
      <c r="M757" s="8">
        <f>TBL_Employees[[#This Row],[Annual Salary]]*TBL_Employees[[#This Row],[Bonus %]]</f>
        <v>48458.28</v>
      </c>
      <c r="N757" s="8">
        <f>SUM(TBL_Employees[[#This Row],[Annual Salary]],TBL_Employees[[#This Row],[TOTAL BONUS]])</f>
        <v>234836.28</v>
      </c>
      <c r="O757" s="8">
        <f>TBL_Employees[[#This Row],[Annual Salary]]*TBL_Employees[[#This Row],[Bonus %]]/100+TBL_Employees[[#This Row],[Annual Salary]]</f>
        <v>186862.5828</v>
      </c>
      <c r="P757" t="s">
        <v>33</v>
      </c>
      <c r="Q757" t="s">
        <v>80</v>
      </c>
      <c r="R757" s="6" t="s">
        <v>21</v>
      </c>
    </row>
    <row r="758" spans="1:18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 s="17"/>
      <c r="I758">
        <v>45</v>
      </c>
      <c r="J758" s="6">
        <v>42117</v>
      </c>
      <c r="K758" s="8">
        <v>60017</v>
      </c>
      <c r="L758" s="1">
        <v>0</v>
      </c>
      <c r="M758" s="8">
        <f>TBL_Employees[[#This Row],[Annual Salary]]*TBL_Employees[[#This Row],[Bonus %]]</f>
        <v>0</v>
      </c>
      <c r="N758" s="8">
        <f>SUM(TBL_Employees[[#This Row],[Annual Salary]],TBL_Employees[[#This Row],[TOTAL BONUS]])</f>
        <v>60017</v>
      </c>
      <c r="O758" s="8">
        <f>TBL_Employees[[#This Row],[Annual Salary]]*TBL_Employees[[#This Row],[Bonus %]]/100+TBL_Employees[[#This Row],[Annual Salary]]</f>
        <v>60017</v>
      </c>
      <c r="P758" t="s">
        <v>19</v>
      </c>
      <c r="Q758" t="s">
        <v>20</v>
      </c>
      <c r="R758" s="6" t="s">
        <v>21</v>
      </c>
    </row>
    <row r="759" spans="1:18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 s="17"/>
      <c r="I759">
        <v>45</v>
      </c>
      <c r="J759" s="6">
        <v>43305</v>
      </c>
      <c r="K759" s="8">
        <v>148991</v>
      </c>
      <c r="L759" s="1">
        <v>0.12</v>
      </c>
      <c r="M759" s="8">
        <f>TBL_Employees[[#This Row],[Annual Salary]]*TBL_Employees[[#This Row],[Bonus %]]</f>
        <v>17878.919999999998</v>
      </c>
      <c r="N759" s="8">
        <f>SUM(TBL_Employees[[#This Row],[Annual Salary]],TBL_Employees[[#This Row],[TOTAL BONUS]])</f>
        <v>166869.91999999998</v>
      </c>
      <c r="O759" s="8">
        <f>TBL_Employees[[#This Row],[Annual Salary]]*TBL_Employees[[#This Row],[Bonus %]]/100+TBL_Employees[[#This Row],[Annual Salary]]</f>
        <v>149169.7892</v>
      </c>
      <c r="P759" t="s">
        <v>52</v>
      </c>
      <c r="Q759" t="s">
        <v>53</v>
      </c>
      <c r="R759" s="6" t="s">
        <v>21</v>
      </c>
    </row>
    <row r="760" spans="1:18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 s="17"/>
      <c r="I760">
        <v>52</v>
      </c>
      <c r="J760" s="6">
        <v>39532</v>
      </c>
      <c r="K760" s="8">
        <v>97398</v>
      </c>
      <c r="L760" s="1">
        <v>0</v>
      </c>
      <c r="M760" s="8">
        <f>TBL_Employees[[#This Row],[Annual Salary]]*TBL_Employees[[#This Row],[Bonus %]]</f>
        <v>0</v>
      </c>
      <c r="N760" s="8">
        <f>SUM(TBL_Employees[[#This Row],[Annual Salary]],TBL_Employees[[#This Row],[TOTAL BONUS]])</f>
        <v>97398</v>
      </c>
      <c r="O760" s="8">
        <f>TBL_Employees[[#This Row],[Annual Salary]]*TBL_Employees[[#This Row],[Bonus %]]/100+TBL_Employees[[#This Row],[Annual Salary]]</f>
        <v>97398</v>
      </c>
      <c r="P760" t="s">
        <v>52</v>
      </c>
      <c r="Q760" t="s">
        <v>81</v>
      </c>
      <c r="R760" s="6" t="s">
        <v>21</v>
      </c>
    </row>
    <row r="761" spans="1:18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 s="17"/>
      <c r="I761">
        <v>63</v>
      </c>
      <c r="J761" s="6">
        <v>39204</v>
      </c>
      <c r="K761" s="8">
        <v>72805</v>
      </c>
      <c r="L761" s="1">
        <v>0</v>
      </c>
      <c r="M761" s="8">
        <f>TBL_Employees[[#This Row],[Annual Salary]]*TBL_Employees[[#This Row],[Bonus %]]</f>
        <v>0</v>
      </c>
      <c r="N761" s="8">
        <f>SUM(TBL_Employees[[#This Row],[Annual Salary]],TBL_Employees[[#This Row],[TOTAL BONUS]])</f>
        <v>72805</v>
      </c>
      <c r="O761" s="8">
        <f>TBL_Employees[[#This Row],[Annual Salary]]*TBL_Employees[[#This Row],[Bonus %]]/100+TBL_Employees[[#This Row],[Annual Salary]]</f>
        <v>72805</v>
      </c>
      <c r="P761" t="s">
        <v>33</v>
      </c>
      <c r="Q761" t="s">
        <v>74</v>
      </c>
      <c r="R761" s="6" t="s">
        <v>21</v>
      </c>
    </row>
    <row r="762" spans="1:18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 s="17"/>
      <c r="I762">
        <v>46</v>
      </c>
      <c r="J762" s="6">
        <v>44213</v>
      </c>
      <c r="K762" s="8">
        <v>72131</v>
      </c>
      <c r="L762" s="1">
        <v>0</v>
      </c>
      <c r="M762" s="8">
        <f>TBL_Employees[[#This Row],[Annual Salary]]*TBL_Employees[[#This Row],[Bonus %]]</f>
        <v>0</v>
      </c>
      <c r="N762" s="8">
        <f>SUM(TBL_Employees[[#This Row],[Annual Salary]],TBL_Employees[[#This Row],[TOTAL BONUS]])</f>
        <v>72131</v>
      </c>
      <c r="O762" s="8">
        <f>TBL_Employees[[#This Row],[Annual Salary]]*TBL_Employees[[#This Row],[Bonus %]]/100+TBL_Employees[[#This Row],[Annual Salary]]</f>
        <v>72131</v>
      </c>
      <c r="P762" t="s">
        <v>33</v>
      </c>
      <c r="Q762" t="s">
        <v>74</v>
      </c>
      <c r="R762" s="6" t="s">
        <v>21</v>
      </c>
    </row>
    <row r="763" spans="1:18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 s="17"/>
      <c r="I763">
        <v>64</v>
      </c>
      <c r="J763" s="6">
        <v>33964</v>
      </c>
      <c r="K763" s="8">
        <v>104668</v>
      </c>
      <c r="L763" s="1">
        <v>0.08</v>
      </c>
      <c r="M763" s="8">
        <f>TBL_Employees[[#This Row],[Annual Salary]]*TBL_Employees[[#This Row],[Bonus %]]</f>
        <v>8373.44</v>
      </c>
      <c r="N763" s="8">
        <f>SUM(TBL_Employees[[#This Row],[Annual Salary]],TBL_Employees[[#This Row],[TOTAL BONUS]])</f>
        <v>113041.44</v>
      </c>
      <c r="O763" s="8">
        <f>TBL_Employees[[#This Row],[Annual Salary]]*TBL_Employees[[#This Row],[Bonus %]]/100+TBL_Employees[[#This Row],[Annual Salary]]</f>
        <v>104751.7344</v>
      </c>
      <c r="P763" t="s">
        <v>19</v>
      </c>
      <c r="Q763" t="s">
        <v>29</v>
      </c>
      <c r="R763" s="6" t="s">
        <v>21</v>
      </c>
    </row>
    <row r="764" spans="1:18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 s="17"/>
      <c r="I764">
        <v>53</v>
      </c>
      <c r="J764" s="6">
        <v>42952</v>
      </c>
      <c r="K764" s="8">
        <v>89769</v>
      </c>
      <c r="L764" s="1">
        <v>0</v>
      </c>
      <c r="M764" s="8">
        <f>TBL_Employees[[#This Row],[Annual Salary]]*TBL_Employees[[#This Row],[Bonus %]]</f>
        <v>0</v>
      </c>
      <c r="N764" s="8">
        <f>SUM(TBL_Employees[[#This Row],[Annual Salary]],TBL_Employees[[#This Row],[TOTAL BONUS]])</f>
        <v>89769</v>
      </c>
      <c r="O764" s="8">
        <f>TBL_Employees[[#This Row],[Annual Salary]]*TBL_Employees[[#This Row],[Bonus %]]/100+TBL_Employees[[#This Row],[Annual Salary]]</f>
        <v>89769</v>
      </c>
      <c r="P764" t="s">
        <v>19</v>
      </c>
      <c r="Q764" t="s">
        <v>63</v>
      </c>
      <c r="R764" s="6" t="s">
        <v>21</v>
      </c>
    </row>
    <row r="765" spans="1:18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 s="17"/>
      <c r="I765">
        <v>27</v>
      </c>
      <c r="J765" s="6">
        <v>43358</v>
      </c>
      <c r="K765" s="8">
        <v>127616</v>
      </c>
      <c r="L765" s="1">
        <v>7.0000000000000007E-2</v>
      </c>
      <c r="M765" s="8">
        <f>TBL_Employees[[#This Row],[Annual Salary]]*TBL_Employees[[#This Row],[Bonus %]]</f>
        <v>8933.1200000000008</v>
      </c>
      <c r="N765" s="8">
        <f>SUM(TBL_Employees[[#This Row],[Annual Salary]],TBL_Employees[[#This Row],[TOTAL BONUS]])</f>
        <v>136549.12</v>
      </c>
      <c r="O765" s="8">
        <f>TBL_Employees[[#This Row],[Annual Salary]]*TBL_Employees[[#This Row],[Bonus %]]/100+TBL_Employees[[#This Row],[Annual Salary]]</f>
        <v>127705.3312</v>
      </c>
      <c r="P765" t="s">
        <v>19</v>
      </c>
      <c r="Q765" t="s">
        <v>29</v>
      </c>
      <c r="R765" s="6" t="s">
        <v>21</v>
      </c>
    </row>
    <row r="766" spans="1:18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 s="17"/>
      <c r="I766">
        <v>45</v>
      </c>
      <c r="J766" s="6">
        <v>41099</v>
      </c>
      <c r="K766" s="8">
        <v>109883</v>
      </c>
      <c r="L766" s="1">
        <v>7.0000000000000007E-2</v>
      </c>
      <c r="M766" s="8">
        <f>TBL_Employees[[#This Row],[Annual Salary]]*TBL_Employees[[#This Row],[Bonus %]]</f>
        <v>7691.81</v>
      </c>
      <c r="N766" s="8">
        <f>SUM(TBL_Employees[[#This Row],[Annual Salary]],TBL_Employees[[#This Row],[TOTAL BONUS]])</f>
        <v>117574.81</v>
      </c>
      <c r="O766" s="8">
        <f>TBL_Employees[[#This Row],[Annual Salary]]*TBL_Employees[[#This Row],[Bonus %]]/100+TBL_Employees[[#This Row],[Annual Salary]]</f>
        <v>109959.9181</v>
      </c>
      <c r="P766" t="s">
        <v>19</v>
      </c>
      <c r="Q766" t="s">
        <v>29</v>
      </c>
      <c r="R766" s="6" t="s">
        <v>21</v>
      </c>
    </row>
    <row r="767" spans="1:18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 s="17"/>
      <c r="I767">
        <v>25</v>
      </c>
      <c r="J767" s="6">
        <v>44270</v>
      </c>
      <c r="K767" s="8">
        <v>47974</v>
      </c>
      <c r="L767" s="1">
        <v>0</v>
      </c>
      <c r="M767" s="8">
        <f>TBL_Employees[[#This Row],[Annual Salary]]*TBL_Employees[[#This Row],[Bonus %]]</f>
        <v>0</v>
      </c>
      <c r="N767" s="8">
        <f>SUM(TBL_Employees[[#This Row],[Annual Salary]],TBL_Employees[[#This Row],[TOTAL BONUS]])</f>
        <v>47974</v>
      </c>
      <c r="O767" s="8">
        <f>TBL_Employees[[#This Row],[Annual Salary]]*TBL_Employees[[#This Row],[Bonus %]]/100+TBL_Employees[[#This Row],[Annual Salary]]</f>
        <v>47974</v>
      </c>
      <c r="P767" t="s">
        <v>33</v>
      </c>
      <c r="Q767" t="s">
        <v>80</v>
      </c>
      <c r="R767" s="6" t="s">
        <v>21</v>
      </c>
    </row>
    <row r="768" spans="1:18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 s="17"/>
      <c r="I768">
        <v>43</v>
      </c>
      <c r="J768" s="6">
        <v>42090</v>
      </c>
      <c r="K768" s="8">
        <v>120321</v>
      </c>
      <c r="L768" s="1">
        <v>0.12</v>
      </c>
      <c r="M768" s="8">
        <f>TBL_Employees[[#This Row],[Annual Salary]]*TBL_Employees[[#This Row],[Bonus %]]</f>
        <v>14438.519999999999</v>
      </c>
      <c r="N768" s="8">
        <f>SUM(TBL_Employees[[#This Row],[Annual Salary]],TBL_Employees[[#This Row],[TOTAL BONUS]])</f>
        <v>134759.51999999999</v>
      </c>
      <c r="O768" s="8">
        <f>TBL_Employees[[#This Row],[Annual Salary]]*TBL_Employees[[#This Row],[Bonus %]]/100+TBL_Employees[[#This Row],[Annual Salary]]</f>
        <v>120465.3852</v>
      </c>
      <c r="P768" t="s">
        <v>19</v>
      </c>
      <c r="Q768" t="s">
        <v>25</v>
      </c>
      <c r="R768" s="6" t="s">
        <v>21</v>
      </c>
    </row>
    <row r="769" spans="1:18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 s="17"/>
      <c r="I769">
        <v>61</v>
      </c>
      <c r="J769" s="6">
        <v>41861</v>
      </c>
      <c r="K769" s="8">
        <v>57446</v>
      </c>
      <c r="L769" s="1">
        <v>0</v>
      </c>
      <c r="M769" s="8">
        <f>TBL_Employees[[#This Row],[Annual Salary]]*TBL_Employees[[#This Row],[Bonus %]]</f>
        <v>0</v>
      </c>
      <c r="N769" s="8">
        <f>SUM(TBL_Employees[[#This Row],[Annual Salary]],TBL_Employees[[#This Row],[TOTAL BONUS]])</f>
        <v>57446</v>
      </c>
      <c r="O769" s="8">
        <f>TBL_Employees[[#This Row],[Annual Salary]]*TBL_Employees[[#This Row],[Bonus %]]/100+TBL_Employees[[#This Row],[Annual Salary]]</f>
        <v>57446</v>
      </c>
      <c r="P769" t="s">
        <v>19</v>
      </c>
      <c r="Q769" t="s">
        <v>39</v>
      </c>
      <c r="R769" s="6" t="s">
        <v>21</v>
      </c>
    </row>
    <row r="770" spans="1:18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 s="17"/>
      <c r="I770">
        <v>42</v>
      </c>
      <c r="J770" s="6">
        <v>39968</v>
      </c>
      <c r="K770" s="8">
        <v>174099</v>
      </c>
      <c r="L770" s="1">
        <v>0.26</v>
      </c>
      <c r="M770" s="8">
        <f>TBL_Employees[[#This Row],[Annual Salary]]*TBL_Employees[[#This Row],[Bonus %]]</f>
        <v>45265.74</v>
      </c>
      <c r="N770" s="8">
        <f>SUM(TBL_Employees[[#This Row],[Annual Salary]],TBL_Employees[[#This Row],[TOTAL BONUS]])</f>
        <v>219364.74</v>
      </c>
      <c r="O770" s="8">
        <f>TBL_Employees[[#This Row],[Annual Salary]]*TBL_Employees[[#This Row],[Bonus %]]/100+TBL_Employees[[#This Row],[Annual Salary]]</f>
        <v>174551.6574</v>
      </c>
      <c r="P770" t="s">
        <v>19</v>
      </c>
      <c r="Q770" t="s">
        <v>25</v>
      </c>
      <c r="R770" s="6" t="s">
        <v>21</v>
      </c>
    </row>
    <row r="771" spans="1:18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 s="17"/>
      <c r="I771">
        <v>63</v>
      </c>
      <c r="J771" s="6">
        <v>37295</v>
      </c>
      <c r="K771" s="8">
        <v>128703</v>
      </c>
      <c r="L771" s="1">
        <v>0.13</v>
      </c>
      <c r="M771" s="8">
        <f>TBL_Employees[[#This Row],[Annual Salary]]*TBL_Employees[[#This Row],[Bonus %]]</f>
        <v>16731.39</v>
      </c>
      <c r="N771" s="8">
        <f>SUM(TBL_Employees[[#This Row],[Annual Salary]],TBL_Employees[[#This Row],[TOTAL BONUS]])</f>
        <v>145434.39000000001</v>
      </c>
      <c r="O771" s="8">
        <f>TBL_Employees[[#This Row],[Annual Salary]]*TBL_Employees[[#This Row],[Bonus %]]/100+TBL_Employees[[#This Row],[Annual Salary]]</f>
        <v>128870.31389999999</v>
      </c>
      <c r="P771" t="s">
        <v>19</v>
      </c>
      <c r="Q771" t="s">
        <v>25</v>
      </c>
      <c r="R771" s="6" t="s">
        <v>21</v>
      </c>
    </row>
    <row r="772" spans="1:18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 s="17"/>
      <c r="I772">
        <v>32</v>
      </c>
      <c r="J772" s="6">
        <v>42317</v>
      </c>
      <c r="K772" s="8">
        <v>65247</v>
      </c>
      <c r="L772" s="1">
        <v>0</v>
      </c>
      <c r="M772" s="8">
        <f>TBL_Employees[[#This Row],[Annual Salary]]*TBL_Employees[[#This Row],[Bonus %]]</f>
        <v>0</v>
      </c>
      <c r="N772" s="8">
        <f>SUM(TBL_Employees[[#This Row],[Annual Salary]],TBL_Employees[[#This Row],[TOTAL BONUS]])</f>
        <v>65247</v>
      </c>
      <c r="O772" s="8">
        <f>TBL_Employees[[#This Row],[Annual Salary]]*TBL_Employees[[#This Row],[Bonus %]]/100+TBL_Employees[[#This Row],[Annual Salary]]</f>
        <v>65247</v>
      </c>
      <c r="P772" t="s">
        <v>19</v>
      </c>
      <c r="Q772" t="s">
        <v>39</v>
      </c>
      <c r="R772" s="6" t="s">
        <v>21</v>
      </c>
    </row>
    <row r="773" spans="1:18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 s="17"/>
      <c r="I773">
        <v>27</v>
      </c>
      <c r="J773" s="6">
        <v>43371</v>
      </c>
      <c r="K773" s="8">
        <v>64247</v>
      </c>
      <c r="L773" s="1">
        <v>0</v>
      </c>
      <c r="M773" s="8">
        <f>TBL_Employees[[#This Row],[Annual Salary]]*TBL_Employees[[#This Row],[Bonus %]]</f>
        <v>0</v>
      </c>
      <c r="N773" s="8">
        <f>SUM(TBL_Employees[[#This Row],[Annual Salary]],TBL_Employees[[#This Row],[TOTAL BONUS]])</f>
        <v>64247</v>
      </c>
      <c r="O773" s="8">
        <f>TBL_Employees[[#This Row],[Annual Salary]]*TBL_Employees[[#This Row],[Bonus %]]/100+TBL_Employees[[#This Row],[Annual Salary]]</f>
        <v>64247</v>
      </c>
      <c r="P773" t="s">
        <v>52</v>
      </c>
      <c r="Q773" t="s">
        <v>66</v>
      </c>
      <c r="R773" s="6" t="s">
        <v>21</v>
      </c>
    </row>
    <row r="774" spans="1:18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 s="17"/>
      <c r="I774">
        <v>33</v>
      </c>
      <c r="J774" s="6">
        <v>41071</v>
      </c>
      <c r="K774" s="8">
        <v>118253</v>
      </c>
      <c r="L774" s="1">
        <v>0.08</v>
      </c>
      <c r="M774" s="8">
        <f>TBL_Employees[[#This Row],[Annual Salary]]*TBL_Employees[[#This Row],[Bonus %]]</f>
        <v>9460.24</v>
      </c>
      <c r="N774" s="8">
        <f>SUM(TBL_Employees[[#This Row],[Annual Salary]],TBL_Employees[[#This Row],[TOTAL BONUS]])</f>
        <v>127713.24</v>
      </c>
      <c r="O774" s="8">
        <f>TBL_Employees[[#This Row],[Annual Salary]]*TBL_Employees[[#This Row],[Bonus %]]/100+TBL_Employees[[#This Row],[Annual Salary]]</f>
        <v>118347.6024</v>
      </c>
      <c r="P774" t="s">
        <v>19</v>
      </c>
      <c r="Q774" t="s">
        <v>25</v>
      </c>
      <c r="R774" s="6" t="s">
        <v>21</v>
      </c>
    </row>
    <row r="775" spans="1:18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 s="17"/>
      <c r="I775">
        <v>45</v>
      </c>
      <c r="J775" s="6">
        <v>38057</v>
      </c>
      <c r="K775" s="8">
        <v>109422</v>
      </c>
      <c r="L775" s="1">
        <v>0</v>
      </c>
      <c r="M775" s="8">
        <f>TBL_Employees[[#This Row],[Annual Salary]]*TBL_Employees[[#This Row],[Bonus %]]</f>
        <v>0</v>
      </c>
      <c r="N775" s="8">
        <f>SUM(TBL_Employees[[#This Row],[Annual Salary]],TBL_Employees[[#This Row],[TOTAL BONUS]])</f>
        <v>109422</v>
      </c>
      <c r="O775" s="8">
        <f>TBL_Employees[[#This Row],[Annual Salary]]*TBL_Employees[[#This Row],[Bonus %]]/100+TBL_Employees[[#This Row],[Annual Salary]]</f>
        <v>109422</v>
      </c>
      <c r="P775" t="s">
        <v>33</v>
      </c>
      <c r="Q775" t="s">
        <v>80</v>
      </c>
      <c r="R775" s="6" t="s">
        <v>21</v>
      </c>
    </row>
    <row r="776" spans="1:18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 s="17"/>
      <c r="I776">
        <v>41</v>
      </c>
      <c r="J776" s="6">
        <v>43502</v>
      </c>
      <c r="K776" s="8">
        <v>126950</v>
      </c>
      <c r="L776" s="1">
        <v>0.1</v>
      </c>
      <c r="M776" s="8">
        <f>TBL_Employees[[#This Row],[Annual Salary]]*TBL_Employees[[#This Row],[Bonus %]]</f>
        <v>12695</v>
      </c>
      <c r="N776" s="8">
        <f>SUM(TBL_Employees[[#This Row],[Annual Salary]],TBL_Employees[[#This Row],[TOTAL BONUS]])</f>
        <v>139645</v>
      </c>
      <c r="O776" s="8">
        <f>TBL_Employees[[#This Row],[Annual Salary]]*TBL_Employees[[#This Row],[Bonus %]]/100+TBL_Employees[[#This Row],[Annual Salary]]</f>
        <v>127076.95</v>
      </c>
      <c r="P776" t="s">
        <v>19</v>
      </c>
      <c r="Q776" t="s">
        <v>20</v>
      </c>
      <c r="R776" s="6" t="s">
        <v>21</v>
      </c>
    </row>
    <row r="777" spans="1:18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 s="17"/>
      <c r="I777">
        <v>36</v>
      </c>
      <c r="J777" s="6">
        <v>41964</v>
      </c>
      <c r="K777" s="8">
        <v>97500</v>
      </c>
      <c r="L777" s="1">
        <v>0</v>
      </c>
      <c r="M777" s="8">
        <f>TBL_Employees[[#This Row],[Annual Salary]]*TBL_Employees[[#This Row],[Bonus %]]</f>
        <v>0</v>
      </c>
      <c r="N777" s="8">
        <f>SUM(TBL_Employees[[#This Row],[Annual Salary]],TBL_Employees[[#This Row],[TOTAL BONUS]])</f>
        <v>97500</v>
      </c>
      <c r="O777" s="8">
        <f>TBL_Employees[[#This Row],[Annual Salary]]*TBL_Employees[[#This Row],[Bonus %]]/100+TBL_Employees[[#This Row],[Annual Salary]]</f>
        <v>97500</v>
      </c>
      <c r="P777" t="s">
        <v>19</v>
      </c>
      <c r="Q777" t="s">
        <v>45</v>
      </c>
      <c r="R777" s="6" t="s">
        <v>21</v>
      </c>
    </row>
    <row r="778" spans="1:18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 s="17"/>
      <c r="I778">
        <v>25</v>
      </c>
      <c r="J778" s="6">
        <v>44213</v>
      </c>
      <c r="K778" s="8">
        <v>41844</v>
      </c>
      <c r="L778" s="1">
        <v>0</v>
      </c>
      <c r="M778" s="8">
        <f>TBL_Employees[[#This Row],[Annual Salary]]*TBL_Employees[[#This Row],[Bonus %]]</f>
        <v>0</v>
      </c>
      <c r="N778" s="8">
        <f>SUM(TBL_Employees[[#This Row],[Annual Salary]],TBL_Employees[[#This Row],[TOTAL BONUS]])</f>
        <v>41844</v>
      </c>
      <c r="O778" s="8">
        <f>TBL_Employees[[#This Row],[Annual Salary]]*TBL_Employees[[#This Row],[Bonus %]]/100+TBL_Employees[[#This Row],[Annual Salary]]</f>
        <v>41844</v>
      </c>
      <c r="P778" t="s">
        <v>33</v>
      </c>
      <c r="Q778" t="s">
        <v>80</v>
      </c>
      <c r="R778" s="6" t="s">
        <v>21</v>
      </c>
    </row>
    <row r="779" spans="1:18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 s="17"/>
      <c r="I779">
        <v>43</v>
      </c>
      <c r="J779" s="6">
        <v>41680</v>
      </c>
      <c r="K779" s="8">
        <v>58875</v>
      </c>
      <c r="L779" s="1">
        <v>0</v>
      </c>
      <c r="M779" s="8">
        <f>TBL_Employees[[#This Row],[Annual Salary]]*TBL_Employees[[#This Row],[Bonus %]]</f>
        <v>0</v>
      </c>
      <c r="N779" s="8">
        <f>SUM(TBL_Employees[[#This Row],[Annual Salary]],TBL_Employees[[#This Row],[TOTAL BONUS]])</f>
        <v>58875</v>
      </c>
      <c r="O779" s="8">
        <f>TBL_Employees[[#This Row],[Annual Salary]]*TBL_Employees[[#This Row],[Bonus %]]/100+TBL_Employees[[#This Row],[Annual Salary]]</f>
        <v>58875</v>
      </c>
      <c r="P779" t="s">
        <v>33</v>
      </c>
      <c r="Q779" t="s">
        <v>34</v>
      </c>
      <c r="R779" s="6" t="s">
        <v>21</v>
      </c>
    </row>
    <row r="780" spans="1:18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 s="17"/>
      <c r="I780">
        <v>37</v>
      </c>
      <c r="J780" s="6">
        <v>42318</v>
      </c>
      <c r="K780" s="8">
        <v>64204</v>
      </c>
      <c r="L780" s="1">
        <v>0</v>
      </c>
      <c r="M780" s="8">
        <f>TBL_Employees[[#This Row],[Annual Salary]]*TBL_Employees[[#This Row],[Bonus %]]</f>
        <v>0</v>
      </c>
      <c r="N780" s="8">
        <f>SUM(TBL_Employees[[#This Row],[Annual Salary]],TBL_Employees[[#This Row],[TOTAL BONUS]])</f>
        <v>64204</v>
      </c>
      <c r="O780" s="8">
        <f>TBL_Employees[[#This Row],[Annual Salary]]*TBL_Employees[[#This Row],[Bonus %]]/100+TBL_Employees[[#This Row],[Annual Salary]]</f>
        <v>64204</v>
      </c>
      <c r="P780" t="s">
        <v>19</v>
      </c>
      <c r="Q780" t="s">
        <v>29</v>
      </c>
      <c r="R780" s="6">
        <v>44306</v>
      </c>
    </row>
    <row r="781" spans="1:18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 s="17"/>
      <c r="I781">
        <v>42</v>
      </c>
      <c r="J781" s="6">
        <v>40307</v>
      </c>
      <c r="K781" s="8">
        <v>67743</v>
      </c>
      <c r="L781" s="1">
        <v>0</v>
      </c>
      <c r="M781" s="8">
        <f>TBL_Employees[[#This Row],[Annual Salary]]*TBL_Employees[[#This Row],[Bonus %]]</f>
        <v>0</v>
      </c>
      <c r="N781" s="8">
        <f>SUM(TBL_Employees[[#This Row],[Annual Salary]],TBL_Employees[[#This Row],[TOTAL BONUS]])</f>
        <v>67743</v>
      </c>
      <c r="O781" s="8">
        <f>TBL_Employees[[#This Row],[Annual Salary]]*TBL_Employees[[#This Row],[Bonus %]]/100+TBL_Employees[[#This Row],[Annual Salary]]</f>
        <v>67743</v>
      </c>
      <c r="P781" t="s">
        <v>33</v>
      </c>
      <c r="Q781" t="s">
        <v>60</v>
      </c>
      <c r="R781" s="6">
        <v>41998</v>
      </c>
    </row>
    <row r="782" spans="1:18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 s="17"/>
      <c r="I782">
        <v>60</v>
      </c>
      <c r="J782" s="6">
        <v>35641</v>
      </c>
      <c r="K782" s="8">
        <v>71677</v>
      </c>
      <c r="L782" s="1">
        <v>0</v>
      </c>
      <c r="M782" s="8">
        <f>TBL_Employees[[#This Row],[Annual Salary]]*TBL_Employees[[#This Row],[Bonus %]]</f>
        <v>0</v>
      </c>
      <c r="N782" s="8">
        <f>SUM(TBL_Employees[[#This Row],[Annual Salary]],TBL_Employees[[#This Row],[TOTAL BONUS]])</f>
        <v>71677</v>
      </c>
      <c r="O782" s="8">
        <f>TBL_Employees[[#This Row],[Annual Salary]]*TBL_Employees[[#This Row],[Bonus %]]/100+TBL_Employees[[#This Row],[Annual Salary]]</f>
        <v>71677</v>
      </c>
      <c r="P782" t="s">
        <v>19</v>
      </c>
      <c r="Q782" t="s">
        <v>29</v>
      </c>
      <c r="R782" s="6" t="s">
        <v>21</v>
      </c>
    </row>
    <row r="783" spans="1:18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 s="17"/>
      <c r="I783">
        <v>61</v>
      </c>
      <c r="J783" s="6">
        <v>36793</v>
      </c>
      <c r="K783" s="8">
        <v>40063</v>
      </c>
      <c r="L783" s="1">
        <v>0</v>
      </c>
      <c r="M783" s="8">
        <f>TBL_Employees[[#This Row],[Annual Salary]]*TBL_Employees[[#This Row],[Bonus %]]</f>
        <v>0</v>
      </c>
      <c r="N783" s="8">
        <f>SUM(TBL_Employees[[#This Row],[Annual Salary]],TBL_Employees[[#This Row],[TOTAL BONUS]])</f>
        <v>40063</v>
      </c>
      <c r="O783" s="8">
        <f>TBL_Employees[[#This Row],[Annual Salary]]*TBL_Employees[[#This Row],[Bonus %]]/100+TBL_Employees[[#This Row],[Annual Salary]]</f>
        <v>40063</v>
      </c>
      <c r="P783" t="s">
        <v>19</v>
      </c>
      <c r="Q783" t="s">
        <v>45</v>
      </c>
      <c r="R783" s="6" t="s">
        <v>21</v>
      </c>
    </row>
    <row r="784" spans="1:18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 s="17"/>
      <c r="I784">
        <v>55</v>
      </c>
      <c r="J784" s="6">
        <v>38107</v>
      </c>
      <c r="K784" s="8">
        <v>40124</v>
      </c>
      <c r="L784" s="1">
        <v>0</v>
      </c>
      <c r="M784" s="8">
        <f>TBL_Employees[[#This Row],[Annual Salary]]*TBL_Employees[[#This Row],[Bonus %]]</f>
        <v>0</v>
      </c>
      <c r="N784" s="8">
        <f>SUM(TBL_Employees[[#This Row],[Annual Salary]],TBL_Employees[[#This Row],[TOTAL BONUS]])</f>
        <v>40124</v>
      </c>
      <c r="O784" s="8">
        <f>TBL_Employees[[#This Row],[Annual Salary]]*TBL_Employees[[#This Row],[Bonus %]]/100+TBL_Employees[[#This Row],[Annual Salary]]</f>
        <v>40124</v>
      </c>
      <c r="P784" t="s">
        <v>19</v>
      </c>
      <c r="Q784" t="s">
        <v>25</v>
      </c>
      <c r="R784" s="6" t="s">
        <v>21</v>
      </c>
    </row>
    <row r="785" spans="1:18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 s="17"/>
      <c r="I785">
        <v>57</v>
      </c>
      <c r="J785" s="6">
        <v>43157</v>
      </c>
      <c r="K785" s="8">
        <v>103183</v>
      </c>
      <c r="L785" s="1">
        <v>0</v>
      </c>
      <c r="M785" s="8">
        <f>TBL_Employees[[#This Row],[Annual Salary]]*TBL_Employees[[#This Row],[Bonus %]]</f>
        <v>0</v>
      </c>
      <c r="N785" s="8">
        <f>SUM(TBL_Employees[[#This Row],[Annual Salary]],TBL_Employees[[#This Row],[TOTAL BONUS]])</f>
        <v>103183</v>
      </c>
      <c r="O785" s="8">
        <f>TBL_Employees[[#This Row],[Annual Salary]]*TBL_Employees[[#This Row],[Bonus %]]/100+TBL_Employees[[#This Row],[Annual Salary]]</f>
        <v>103183</v>
      </c>
      <c r="P785" t="s">
        <v>19</v>
      </c>
      <c r="Q785" t="s">
        <v>25</v>
      </c>
      <c r="R785" s="6">
        <v>44386</v>
      </c>
    </row>
    <row r="786" spans="1:18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 s="17"/>
      <c r="I786">
        <v>54</v>
      </c>
      <c r="J786" s="6">
        <v>35961</v>
      </c>
      <c r="K786" s="8">
        <v>95239</v>
      </c>
      <c r="L786" s="1">
        <v>0</v>
      </c>
      <c r="M786" s="8">
        <f>TBL_Employees[[#This Row],[Annual Salary]]*TBL_Employees[[#This Row],[Bonus %]]</f>
        <v>0</v>
      </c>
      <c r="N786" s="8">
        <f>SUM(TBL_Employees[[#This Row],[Annual Salary]],TBL_Employees[[#This Row],[TOTAL BONUS]])</f>
        <v>95239</v>
      </c>
      <c r="O786" s="8">
        <f>TBL_Employees[[#This Row],[Annual Salary]]*TBL_Employees[[#This Row],[Bonus %]]/100+TBL_Employees[[#This Row],[Annual Salary]]</f>
        <v>95239</v>
      </c>
      <c r="P786" t="s">
        <v>19</v>
      </c>
      <c r="Q786" t="s">
        <v>39</v>
      </c>
      <c r="R786" s="6" t="s">
        <v>21</v>
      </c>
    </row>
    <row r="787" spans="1:18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 s="17"/>
      <c r="I787">
        <v>29</v>
      </c>
      <c r="J787" s="6">
        <v>43778</v>
      </c>
      <c r="K787" s="8">
        <v>75012</v>
      </c>
      <c r="L787" s="1">
        <v>0</v>
      </c>
      <c r="M787" s="8">
        <f>TBL_Employees[[#This Row],[Annual Salary]]*TBL_Employees[[#This Row],[Bonus %]]</f>
        <v>0</v>
      </c>
      <c r="N787" s="8">
        <f>SUM(TBL_Employees[[#This Row],[Annual Salary]],TBL_Employees[[#This Row],[TOTAL BONUS]])</f>
        <v>75012</v>
      </c>
      <c r="O787" s="8">
        <f>TBL_Employees[[#This Row],[Annual Salary]]*TBL_Employees[[#This Row],[Bonus %]]/100+TBL_Employees[[#This Row],[Annual Salary]]</f>
        <v>75012</v>
      </c>
      <c r="P787" t="s">
        <v>19</v>
      </c>
      <c r="Q787" t="s">
        <v>20</v>
      </c>
      <c r="R787" s="6" t="s">
        <v>21</v>
      </c>
    </row>
    <row r="788" spans="1:18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 s="17"/>
      <c r="I788">
        <v>33</v>
      </c>
      <c r="J788" s="6">
        <v>41819</v>
      </c>
      <c r="K788" s="8">
        <v>96366</v>
      </c>
      <c r="L788" s="1">
        <v>0</v>
      </c>
      <c r="M788" s="8">
        <f>TBL_Employees[[#This Row],[Annual Salary]]*TBL_Employees[[#This Row],[Bonus %]]</f>
        <v>0</v>
      </c>
      <c r="N788" s="8">
        <f>SUM(TBL_Employees[[#This Row],[Annual Salary]],TBL_Employees[[#This Row],[TOTAL BONUS]])</f>
        <v>96366</v>
      </c>
      <c r="O788" s="8">
        <f>TBL_Employees[[#This Row],[Annual Salary]]*TBL_Employees[[#This Row],[Bonus %]]/100+TBL_Employees[[#This Row],[Annual Salary]]</f>
        <v>96366</v>
      </c>
      <c r="P788" t="s">
        <v>33</v>
      </c>
      <c r="Q788" t="s">
        <v>34</v>
      </c>
      <c r="R788" s="6" t="s">
        <v>21</v>
      </c>
    </row>
    <row r="789" spans="1:18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 s="17"/>
      <c r="I789">
        <v>39</v>
      </c>
      <c r="J789" s="6">
        <v>41849</v>
      </c>
      <c r="K789" s="8">
        <v>40897</v>
      </c>
      <c r="L789" s="1">
        <v>0</v>
      </c>
      <c r="M789" s="8">
        <f>TBL_Employees[[#This Row],[Annual Salary]]*TBL_Employees[[#This Row],[Bonus %]]</f>
        <v>0</v>
      </c>
      <c r="N789" s="8">
        <f>SUM(TBL_Employees[[#This Row],[Annual Salary]],TBL_Employees[[#This Row],[TOTAL BONUS]])</f>
        <v>40897</v>
      </c>
      <c r="O789" s="8">
        <f>TBL_Employees[[#This Row],[Annual Salary]]*TBL_Employees[[#This Row],[Bonus %]]/100+TBL_Employees[[#This Row],[Annual Salary]]</f>
        <v>40897</v>
      </c>
      <c r="P789" t="s">
        <v>19</v>
      </c>
      <c r="Q789" t="s">
        <v>63</v>
      </c>
      <c r="R789" s="6" t="s">
        <v>21</v>
      </c>
    </row>
    <row r="790" spans="1:18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 s="17"/>
      <c r="I790">
        <v>37</v>
      </c>
      <c r="J790" s="6">
        <v>42605</v>
      </c>
      <c r="K790" s="8">
        <v>124928</v>
      </c>
      <c r="L790" s="1">
        <v>0.06</v>
      </c>
      <c r="M790" s="8">
        <f>TBL_Employees[[#This Row],[Annual Salary]]*TBL_Employees[[#This Row],[Bonus %]]</f>
        <v>7495.6799999999994</v>
      </c>
      <c r="N790" s="8">
        <f>SUM(TBL_Employees[[#This Row],[Annual Salary]],TBL_Employees[[#This Row],[TOTAL BONUS]])</f>
        <v>132423.67999999999</v>
      </c>
      <c r="O790" s="8">
        <f>TBL_Employees[[#This Row],[Annual Salary]]*TBL_Employees[[#This Row],[Bonus %]]/100+TBL_Employees[[#This Row],[Annual Salary]]</f>
        <v>125002.9568</v>
      </c>
      <c r="P790" t="s">
        <v>33</v>
      </c>
      <c r="Q790" t="s">
        <v>80</v>
      </c>
      <c r="R790" s="6" t="s">
        <v>21</v>
      </c>
    </row>
    <row r="791" spans="1:18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 s="17"/>
      <c r="I791">
        <v>51</v>
      </c>
      <c r="J791" s="6">
        <v>41439</v>
      </c>
      <c r="K791" s="8">
        <v>108221</v>
      </c>
      <c r="L791" s="1">
        <v>0.05</v>
      </c>
      <c r="M791" s="8">
        <f>TBL_Employees[[#This Row],[Annual Salary]]*TBL_Employees[[#This Row],[Bonus %]]</f>
        <v>5411.05</v>
      </c>
      <c r="N791" s="8">
        <f>SUM(TBL_Employees[[#This Row],[Annual Salary]],TBL_Employees[[#This Row],[TOTAL BONUS]])</f>
        <v>113632.05</v>
      </c>
      <c r="O791" s="8">
        <f>TBL_Employees[[#This Row],[Annual Salary]]*TBL_Employees[[#This Row],[Bonus %]]/100+TBL_Employees[[#This Row],[Annual Salary]]</f>
        <v>108275.1105</v>
      </c>
      <c r="P791" t="s">
        <v>52</v>
      </c>
      <c r="Q791" t="s">
        <v>81</v>
      </c>
      <c r="R791" s="6" t="s">
        <v>21</v>
      </c>
    </row>
    <row r="792" spans="1:18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 s="17"/>
      <c r="I792">
        <v>46</v>
      </c>
      <c r="J792" s="6">
        <v>39133</v>
      </c>
      <c r="K792" s="8">
        <v>75579</v>
      </c>
      <c r="L792" s="1">
        <v>0</v>
      </c>
      <c r="M792" s="8">
        <f>TBL_Employees[[#This Row],[Annual Salary]]*TBL_Employees[[#This Row],[Bonus %]]</f>
        <v>0</v>
      </c>
      <c r="N792" s="8">
        <f>SUM(TBL_Employees[[#This Row],[Annual Salary]],TBL_Employees[[#This Row],[TOTAL BONUS]])</f>
        <v>75579</v>
      </c>
      <c r="O792" s="8">
        <f>TBL_Employees[[#This Row],[Annual Salary]]*TBL_Employees[[#This Row],[Bonus %]]/100+TBL_Employees[[#This Row],[Annual Salary]]</f>
        <v>75579</v>
      </c>
      <c r="P792" t="s">
        <v>19</v>
      </c>
      <c r="Q792" t="s">
        <v>63</v>
      </c>
      <c r="R792" s="6" t="s">
        <v>21</v>
      </c>
    </row>
    <row r="793" spans="1:18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 s="17"/>
      <c r="I793">
        <v>41</v>
      </c>
      <c r="J793" s="6">
        <v>42365</v>
      </c>
      <c r="K793" s="8">
        <v>129903</v>
      </c>
      <c r="L793" s="1">
        <v>0.13</v>
      </c>
      <c r="M793" s="8">
        <f>TBL_Employees[[#This Row],[Annual Salary]]*TBL_Employees[[#This Row],[Bonus %]]</f>
        <v>16887.39</v>
      </c>
      <c r="N793" s="8">
        <f>SUM(TBL_Employees[[#This Row],[Annual Salary]],TBL_Employees[[#This Row],[TOTAL BONUS]])</f>
        <v>146790.39000000001</v>
      </c>
      <c r="O793" s="8">
        <f>TBL_Employees[[#This Row],[Annual Salary]]*TBL_Employees[[#This Row],[Bonus %]]/100+TBL_Employees[[#This Row],[Annual Salary]]</f>
        <v>130071.87390000001</v>
      </c>
      <c r="P793" t="s">
        <v>52</v>
      </c>
      <c r="Q793" t="s">
        <v>53</v>
      </c>
      <c r="R793" s="6" t="s">
        <v>21</v>
      </c>
    </row>
    <row r="794" spans="1:18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 s="17"/>
      <c r="I794">
        <v>25</v>
      </c>
      <c r="J794" s="6">
        <v>44303</v>
      </c>
      <c r="K794" s="8">
        <v>186870</v>
      </c>
      <c r="L794" s="1">
        <v>0.2</v>
      </c>
      <c r="M794" s="8">
        <f>TBL_Employees[[#This Row],[Annual Salary]]*TBL_Employees[[#This Row],[Bonus %]]</f>
        <v>37374</v>
      </c>
      <c r="N794" s="8">
        <f>SUM(TBL_Employees[[#This Row],[Annual Salary]],TBL_Employees[[#This Row],[TOTAL BONUS]])</f>
        <v>224244</v>
      </c>
      <c r="O794" s="8">
        <f>TBL_Employees[[#This Row],[Annual Salary]]*TBL_Employees[[#This Row],[Bonus %]]/100+TBL_Employees[[#This Row],[Annual Salary]]</f>
        <v>187243.74</v>
      </c>
      <c r="P794" t="s">
        <v>33</v>
      </c>
      <c r="Q794" t="s">
        <v>74</v>
      </c>
      <c r="R794" s="6" t="s">
        <v>21</v>
      </c>
    </row>
    <row r="795" spans="1:18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 s="17"/>
      <c r="I795">
        <v>37</v>
      </c>
      <c r="J795" s="6">
        <v>40291</v>
      </c>
      <c r="K795" s="8">
        <v>57531</v>
      </c>
      <c r="L795" s="1">
        <v>0</v>
      </c>
      <c r="M795" s="8">
        <f>TBL_Employees[[#This Row],[Annual Salary]]*TBL_Employees[[#This Row],[Bonus %]]</f>
        <v>0</v>
      </c>
      <c r="N795" s="8">
        <f>SUM(TBL_Employees[[#This Row],[Annual Salary]],TBL_Employees[[#This Row],[TOTAL BONUS]])</f>
        <v>57531</v>
      </c>
      <c r="O795" s="8">
        <f>TBL_Employees[[#This Row],[Annual Salary]]*TBL_Employees[[#This Row],[Bonus %]]/100+TBL_Employees[[#This Row],[Annual Salary]]</f>
        <v>57531</v>
      </c>
      <c r="P795" t="s">
        <v>19</v>
      </c>
      <c r="Q795" t="s">
        <v>20</v>
      </c>
      <c r="R795" s="6" t="s">
        <v>21</v>
      </c>
    </row>
    <row r="796" spans="1:18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 s="17"/>
      <c r="I796">
        <v>46</v>
      </c>
      <c r="J796" s="6">
        <v>40657</v>
      </c>
      <c r="K796" s="8">
        <v>55894</v>
      </c>
      <c r="L796" s="1">
        <v>0</v>
      </c>
      <c r="M796" s="8">
        <f>TBL_Employees[[#This Row],[Annual Salary]]*TBL_Employees[[#This Row],[Bonus %]]</f>
        <v>0</v>
      </c>
      <c r="N796" s="8">
        <f>SUM(TBL_Employees[[#This Row],[Annual Salary]],TBL_Employees[[#This Row],[TOTAL BONUS]])</f>
        <v>55894</v>
      </c>
      <c r="O796" s="8">
        <f>TBL_Employees[[#This Row],[Annual Salary]]*TBL_Employees[[#This Row],[Bonus %]]/100+TBL_Employees[[#This Row],[Annual Salary]]</f>
        <v>55894</v>
      </c>
      <c r="P796" t="s">
        <v>19</v>
      </c>
      <c r="Q796" t="s">
        <v>63</v>
      </c>
      <c r="R796" s="6" t="s">
        <v>21</v>
      </c>
    </row>
    <row r="797" spans="1:18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 s="17"/>
      <c r="I797">
        <v>42</v>
      </c>
      <c r="J797" s="6">
        <v>41026</v>
      </c>
      <c r="K797" s="8">
        <v>72903</v>
      </c>
      <c r="L797" s="1">
        <v>0</v>
      </c>
      <c r="M797" s="8">
        <f>TBL_Employees[[#This Row],[Annual Salary]]*TBL_Employees[[#This Row],[Bonus %]]</f>
        <v>0</v>
      </c>
      <c r="N797" s="8">
        <f>SUM(TBL_Employees[[#This Row],[Annual Salary]],TBL_Employees[[#This Row],[TOTAL BONUS]])</f>
        <v>72903</v>
      </c>
      <c r="O797" s="8">
        <f>TBL_Employees[[#This Row],[Annual Salary]]*TBL_Employees[[#This Row],[Bonus %]]/100+TBL_Employees[[#This Row],[Annual Salary]]</f>
        <v>72903</v>
      </c>
      <c r="P797" t="s">
        <v>19</v>
      </c>
      <c r="Q797" t="s">
        <v>39</v>
      </c>
      <c r="R797" s="6" t="s">
        <v>21</v>
      </c>
    </row>
    <row r="798" spans="1:18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 s="17"/>
      <c r="I798">
        <v>37</v>
      </c>
      <c r="J798" s="6">
        <v>42317</v>
      </c>
      <c r="K798" s="8">
        <v>45369</v>
      </c>
      <c r="L798" s="1">
        <v>0</v>
      </c>
      <c r="M798" s="8">
        <f>TBL_Employees[[#This Row],[Annual Salary]]*TBL_Employees[[#This Row],[Bonus %]]</f>
        <v>0</v>
      </c>
      <c r="N798" s="8">
        <f>SUM(TBL_Employees[[#This Row],[Annual Salary]],TBL_Employees[[#This Row],[TOTAL BONUS]])</f>
        <v>45369</v>
      </c>
      <c r="O798" s="8">
        <f>TBL_Employees[[#This Row],[Annual Salary]]*TBL_Employees[[#This Row],[Bonus %]]/100+TBL_Employees[[#This Row],[Annual Salary]]</f>
        <v>45369</v>
      </c>
      <c r="P798" t="s">
        <v>33</v>
      </c>
      <c r="Q798" t="s">
        <v>60</v>
      </c>
      <c r="R798" s="6" t="s">
        <v>21</v>
      </c>
    </row>
    <row r="799" spans="1:18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 s="17"/>
      <c r="I799">
        <v>60</v>
      </c>
      <c r="J799" s="6">
        <v>40344</v>
      </c>
      <c r="K799" s="8">
        <v>106578</v>
      </c>
      <c r="L799" s="1">
        <v>0.09</v>
      </c>
      <c r="M799" s="8">
        <f>TBL_Employees[[#This Row],[Annual Salary]]*TBL_Employees[[#This Row],[Bonus %]]</f>
        <v>9592.02</v>
      </c>
      <c r="N799" s="8">
        <f>SUM(TBL_Employees[[#This Row],[Annual Salary]],TBL_Employees[[#This Row],[TOTAL BONUS]])</f>
        <v>116170.02</v>
      </c>
      <c r="O799" s="8">
        <f>TBL_Employees[[#This Row],[Annual Salary]]*TBL_Employees[[#This Row],[Bonus %]]/100+TBL_Employees[[#This Row],[Annual Salary]]</f>
        <v>106673.92019999999</v>
      </c>
      <c r="P799" t="s">
        <v>19</v>
      </c>
      <c r="Q799" t="s">
        <v>45</v>
      </c>
      <c r="R799" s="6" t="s">
        <v>21</v>
      </c>
    </row>
    <row r="800" spans="1:18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 s="17"/>
      <c r="I800">
        <v>52</v>
      </c>
      <c r="J800" s="6">
        <v>36416</v>
      </c>
      <c r="K800" s="8">
        <v>92994</v>
      </c>
      <c r="L800" s="1">
        <v>0</v>
      </c>
      <c r="M800" s="8">
        <f>TBL_Employees[[#This Row],[Annual Salary]]*TBL_Employees[[#This Row],[Bonus %]]</f>
        <v>0</v>
      </c>
      <c r="N800" s="8">
        <f>SUM(TBL_Employees[[#This Row],[Annual Salary]],TBL_Employees[[#This Row],[TOTAL BONUS]])</f>
        <v>92994</v>
      </c>
      <c r="O800" s="8">
        <f>TBL_Employees[[#This Row],[Annual Salary]]*TBL_Employees[[#This Row],[Bonus %]]/100+TBL_Employees[[#This Row],[Annual Salary]]</f>
        <v>92994</v>
      </c>
      <c r="P800" t="s">
        <v>19</v>
      </c>
      <c r="Q800" t="s">
        <v>20</v>
      </c>
      <c r="R800" s="6" t="s">
        <v>21</v>
      </c>
    </row>
    <row r="801" spans="1:18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 s="17"/>
      <c r="I801">
        <v>59</v>
      </c>
      <c r="J801" s="6">
        <v>35502</v>
      </c>
      <c r="K801" s="8">
        <v>83685</v>
      </c>
      <c r="L801" s="1">
        <v>0</v>
      </c>
      <c r="M801" s="8">
        <f>TBL_Employees[[#This Row],[Annual Salary]]*TBL_Employees[[#This Row],[Bonus %]]</f>
        <v>0</v>
      </c>
      <c r="N801" s="8">
        <f>SUM(TBL_Employees[[#This Row],[Annual Salary]],TBL_Employees[[#This Row],[TOTAL BONUS]])</f>
        <v>83685</v>
      </c>
      <c r="O801" s="8">
        <f>TBL_Employees[[#This Row],[Annual Salary]]*TBL_Employees[[#This Row],[Bonus %]]/100+TBL_Employees[[#This Row],[Annual Salary]]</f>
        <v>83685</v>
      </c>
      <c r="P801" t="s">
        <v>33</v>
      </c>
      <c r="Q801" t="s">
        <v>60</v>
      </c>
      <c r="R801" s="6" t="s">
        <v>21</v>
      </c>
    </row>
    <row r="802" spans="1:18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 s="17"/>
      <c r="I802">
        <v>48</v>
      </c>
      <c r="J802" s="6">
        <v>40435</v>
      </c>
      <c r="K802" s="8">
        <v>99335</v>
      </c>
      <c r="L802" s="1">
        <v>0</v>
      </c>
      <c r="M802" s="8">
        <f>TBL_Employees[[#This Row],[Annual Salary]]*TBL_Employees[[#This Row],[Bonus %]]</f>
        <v>0</v>
      </c>
      <c r="N802" s="8">
        <f>SUM(TBL_Employees[[#This Row],[Annual Salary]],TBL_Employees[[#This Row],[TOTAL BONUS]])</f>
        <v>99335</v>
      </c>
      <c r="O802" s="8">
        <f>TBL_Employees[[#This Row],[Annual Salary]]*TBL_Employees[[#This Row],[Bonus %]]/100+TBL_Employees[[#This Row],[Annual Salary]]</f>
        <v>99335</v>
      </c>
      <c r="P802" t="s">
        <v>19</v>
      </c>
      <c r="Q802" t="s">
        <v>39</v>
      </c>
      <c r="R802" s="6" t="s">
        <v>21</v>
      </c>
    </row>
    <row r="803" spans="1:18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 s="17"/>
      <c r="I803">
        <v>42</v>
      </c>
      <c r="J803" s="6">
        <v>41382</v>
      </c>
      <c r="K803" s="8">
        <v>131179</v>
      </c>
      <c r="L803" s="1">
        <v>0.15</v>
      </c>
      <c r="M803" s="8">
        <f>TBL_Employees[[#This Row],[Annual Salary]]*TBL_Employees[[#This Row],[Bonus %]]</f>
        <v>19676.849999999999</v>
      </c>
      <c r="N803" s="8">
        <f>SUM(TBL_Employees[[#This Row],[Annual Salary]],TBL_Employees[[#This Row],[TOTAL BONUS]])</f>
        <v>150855.85</v>
      </c>
      <c r="O803" s="8">
        <f>TBL_Employees[[#This Row],[Annual Salary]]*TBL_Employees[[#This Row],[Bonus %]]/100+TBL_Employees[[#This Row],[Annual Salary]]</f>
        <v>131375.76850000001</v>
      </c>
      <c r="P803" t="s">
        <v>19</v>
      </c>
      <c r="Q803" t="s">
        <v>29</v>
      </c>
      <c r="R803" s="6" t="s">
        <v>21</v>
      </c>
    </row>
    <row r="804" spans="1:18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 s="17"/>
      <c r="I804">
        <v>35</v>
      </c>
      <c r="J804" s="6">
        <v>42493</v>
      </c>
      <c r="K804" s="8">
        <v>73899</v>
      </c>
      <c r="L804" s="1">
        <v>0.05</v>
      </c>
      <c r="M804" s="8">
        <f>TBL_Employees[[#This Row],[Annual Salary]]*TBL_Employees[[#This Row],[Bonus %]]</f>
        <v>3694.9500000000003</v>
      </c>
      <c r="N804" s="8">
        <f>SUM(TBL_Employees[[#This Row],[Annual Salary]],TBL_Employees[[#This Row],[TOTAL BONUS]])</f>
        <v>77593.95</v>
      </c>
      <c r="O804" s="8">
        <f>TBL_Employees[[#This Row],[Annual Salary]]*TBL_Employees[[#This Row],[Bonus %]]/100+TBL_Employees[[#This Row],[Annual Salary]]</f>
        <v>73935.949500000002</v>
      </c>
      <c r="P804" t="s">
        <v>33</v>
      </c>
      <c r="Q804" t="s">
        <v>34</v>
      </c>
      <c r="R804" s="6" t="s">
        <v>21</v>
      </c>
    </row>
    <row r="805" spans="1:18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 s="17"/>
      <c r="I805">
        <v>64</v>
      </c>
      <c r="J805" s="6">
        <v>41362</v>
      </c>
      <c r="K805" s="8">
        <v>252325</v>
      </c>
      <c r="L805" s="1">
        <v>0.4</v>
      </c>
      <c r="M805" s="8">
        <f>TBL_Employees[[#This Row],[Annual Salary]]*TBL_Employees[[#This Row],[Bonus %]]</f>
        <v>100930</v>
      </c>
      <c r="N805" s="8">
        <f>SUM(TBL_Employees[[#This Row],[Annual Salary]],TBL_Employees[[#This Row],[TOTAL BONUS]])</f>
        <v>353255</v>
      </c>
      <c r="O805" s="8">
        <f>TBL_Employees[[#This Row],[Annual Salary]]*TBL_Employees[[#This Row],[Bonus %]]/100+TBL_Employees[[#This Row],[Annual Salary]]</f>
        <v>253334.3</v>
      </c>
      <c r="P805" t="s">
        <v>19</v>
      </c>
      <c r="Q805" t="s">
        <v>29</v>
      </c>
      <c r="R805" s="6" t="s">
        <v>21</v>
      </c>
    </row>
    <row r="806" spans="1:18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 s="17"/>
      <c r="I806">
        <v>30</v>
      </c>
      <c r="J806" s="6">
        <v>42068</v>
      </c>
      <c r="K806" s="8">
        <v>52697</v>
      </c>
      <c r="L806" s="1">
        <v>0</v>
      </c>
      <c r="M806" s="8">
        <f>TBL_Employees[[#This Row],[Annual Salary]]*TBL_Employees[[#This Row],[Bonus %]]</f>
        <v>0</v>
      </c>
      <c r="N806" s="8">
        <f>SUM(TBL_Employees[[#This Row],[Annual Salary]],TBL_Employees[[#This Row],[TOTAL BONUS]])</f>
        <v>52697</v>
      </c>
      <c r="O806" s="8">
        <f>TBL_Employees[[#This Row],[Annual Salary]]*TBL_Employees[[#This Row],[Bonus %]]/100+TBL_Employees[[#This Row],[Annual Salary]]</f>
        <v>52697</v>
      </c>
      <c r="P806" t="s">
        <v>19</v>
      </c>
      <c r="Q806" t="s">
        <v>63</v>
      </c>
      <c r="R806" s="6" t="s">
        <v>21</v>
      </c>
    </row>
    <row r="807" spans="1:18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 s="17"/>
      <c r="I807">
        <v>29</v>
      </c>
      <c r="J807" s="6">
        <v>44099</v>
      </c>
      <c r="K807" s="8">
        <v>123588</v>
      </c>
      <c r="L807" s="1">
        <v>0</v>
      </c>
      <c r="M807" s="8">
        <f>TBL_Employees[[#This Row],[Annual Salary]]*TBL_Employees[[#This Row],[Bonus %]]</f>
        <v>0</v>
      </c>
      <c r="N807" s="8">
        <f>SUM(TBL_Employees[[#This Row],[Annual Salary]],TBL_Employees[[#This Row],[TOTAL BONUS]])</f>
        <v>123588</v>
      </c>
      <c r="O807" s="8">
        <f>TBL_Employees[[#This Row],[Annual Salary]]*TBL_Employees[[#This Row],[Bonus %]]/100+TBL_Employees[[#This Row],[Annual Salary]]</f>
        <v>123588</v>
      </c>
      <c r="P807" t="s">
        <v>52</v>
      </c>
      <c r="Q807" t="s">
        <v>53</v>
      </c>
      <c r="R807" s="6" t="s">
        <v>21</v>
      </c>
    </row>
    <row r="808" spans="1:18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 s="17"/>
      <c r="I808">
        <v>47</v>
      </c>
      <c r="J808" s="6">
        <v>44556</v>
      </c>
      <c r="K808" s="8">
        <v>243568</v>
      </c>
      <c r="L808" s="1">
        <v>0.33</v>
      </c>
      <c r="M808" s="8">
        <f>TBL_Employees[[#This Row],[Annual Salary]]*TBL_Employees[[#This Row],[Bonus %]]</f>
        <v>80377.440000000002</v>
      </c>
      <c r="N808" s="8">
        <f>SUM(TBL_Employees[[#This Row],[Annual Salary]],TBL_Employees[[#This Row],[TOTAL BONUS]])</f>
        <v>323945.44</v>
      </c>
      <c r="O808" s="8">
        <f>TBL_Employees[[#This Row],[Annual Salary]]*TBL_Employees[[#This Row],[Bonus %]]/100+TBL_Employees[[#This Row],[Annual Salary]]</f>
        <v>244371.77439999999</v>
      </c>
      <c r="P808" t="s">
        <v>19</v>
      </c>
      <c r="Q808" t="s">
        <v>25</v>
      </c>
      <c r="R808" s="6" t="s">
        <v>21</v>
      </c>
    </row>
    <row r="809" spans="1:18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 s="17"/>
      <c r="I809">
        <v>49</v>
      </c>
      <c r="J809" s="6">
        <v>37092</v>
      </c>
      <c r="K809" s="8">
        <v>199176</v>
      </c>
      <c r="L809" s="1">
        <v>0.24</v>
      </c>
      <c r="M809" s="8">
        <f>TBL_Employees[[#This Row],[Annual Salary]]*TBL_Employees[[#This Row],[Bonus %]]</f>
        <v>47802.239999999998</v>
      </c>
      <c r="N809" s="8">
        <f>SUM(TBL_Employees[[#This Row],[Annual Salary]],TBL_Employees[[#This Row],[TOTAL BONUS]])</f>
        <v>246978.24</v>
      </c>
      <c r="O809" s="8">
        <f>TBL_Employees[[#This Row],[Annual Salary]]*TBL_Employees[[#This Row],[Bonus %]]/100+TBL_Employees[[#This Row],[Annual Salary]]</f>
        <v>199654.02239999999</v>
      </c>
      <c r="P809" t="s">
        <v>19</v>
      </c>
      <c r="Q809" t="s">
        <v>39</v>
      </c>
      <c r="R809" s="6" t="s">
        <v>21</v>
      </c>
    </row>
    <row r="810" spans="1:18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 s="17"/>
      <c r="I810">
        <v>56</v>
      </c>
      <c r="J810" s="6">
        <v>35238</v>
      </c>
      <c r="K810" s="8">
        <v>82806</v>
      </c>
      <c r="L810" s="1">
        <v>0</v>
      </c>
      <c r="M810" s="8">
        <f>TBL_Employees[[#This Row],[Annual Salary]]*TBL_Employees[[#This Row],[Bonus %]]</f>
        <v>0</v>
      </c>
      <c r="N810" s="8">
        <f>SUM(TBL_Employees[[#This Row],[Annual Salary]],TBL_Employees[[#This Row],[TOTAL BONUS]])</f>
        <v>82806</v>
      </c>
      <c r="O810" s="8">
        <f>TBL_Employees[[#This Row],[Annual Salary]]*TBL_Employees[[#This Row],[Bonus %]]/100+TBL_Employees[[#This Row],[Annual Salary]]</f>
        <v>82806</v>
      </c>
      <c r="P810" t="s">
        <v>19</v>
      </c>
      <c r="Q810" t="s">
        <v>63</v>
      </c>
      <c r="R810" s="6" t="s">
        <v>21</v>
      </c>
    </row>
    <row r="811" spans="1:18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 s="17"/>
      <c r="I811">
        <v>53</v>
      </c>
      <c r="J811" s="6">
        <v>35601</v>
      </c>
      <c r="K811" s="8">
        <v>164399</v>
      </c>
      <c r="L811" s="1">
        <v>0.25</v>
      </c>
      <c r="M811" s="8">
        <f>TBL_Employees[[#This Row],[Annual Salary]]*TBL_Employees[[#This Row],[Bonus %]]</f>
        <v>41099.75</v>
      </c>
      <c r="N811" s="8">
        <f>SUM(TBL_Employees[[#This Row],[Annual Salary]],TBL_Employees[[#This Row],[TOTAL BONUS]])</f>
        <v>205498.75</v>
      </c>
      <c r="O811" s="8">
        <f>TBL_Employees[[#This Row],[Annual Salary]]*TBL_Employees[[#This Row],[Bonus %]]/100+TBL_Employees[[#This Row],[Annual Salary]]</f>
        <v>164809.9975</v>
      </c>
      <c r="P811" t="s">
        <v>19</v>
      </c>
      <c r="Q811" t="s">
        <v>63</v>
      </c>
      <c r="R811" s="6" t="s">
        <v>21</v>
      </c>
    </row>
    <row r="812" spans="1:18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 s="17"/>
      <c r="I812">
        <v>32</v>
      </c>
      <c r="J812" s="6">
        <v>42839</v>
      </c>
      <c r="K812" s="8">
        <v>154956</v>
      </c>
      <c r="L812" s="1">
        <v>0.13</v>
      </c>
      <c r="M812" s="8">
        <f>TBL_Employees[[#This Row],[Annual Salary]]*TBL_Employees[[#This Row],[Bonus %]]</f>
        <v>20144.280000000002</v>
      </c>
      <c r="N812" s="8">
        <f>SUM(TBL_Employees[[#This Row],[Annual Salary]],TBL_Employees[[#This Row],[TOTAL BONUS]])</f>
        <v>175100.28</v>
      </c>
      <c r="O812" s="8">
        <f>TBL_Employees[[#This Row],[Annual Salary]]*TBL_Employees[[#This Row],[Bonus %]]/100+TBL_Employees[[#This Row],[Annual Salary]]</f>
        <v>155157.44279999999</v>
      </c>
      <c r="P812" t="s">
        <v>19</v>
      </c>
      <c r="Q812" t="s">
        <v>39</v>
      </c>
      <c r="R812" s="6" t="s">
        <v>21</v>
      </c>
    </row>
    <row r="813" spans="1:18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 s="17"/>
      <c r="I813">
        <v>32</v>
      </c>
      <c r="J813" s="6">
        <v>42764</v>
      </c>
      <c r="K813" s="8">
        <v>143970</v>
      </c>
      <c r="L813" s="1">
        <v>0.12</v>
      </c>
      <c r="M813" s="8">
        <f>TBL_Employees[[#This Row],[Annual Salary]]*TBL_Employees[[#This Row],[Bonus %]]</f>
        <v>17276.399999999998</v>
      </c>
      <c r="N813" s="8">
        <f>SUM(TBL_Employees[[#This Row],[Annual Salary]],TBL_Employees[[#This Row],[TOTAL BONUS]])</f>
        <v>161246.39999999999</v>
      </c>
      <c r="O813" s="8">
        <f>TBL_Employees[[#This Row],[Annual Salary]]*TBL_Employees[[#This Row],[Bonus %]]/100+TBL_Employees[[#This Row],[Annual Salary]]</f>
        <v>144142.764</v>
      </c>
      <c r="P813" t="s">
        <v>19</v>
      </c>
      <c r="Q813" t="s">
        <v>63</v>
      </c>
      <c r="R813" s="6">
        <v>43078</v>
      </c>
    </row>
    <row r="814" spans="1:18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 s="17"/>
      <c r="I814">
        <v>52</v>
      </c>
      <c r="J814" s="6">
        <v>44099</v>
      </c>
      <c r="K814" s="8">
        <v>163143</v>
      </c>
      <c r="L814" s="1">
        <v>0.28000000000000003</v>
      </c>
      <c r="M814" s="8">
        <f>TBL_Employees[[#This Row],[Annual Salary]]*TBL_Employees[[#This Row],[Bonus %]]</f>
        <v>45680.04</v>
      </c>
      <c r="N814" s="8">
        <f>SUM(TBL_Employees[[#This Row],[Annual Salary]],TBL_Employees[[#This Row],[TOTAL BONUS]])</f>
        <v>208823.04000000001</v>
      </c>
      <c r="O814" s="8">
        <f>TBL_Employees[[#This Row],[Annual Salary]]*TBL_Employees[[#This Row],[Bonus %]]/100+TBL_Employees[[#This Row],[Annual Salary]]</f>
        <v>163599.80040000001</v>
      </c>
      <c r="P814" t="s">
        <v>52</v>
      </c>
      <c r="Q814" t="s">
        <v>53</v>
      </c>
      <c r="R814" s="6" t="s">
        <v>21</v>
      </c>
    </row>
    <row r="815" spans="1:18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 s="17"/>
      <c r="I815">
        <v>38</v>
      </c>
      <c r="J815" s="6">
        <v>44036</v>
      </c>
      <c r="K815" s="8">
        <v>89390</v>
      </c>
      <c r="L815" s="1">
        <v>0</v>
      </c>
      <c r="M815" s="8">
        <f>TBL_Employees[[#This Row],[Annual Salary]]*TBL_Employees[[#This Row],[Bonus %]]</f>
        <v>0</v>
      </c>
      <c r="N815" s="8">
        <f>SUM(TBL_Employees[[#This Row],[Annual Salary]],TBL_Employees[[#This Row],[TOTAL BONUS]])</f>
        <v>89390</v>
      </c>
      <c r="O815" s="8">
        <f>TBL_Employees[[#This Row],[Annual Salary]]*TBL_Employees[[#This Row],[Bonus %]]/100+TBL_Employees[[#This Row],[Annual Salary]]</f>
        <v>89390</v>
      </c>
      <c r="P815" t="s">
        <v>19</v>
      </c>
      <c r="Q815" t="s">
        <v>63</v>
      </c>
      <c r="R815" s="6" t="s">
        <v>21</v>
      </c>
    </row>
    <row r="816" spans="1:18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 s="17"/>
      <c r="I816">
        <v>41</v>
      </c>
      <c r="J816" s="6">
        <v>43013</v>
      </c>
      <c r="K816" s="8">
        <v>67468</v>
      </c>
      <c r="L816" s="1">
        <v>0</v>
      </c>
      <c r="M816" s="8">
        <f>TBL_Employees[[#This Row],[Annual Salary]]*TBL_Employees[[#This Row],[Bonus %]]</f>
        <v>0</v>
      </c>
      <c r="N816" s="8">
        <f>SUM(TBL_Employees[[#This Row],[Annual Salary]],TBL_Employees[[#This Row],[TOTAL BONUS]])</f>
        <v>67468</v>
      </c>
      <c r="O816" s="8">
        <f>TBL_Employees[[#This Row],[Annual Salary]]*TBL_Employees[[#This Row],[Bonus %]]/100+TBL_Employees[[#This Row],[Annual Salary]]</f>
        <v>67468</v>
      </c>
      <c r="P816" t="s">
        <v>19</v>
      </c>
      <c r="Q816" t="s">
        <v>45</v>
      </c>
      <c r="R816" s="6" t="s">
        <v>21</v>
      </c>
    </row>
    <row r="817" spans="1:18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 s="17"/>
      <c r="I817">
        <v>49</v>
      </c>
      <c r="J817" s="6">
        <v>42441</v>
      </c>
      <c r="K817" s="8">
        <v>100810</v>
      </c>
      <c r="L817" s="1">
        <v>0.12</v>
      </c>
      <c r="M817" s="8">
        <f>TBL_Employees[[#This Row],[Annual Salary]]*TBL_Employees[[#This Row],[Bonus %]]</f>
        <v>12097.199999999999</v>
      </c>
      <c r="N817" s="8">
        <f>SUM(TBL_Employees[[#This Row],[Annual Salary]],TBL_Employees[[#This Row],[TOTAL BONUS]])</f>
        <v>112907.2</v>
      </c>
      <c r="O817" s="8">
        <f>TBL_Employees[[#This Row],[Annual Salary]]*TBL_Employees[[#This Row],[Bonus %]]/100+TBL_Employees[[#This Row],[Annual Salary]]</f>
        <v>100930.97199999999</v>
      </c>
      <c r="P817" t="s">
        <v>52</v>
      </c>
      <c r="Q817" t="s">
        <v>66</v>
      </c>
      <c r="R817" s="6" t="s">
        <v>21</v>
      </c>
    </row>
    <row r="818" spans="1:18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 s="17"/>
      <c r="I818">
        <v>35</v>
      </c>
      <c r="J818" s="6">
        <v>43542</v>
      </c>
      <c r="K818" s="8">
        <v>74779</v>
      </c>
      <c r="L818" s="1">
        <v>0</v>
      </c>
      <c r="M818" s="8">
        <f>TBL_Employees[[#This Row],[Annual Salary]]*TBL_Employees[[#This Row],[Bonus %]]</f>
        <v>0</v>
      </c>
      <c r="N818" s="8">
        <f>SUM(TBL_Employees[[#This Row],[Annual Salary]],TBL_Employees[[#This Row],[TOTAL BONUS]])</f>
        <v>74779</v>
      </c>
      <c r="O818" s="8">
        <f>TBL_Employees[[#This Row],[Annual Salary]]*TBL_Employees[[#This Row],[Bonus %]]/100+TBL_Employees[[#This Row],[Annual Salary]]</f>
        <v>74779</v>
      </c>
      <c r="P818" t="s">
        <v>19</v>
      </c>
      <c r="Q818" t="s">
        <v>39</v>
      </c>
      <c r="R818" s="6" t="s">
        <v>21</v>
      </c>
    </row>
    <row r="819" spans="1:18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 s="17"/>
      <c r="I819">
        <v>29</v>
      </c>
      <c r="J819" s="6">
        <v>43048</v>
      </c>
      <c r="K819" s="8">
        <v>63985</v>
      </c>
      <c r="L819" s="1">
        <v>0</v>
      </c>
      <c r="M819" s="8">
        <f>TBL_Employees[[#This Row],[Annual Salary]]*TBL_Employees[[#This Row],[Bonus %]]</f>
        <v>0</v>
      </c>
      <c r="N819" s="8">
        <f>SUM(TBL_Employees[[#This Row],[Annual Salary]],TBL_Employees[[#This Row],[TOTAL BONUS]])</f>
        <v>63985</v>
      </c>
      <c r="O819" s="8">
        <f>TBL_Employees[[#This Row],[Annual Salary]]*TBL_Employees[[#This Row],[Bonus %]]/100+TBL_Employees[[#This Row],[Annual Salary]]</f>
        <v>63985</v>
      </c>
      <c r="P819" t="s">
        <v>19</v>
      </c>
      <c r="Q819" t="s">
        <v>45</v>
      </c>
      <c r="R819" s="6" t="s">
        <v>21</v>
      </c>
    </row>
    <row r="820" spans="1:18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 s="17"/>
      <c r="I820">
        <v>64</v>
      </c>
      <c r="J820" s="6">
        <v>38176</v>
      </c>
      <c r="K820" s="8">
        <v>77903</v>
      </c>
      <c r="L820" s="1">
        <v>0</v>
      </c>
      <c r="M820" s="8">
        <f>TBL_Employees[[#This Row],[Annual Salary]]*TBL_Employees[[#This Row],[Bonus %]]</f>
        <v>0</v>
      </c>
      <c r="N820" s="8">
        <f>SUM(TBL_Employees[[#This Row],[Annual Salary]],TBL_Employees[[#This Row],[TOTAL BONUS]])</f>
        <v>77903</v>
      </c>
      <c r="O820" s="8">
        <f>TBL_Employees[[#This Row],[Annual Salary]]*TBL_Employees[[#This Row],[Bonus %]]/100+TBL_Employees[[#This Row],[Annual Salary]]</f>
        <v>77903</v>
      </c>
      <c r="P820" t="s">
        <v>19</v>
      </c>
      <c r="Q820" t="s">
        <v>63</v>
      </c>
      <c r="R820" s="6" t="s">
        <v>21</v>
      </c>
    </row>
    <row r="821" spans="1:18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 s="17"/>
      <c r="I821">
        <v>33</v>
      </c>
      <c r="J821" s="6">
        <v>42898</v>
      </c>
      <c r="K821" s="8">
        <v>164396</v>
      </c>
      <c r="L821" s="1">
        <v>0.28999999999999998</v>
      </c>
      <c r="M821" s="8">
        <f>TBL_Employees[[#This Row],[Annual Salary]]*TBL_Employees[[#This Row],[Bonus %]]</f>
        <v>47674.84</v>
      </c>
      <c r="N821" s="8">
        <f>SUM(TBL_Employees[[#This Row],[Annual Salary]],TBL_Employees[[#This Row],[TOTAL BONUS]])</f>
        <v>212070.84</v>
      </c>
      <c r="O821" s="8">
        <f>TBL_Employees[[#This Row],[Annual Salary]]*TBL_Employees[[#This Row],[Bonus %]]/100+TBL_Employees[[#This Row],[Annual Salary]]</f>
        <v>164872.74840000001</v>
      </c>
      <c r="P821" t="s">
        <v>19</v>
      </c>
      <c r="Q821" t="s">
        <v>29</v>
      </c>
      <c r="R821" s="6" t="s">
        <v>21</v>
      </c>
    </row>
    <row r="822" spans="1:18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 s="17"/>
      <c r="I822">
        <v>29</v>
      </c>
      <c r="J822" s="6">
        <v>44375</v>
      </c>
      <c r="K822" s="8">
        <v>71234</v>
      </c>
      <c r="L822" s="1">
        <v>0</v>
      </c>
      <c r="M822" s="8">
        <f>TBL_Employees[[#This Row],[Annual Salary]]*TBL_Employees[[#This Row],[Bonus %]]</f>
        <v>0</v>
      </c>
      <c r="N822" s="8">
        <f>SUM(TBL_Employees[[#This Row],[Annual Salary]],TBL_Employees[[#This Row],[TOTAL BONUS]])</f>
        <v>71234</v>
      </c>
      <c r="O822" s="8">
        <f>TBL_Employees[[#This Row],[Annual Salary]]*TBL_Employees[[#This Row],[Bonus %]]/100+TBL_Employees[[#This Row],[Annual Salary]]</f>
        <v>71234</v>
      </c>
      <c r="P822" t="s">
        <v>19</v>
      </c>
      <c r="Q822" t="s">
        <v>63</v>
      </c>
      <c r="R822" s="6" t="s">
        <v>21</v>
      </c>
    </row>
    <row r="823" spans="1:18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 s="17"/>
      <c r="I823">
        <v>63</v>
      </c>
      <c r="J823" s="6">
        <v>38096</v>
      </c>
      <c r="K823" s="8">
        <v>122487</v>
      </c>
      <c r="L823" s="1">
        <v>0.08</v>
      </c>
      <c r="M823" s="8">
        <f>TBL_Employees[[#This Row],[Annual Salary]]*TBL_Employees[[#This Row],[Bonus %]]</f>
        <v>9798.9600000000009</v>
      </c>
      <c r="N823" s="8">
        <f>SUM(TBL_Employees[[#This Row],[Annual Salary]],TBL_Employees[[#This Row],[TOTAL BONUS]])</f>
        <v>132285.96</v>
      </c>
      <c r="O823" s="8">
        <f>TBL_Employees[[#This Row],[Annual Salary]]*TBL_Employees[[#This Row],[Bonus %]]/100+TBL_Employees[[#This Row],[Annual Salary]]</f>
        <v>122584.9896</v>
      </c>
      <c r="P823" t="s">
        <v>33</v>
      </c>
      <c r="Q823" t="s">
        <v>74</v>
      </c>
      <c r="R823" s="6" t="s">
        <v>21</v>
      </c>
    </row>
    <row r="824" spans="1:18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 s="17"/>
      <c r="I824">
        <v>32</v>
      </c>
      <c r="J824" s="6">
        <v>42738</v>
      </c>
      <c r="K824" s="8">
        <v>101870</v>
      </c>
      <c r="L824" s="1">
        <v>0.1</v>
      </c>
      <c r="M824" s="8">
        <f>TBL_Employees[[#This Row],[Annual Salary]]*TBL_Employees[[#This Row],[Bonus %]]</f>
        <v>10187</v>
      </c>
      <c r="N824" s="8">
        <f>SUM(TBL_Employees[[#This Row],[Annual Salary]],TBL_Employees[[#This Row],[TOTAL BONUS]])</f>
        <v>112057</v>
      </c>
      <c r="O824" s="8">
        <f>TBL_Employees[[#This Row],[Annual Salary]]*TBL_Employees[[#This Row],[Bonus %]]/100+TBL_Employees[[#This Row],[Annual Salary]]</f>
        <v>101971.87</v>
      </c>
      <c r="P824" t="s">
        <v>19</v>
      </c>
      <c r="Q824" t="s">
        <v>39</v>
      </c>
      <c r="R824" s="6" t="s">
        <v>21</v>
      </c>
    </row>
    <row r="825" spans="1:18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 s="17"/>
      <c r="I825">
        <v>64</v>
      </c>
      <c r="J825" s="6">
        <v>44009</v>
      </c>
      <c r="K825" s="8">
        <v>40316</v>
      </c>
      <c r="L825" s="1">
        <v>0</v>
      </c>
      <c r="M825" s="8">
        <f>TBL_Employees[[#This Row],[Annual Salary]]*TBL_Employees[[#This Row],[Bonus %]]</f>
        <v>0</v>
      </c>
      <c r="N825" s="8">
        <f>SUM(TBL_Employees[[#This Row],[Annual Salary]],TBL_Employees[[#This Row],[TOTAL BONUS]])</f>
        <v>40316</v>
      </c>
      <c r="O825" s="8">
        <f>TBL_Employees[[#This Row],[Annual Salary]]*TBL_Employees[[#This Row],[Bonus %]]/100+TBL_Employees[[#This Row],[Annual Salary]]</f>
        <v>40316</v>
      </c>
      <c r="P825" t="s">
        <v>52</v>
      </c>
      <c r="Q825" t="s">
        <v>81</v>
      </c>
      <c r="R825" s="6" t="s">
        <v>21</v>
      </c>
    </row>
    <row r="826" spans="1:18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 s="17"/>
      <c r="I826">
        <v>55</v>
      </c>
      <c r="J826" s="6">
        <v>38391</v>
      </c>
      <c r="K826" s="8">
        <v>115145</v>
      </c>
      <c r="L826" s="1">
        <v>0.05</v>
      </c>
      <c r="M826" s="8">
        <f>TBL_Employees[[#This Row],[Annual Salary]]*TBL_Employees[[#This Row],[Bonus %]]</f>
        <v>5757.25</v>
      </c>
      <c r="N826" s="8">
        <f>SUM(TBL_Employees[[#This Row],[Annual Salary]],TBL_Employees[[#This Row],[TOTAL BONUS]])</f>
        <v>120902.25</v>
      </c>
      <c r="O826" s="8">
        <f>TBL_Employees[[#This Row],[Annual Salary]]*TBL_Employees[[#This Row],[Bonus %]]/100+TBL_Employees[[#This Row],[Annual Salary]]</f>
        <v>115202.57249999999</v>
      </c>
      <c r="P826" t="s">
        <v>33</v>
      </c>
      <c r="Q826" t="s">
        <v>80</v>
      </c>
      <c r="R826" s="6" t="s">
        <v>21</v>
      </c>
    </row>
    <row r="827" spans="1:18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 s="17"/>
      <c r="I827">
        <v>43</v>
      </c>
      <c r="J827" s="6">
        <v>39885</v>
      </c>
      <c r="K827" s="8">
        <v>62335</v>
      </c>
      <c r="L827" s="1">
        <v>0</v>
      </c>
      <c r="M827" s="8">
        <f>TBL_Employees[[#This Row],[Annual Salary]]*TBL_Employees[[#This Row],[Bonus %]]</f>
        <v>0</v>
      </c>
      <c r="N827" s="8">
        <f>SUM(TBL_Employees[[#This Row],[Annual Salary]],TBL_Employees[[#This Row],[TOTAL BONUS]])</f>
        <v>62335</v>
      </c>
      <c r="O827" s="8">
        <f>TBL_Employees[[#This Row],[Annual Salary]]*TBL_Employees[[#This Row],[Bonus %]]/100+TBL_Employees[[#This Row],[Annual Salary]]</f>
        <v>62335</v>
      </c>
      <c r="P827" t="s">
        <v>52</v>
      </c>
      <c r="Q827" t="s">
        <v>81</v>
      </c>
      <c r="R827" s="6" t="s">
        <v>21</v>
      </c>
    </row>
    <row r="828" spans="1:18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 s="17"/>
      <c r="I828">
        <v>56</v>
      </c>
      <c r="J828" s="6">
        <v>38847</v>
      </c>
      <c r="K828" s="8">
        <v>41561</v>
      </c>
      <c r="L828" s="1">
        <v>0</v>
      </c>
      <c r="M828" s="8">
        <f>TBL_Employees[[#This Row],[Annual Salary]]*TBL_Employees[[#This Row],[Bonus %]]</f>
        <v>0</v>
      </c>
      <c r="N828" s="8">
        <f>SUM(TBL_Employees[[#This Row],[Annual Salary]],TBL_Employees[[#This Row],[TOTAL BONUS]])</f>
        <v>41561</v>
      </c>
      <c r="O828" s="8">
        <f>TBL_Employees[[#This Row],[Annual Salary]]*TBL_Employees[[#This Row],[Bonus %]]/100+TBL_Employees[[#This Row],[Annual Salary]]</f>
        <v>41561</v>
      </c>
      <c r="P828" t="s">
        <v>19</v>
      </c>
      <c r="Q828" t="s">
        <v>25</v>
      </c>
      <c r="R828" s="6" t="s">
        <v>21</v>
      </c>
    </row>
    <row r="829" spans="1:18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 s="17"/>
      <c r="I829">
        <v>37</v>
      </c>
      <c r="J829" s="6">
        <v>40657</v>
      </c>
      <c r="K829" s="8">
        <v>131183</v>
      </c>
      <c r="L829" s="1">
        <v>0.14000000000000001</v>
      </c>
      <c r="M829" s="8">
        <f>TBL_Employees[[#This Row],[Annual Salary]]*TBL_Employees[[#This Row],[Bonus %]]</f>
        <v>18365.620000000003</v>
      </c>
      <c r="N829" s="8">
        <f>SUM(TBL_Employees[[#This Row],[Annual Salary]],TBL_Employees[[#This Row],[TOTAL BONUS]])</f>
        <v>149548.62</v>
      </c>
      <c r="O829" s="8">
        <f>TBL_Employees[[#This Row],[Annual Salary]]*TBL_Employees[[#This Row],[Bonus %]]/100+TBL_Employees[[#This Row],[Annual Salary]]</f>
        <v>131366.6562</v>
      </c>
      <c r="P829" t="s">
        <v>33</v>
      </c>
      <c r="Q829" t="s">
        <v>74</v>
      </c>
      <c r="R829" s="6">
        <v>42445</v>
      </c>
    </row>
    <row r="830" spans="1:18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 s="17"/>
      <c r="I830">
        <v>45</v>
      </c>
      <c r="J830" s="6">
        <v>37445</v>
      </c>
      <c r="K830" s="8">
        <v>92655</v>
      </c>
      <c r="L830" s="1">
        <v>0</v>
      </c>
      <c r="M830" s="8">
        <f>TBL_Employees[[#This Row],[Annual Salary]]*TBL_Employees[[#This Row],[Bonus %]]</f>
        <v>0</v>
      </c>
      <c r="N830" s="8">
        <f>SUM(TBL_Employees[[#This Row],[Annual Salary]],TBL_Employees[[#This Row],[TOTAL BONUS]])</f>
        <v>92655</v>
      </c>
      <c r="O830" s="8">
        <f>TBL_Employees[[#This Row],[Annual Salary]]*TBL_Employees[[#This Row],[Bonus %]]/100+TBL_Employees[[#This Row],[Annual Salary]]</f>
        <v>92655</v>
      </c>
      <c r="P830" t="s">
        <v>33</v>
      </c>
      <c r="Q830" t="s">
        <v>34</v>
      </c>
      <c r="R830" s="6" t="s">
        <v>21</v>
      </c>
    </row>
    <row r="831" spans="1:18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 s="17"/>
      <c r="I831">
        <v>49</v>
      </c>
      <c r="J831" s="6">
        <v>35157</v>
      </c>
      <c r="K831" s="8">
        <v>157057</v>
      </c>
      <c r="L831" s="1">
        <v>0.12</v>
      </c>
      <c r="M831" s="8">
        <f>TBL_Employees[[#This Row],[Annual Salary]]*TBL_Employees[[#This Row],[Bonus %]]</f>
        <v>18846.84</v>
      </c>
      <c r="N831" s="8">
        <f>SUM(TBL_Employees[[#This Row],[Annual Salary]],TBL_Employees[[#This Row],[TOTAL BONUS]])</f>
        <v>175903.84</v>
      </c>
      <c r="O831" s="8">
        <f>TBL_Employees[[#This Row],[Annual Salary]]*TBL_Employees[[#This Row],[Bonus %]]/100+TBL_Employees[[#This Row],[Annual Salary]]</f>
        <v>157245.46840000001</v>
      </c>
      <c r="P831" t="s">
        <v>19</v>
      </c>
      <c r="Q831" t="s">
        <v>45</v>
      </c>
      <c r="R831" s="6" t="s">
        <v>21</v>
      </c>
    </row>
    <row r="832" spans="1:18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 s="17"/>
      <c r="I832">
        <v>61</v>
      </c>
      <c r="J832" s="6">
        <v>38392</v>
      </c>
      <c r="K832" s="8">
        <v>64462</v>
      </c>
      <c r="L832" s="1">
        <v>0</v>
      </c>
      <c r="M832" s="8">
        <f>TBL_Employees[[#This Row],[Annual Salary]]*TBL_Employees[[#This Row],[Bonus %]]</f>
        <v>0</v>
      </c>
      <c r="N832" s="8">
        <f>SUM(TBL_Employees[[#This Row],[Annual Salary]],TBL_Employees[[#This Row],[TOTAL BONUS]])</f>
        <v>64462</v>
      </c>
      <c r="O832" s="8">
        <f>TBL_Employees[[#This Row],[Annual Salary]]*TBL_Employees[[#This Row],[Bonus %]]/100+TBL_Employees[[#This Row],[Annual Salary]]</f>
        <v>64462</v>
      </c>
      <c r="P832" t="s">
        <v>19</v>
      </c>
      <c r="Q832" t="s">
        <v>20</v>
      </c>
      <c r="R832" s="6" t="s">
        <v>21</v>
      </c>
    </row>
    <row r="833" spans="1:18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 s="17"/>
      <c r="I833">
        <v>41</v>
      </c>
      <c r="J833" s="6">
        <v>38632</v>
      </c>
      <c r="K833" s="8">
        <v>79352</v>
      </c>
      <c r="L833" s="1">
        <v>0</v>
      </c>
      <c r="M833" s="8">
        <f>TBL_Employees[[#This Row],[Annual Salary]]*TBL_Employees[[#This Row],[Bonus %]]</f>
        <v>0</v>
      </c>
      <c r="N833" s="8">
        <f>SUM(TBL_Employees[[#This Row],[Annual Salary]],TBL_Employees[[#This Row],[TOTAL BONUS]])</f>
        <v>79352</v>
      </c>
      <c r="O833" s="8">
        <f>TBL_Employees[[#This Row],[Annual Salary]]*TBL_Employees[[#This Row],[Bonus %]]/100+TBL_Employees[[#This Row],[Annual Salary]]</f>
        <v>79352</v>
      </c>
      <c r="P833" t="s">
        <v>19</v>
      </c>
      <c r="Q833" t="s">
        <v>63</v>
      </c>
      <c r="R833" s="6" t="s">
        <v>21</v>
      </c>
    </row>
    <row r="834" spans="1:18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 s="17"/>
      <c r="I834">
        <v>55</v>
      </c>
      <c r="J834" s="6">
        <v>36977</v>
      </c>
      <c r="K834" s="8">
        <v>157812</v>
      </c>
      <c r="L834" s="1">
        <v>0.11</v>
      </c>
      <c r="M834" s="8">
        <f>TBL_Employees[[#This Row],[Annual Salary]]*TBL_Employees[[#This Row],[Bonus %]]</f>
        <v>17359.32</v>
      </c>
      <c r="N834" s="8">
        <f>SUM(TBL_Employees[[#This Row],[Annual Salary]],TBL_Employees[[#This Row],[TOTAL BONUS]])</f>
        <v>175171.32</v>
      </c>
      <c r="O834" s="8">
        <f>TBL_Employees[[#This Row],[Annual Salary]]*TBL_Employees[[#This Row],[Bonus %]]/100+TBL_Employees[[#This Row],[Annual Salary]]</f>
        <v>157985.5932</v>
      </c>
      <c r="P834" t="s">
        <v>19</v>
      </c>
      <c r="Q834" t="s">
        <v>45</v>
      </c>
      <c r="R834" s="6" t="s">
        <v>21</v>
      </c>
    </row>
    <row r="835" spans="1:18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 s="17"/>
      <c r="I835">
        <v>27</v>
      </c>
      <c r="J835" s="6">
        <v>43354</v>
      </c>
      <c r="K835" s="8">
        <v>80745</v>
      </c>
      <c r="L835" s="1">
        <v>0</v>
      </c>
      <c r="M835" s="8">
        <f>TBL_Employees[[#This Row],[Annual Salary]]*TBL_Employees[[#This Row],[Bonus %]]</f>
        <v>0</v>
      </c>
      <c r="N835" s="8">
        <f>SUM(TBL_Employees[[#This Row],[Annual Salary]],TBL_Employees[[#This Row],[TOTAL BONUS]])</f>
        <v>80745</v>
      </c>
      <c r="O835" s="8">
        <f>TBL_Employees[[#This Row],[Annual Salary]]*TBL_Employees[[#This Row],[Bonus %]]/100+TBL_Employees[[#This Row],[Annual Salary]]</f>
        <v>80745</v>
      </c>
      <c r="P835" t="s">
        <v>19</v>
      </c>
      <c r="Q835" t="s">
        <v>20</v>
      </c>
      <c r="R835" s="6" t="s">
        <v>21</v>
      </c>
    </row>
    <row r="836" spans="1:18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 s="17"/>
      <c r="I836">
        <v>57</v>
      </c>
      <c r="J836" s="6">
        <v>35113</v>
      </c>
      <c r="K836" s="8">
        <v>75354</v>
      </c>
      <c r="L836" s="1">
        <v>0</v>
      </c>
      <c r="M836" s="8">
        <f>TBL_Employees[[#This Row],[Annual Salary]]*TBL_Employees[[#This Row],[Bonus %]]</f>
        <v>0</v>
      </c>
      <c r="N836" s="8">
        <f>SUM(TBL_Employees[[#This Row],[Annual Salary]],TBL_Employees[[#This Row],[TOTAL BONUS]])</f>
        <v>75354</v>
      </c>
      <c r="O836" s="8">
        <f>TBL_Employees[[#This Row],[Annual Salary]]*TBL_Employees[[#This Row],[Bonus %]]/100+TBL_Employees[[#This Row],[Annual Salary]]</f>
        <v>75354</v>
      </c>
      <c r="P836" t="s">
        <v>19</v>
      </c>
      <c r="Q836" t="s">
        <v>25</v>
      </c>
      <c r="R836" s="6">
        <v>35413</v>
      </c>
    </row>
    <row r="837" spans="1:18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 s="17"/>
      <c r="I837">
        <v>56</v>
      </c>
      <c r="J837" s="6">
        <v>43363</v>
      </c>
      <c r="K837" s="8">
        <v>78938</v>
      </c>
      <c r="L837" s="1">
        <v>0.14000000000000001</v>
      </c>
      <c r="M837" s="8">
        <f>TBL_Employees[[#This Row],[Annual Salary]]*TBL_Employees[[#This Row],[Bonus %]]</f>
        <v>11051.320000000002</v>
      </c>
      <c r="N837" s="8">
        <f>SUM(TBL_Employees[[#This Row],[Annual Salary]],TBL_Employees[[#This Row],[TOTAL BONUS]])</f>
        <v>89989.32</v>
      </c>
      <c r="O837" s="8">
        <f>TBL_Employees[[#This Row],[Annual Salary]]*TBL_Employees[[#This Row],[Bonus %]]/100+TBL_Employees[[#This Row],[Annual Salary]]</f>
        <v>79048.513200000001</v>
      </c>
      <c r="P837" t="s">
        <v>19</v>
      </c>
      <c r="Q837" t="s">
        <v>39</v>
      </c>
      <c r="R837" s="6" t="s">
        <v>21</v>
      </c>
    </row>
    <row r="838" spans="1:18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 s="17"/>
      <c r="I838">
        <v>59</v>
      </c>
      <c r="J838" s="6">
        <v>39701</v>
      </c>
      <c r="K838" s="8">
        <v>96313</v>
      </c>
      <c r="L838" s="1">
        <v>0</v>
      </c>
      <c r="M838" s="8">
        <f>TBL_Employees[[#This Row],[Annual Salary]]*TBL_Employees[[#This Row],[Bonus %]]</f>
        <v>0</v>
      </c>
      <c r="N838" s="8">
        <f>SUM(TBL_Employees[[#This Row],[Annual Salary]],TBL_Employees[[#This Row],[TOTAL BONUS]])</f>
        <v>96313</v>
      </c>
      <c r="O838" s="8">
        <f>TBL_Employees[[#This Row],[Annual Salary]]*TBL_Employees[[#This Row],[Bonus %]]/100+TBL_Employees[[#This Row],[Annual Salary]]</f>
        <v>96313</v>
      </c>
      <c r="P838" t="s">
        <v>19</v>
      </c>
      <c r="Q838" t="s">
        <v>25</v>
      </c>
      <c r="R838" s="6" t="s">
        <v>21</v>
      </c>
    </row>
    <row r="839" spans="1:18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 s="17"/>
      <c r="I839">
        <v>45</v>
      </c>
      <c r="J839" s="6">
        <v>40511</v>
      </c>
      <c r="K839" s="8">
        <v>153767</v>
      </c>
      <c r="L839" s="1">
        <v>0.27</v>
      </c>
      <c r="M839" s="8">
        <f>TBL_Employees[[#This Row],[Annual Salary]]*TBL_Employees[[#This Row],[Bonus %]]</f>
        <v>41517.090000000004</v>
      </c>
      <c r="N839" s="8">
        <f>SUM(TBL_Employees[[#This Row],[Annual Salary]],TBL_Employees[[#This Row],[TOTAL BONUS]])</f>
        <v>195284.09</v>
      </c>
      <c r="O839" s="8">
        <f>TBL_Employees[[#This Row],[Annual Salary]]*TBL_Employees[[#This Row],[Bonus %]]/100+TBL_Employees[[#This Row],[Annual Salary]]</f>
        <v>154182.1709</v>
      </c>
      <c r="P839" t="s">
        <v>19</v>
      </c>
      <c r="Q839" t="s">
        <v>39</v>
      </c>
      <c r="R839" s="6" t="s">
        <v>21</v>
      </c>
    </row>
    <row r="840" spans="1:18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 s="17"/>
      <c r="I840">
        <v>42</v>
      </c>
      <c r="J840" s="6">
        <v>42266</v>
      </c>
      <c r="K840" s="8">
        <v>103423</v>
      </c>
      <c r="L840" s="1">
        <v>0.06</v>
      </c>
      <c r="M840" s="8">
        <f>TBL_Employees[[#This Row],[Annual Salary]]*TBL_Employees[[#This Row],[Bonus %]]</f>
        <v>6205.38</v>
      </c>
      <c r="N840" s="8">
        <f>SUM(TBL_Employees[[#This Row],[Annual Salary]],TBL_Employees[[#This Row],[TOTAL BONUS]])</f>
        <v>109628.38</v>
      </c>
      <c r="O840" s="8">
        <f>TBL_Employees[[#This Row],[Annual Salary]]*TBL_Employees[[#This Row],[Bonus %]]/100+TBL_Employees[[#This Row],[Annual Salary]]</f>
        <v>103485.05379999999</v>
      </c>
      <c r="P840" t="s">
        <v>19</v>
      </c>
      <c r="Q840" t="s">
        <v>29</v>
      </c>
      <c r="R840" s="6" t="s">
        <v>21</v>
      </c>
    </row>
    <row r="841" spans="1:18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 s="17"/>
      <c r="I841">
        <v>25</v>
      </c>
      <c r="J841" s="6">
        <v>44370</v>
      </c>
      <c r="K841" s="8">
        <v>86464</v>
      </c>
      <c r="L841" s="1">
        <v>0</v>
      </c>
      <c r="M841" s="8">
        <f>TBL_Employees[[#This Row],[Annual Salary]]*TBL_Employees[[#This Row],[Bonus %]]</f>
        <v>0</v>
      </c>
      <c r="N841" s="8">
        <f>SUM(TBL_Employees[[#This Row],[Annual Salary]],TBL_Employees[[#This Row],[TOTAL BONUS]])</f>
        <v>86464</v>
      </c>
      <c r="O841" s="8">
        <f>TBL_Employees[[#This Row],[Annual Salary]]*TBL_Employees[[#This Row],[Bonus %]]/100+TBL_Employees[[#This Row],[Annual Salary]]</f>
        <v>86464</v>
      </c>
      <c r="P841" t="s">
        <v>33</v>
      </c>
      <c r="Q841" t="s">
        <v>74</v>
      </c>
      <c r="R841" s="6" t="s">
        <v>21</v>
      </c>
    </row>
    <row r="842" spans="1:18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 s="17"/>
      <c r="I842">
        <v>29</v>
      </c>
      <c r="J842" s="6">
        <v>43114</v>
      </c>
      <c r="K842" s="8">
        <v>80516</v>
      </c>
      <c r="L842" s="1">
        <v>0</v>
      </c>
      <c r="M842" s="8">
        <f>TBL_Employees[[#This Row],[Annual Salary]]*TBL_Employees[[#This Row],[Bonus %]]</f>
        <v>0</v>
      </c>
      <c r="N842" s="8">
        <f>SUM(TBL_Employees[[#This Row],[Annual Salary]],TBL_Employees[[#This Row],[TOTAL BONUS]])</f>
        <v>80516</v>
      </c>
      <c r="O842" s="8">
        <f>TBL_Employees[[#This Row],[Annual Salary]]*TBL_Employees[[#This Row],[Bonus %]]/100+TBL_Employees[[#This Row],[Annual Salary]]</f>
        <v>80516</v>
      </c>
      <c r="P842" t="s">
        <v>52</v>
      </c>
      <c r="Q842" t="s">
        <v>53</v>
      </c>
      <c r="R842" s="6" t="s">
        <v>21</v>
      </c>
    </row>
    <row r="843" spans="1:18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 s="17"/>
      <c r="I843">
        <v>33</v>
      </c>
      <c r="J843" s="6">
        <v>41507</v>
      </c>
      <c r="K843" s="8">
        <v>105390</v>
      </c>
      <c r="L843" s="1">
        <v>0.06</v>
      </c>
      <c r="M843" s="8">
        <f>TBL_Employees[[#This Row],[Annual Salary]]*TBL_Employees[[#This Row],[Bonus %]]</f>
        <v>6323.4</v>
      </c>
      <c r="N843" s="8">
        <f>SUM(TBL_Employees[[#This Row],[Annual Salary]],TBL_Employees[[#This Row],[TOTAL BONUS]])</f>
        <v>111713.4</v>
      </c>
      <c r="O843" s="8">
        <f>TBL_Employees[[#This Row],[Annual Salary]]*TBL_Employees[[#This Row],[Bonus %]]/100+TBL_Employees[[#This Row],[Annual Salary]]</f>
        <v>105453.234</v>
      </c>
      <c r="P843" t="s">
        <v>19</v>
      </c>
      <c r="Q843" t="s">
        <v>29</v>
      </c>
      <c r="R843" s="6" t="s">
        <v>21</v>
      </c>
    </row>
    <row r="844" spans="1:18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 s="17"/>
      <c r="I844">
        <v>50</v>
      </c>
      <c r="J844" s="6">
        <v>44445</v>
      </c>
      <c r="K844" s="8">
        <v>83418</v>
      </c>
      <c r="L844" s="1">
        <v>0</v>
      </c>
      <c r="M844" s="8">
        <f>TBL_Employees[[#This Row],[Annual Salary]]*TBL_Employees[[#This Row],[Bonus %]]</f>
        <v>0</v>
      </c>
      <c r="N844" s="8">
        <f>SUM(TBL_Employees[[#This Row],[Annual Salary]],TBL_Employees[[#This Row],[TOTAL BONUS]])</f>
        <v>83418</v>
      </c>
      <c r="O844" s="8">
        <f>TBL_Employees[[#This Row],[Annual Salary]]*TBL_Employees[[#This Row],[Bonus %]]/100+TBL_Employees[[#This Row],[Annual Salary]]</f>
        <v>83418</v>
      </c>
      <c r="P844" t="s">
        <v>33</v>
      </c>
      <c r="Q844" t="s">
        <v>74</v>
      </c>
      <c r="R844" s="6" t="s">
        <v>21</v>
      </c>
    </row>
    <row r="845" spans="1:18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 s="17"/>
      <c r="I845">
        <v>45</v>
      </c>
      <c r="J845" s="6">
        <v>43042</v>
      </c>
      <c r="K845" s="8">
        <v>66660</v>
      </c>
      <c r="L845" s="1">
        <v>0</v>
      </c>
      <c r="M845" s="8">
        <f>TBL_Employees[[#This Row],[Annual Salary]]*TBL_Employees[[#This Row],[Bonus %]]</f>
        <v>0</v>
      </c>
      <c r="N845" s="8">
        <f>SUM(TBL_Employees[[#This Row],[Annual Salary]],TBL_Employees[[#This Row],[TOTAL BONUS]])</f>
        <v>66660</v>
      </c>
      <c r="O845" s="8">
        <f>TBL_Employees[[#This Row],[Annual Salary]]*TBL_Employees[[#This Row],[Bonus %]]/100+TBL_Employees[[#This Row],[Annual Salary]]</f>
        <v>66660</v>
      </c>
      <c r="P845" t="s">
        <v>19</v>
      </c>
      <c r="Q845" t="s">
        <v>25</v>
      </c>
      <c r="R845" s="6" t="s">
        <v>21</v>
      </c>
    </row>
    <row r="846" spans="1:18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 s="17"/>
      <c r="I846">
        <v>59</v>
      </c>
      <c r="J846" s="6">
        <v>42165</v>
      </c>
      <c r="K846" s="8">
        <v>101985</v>
      </c>
      <c r="L846" s="1">
        <v>7.0000000000000007E-2</v>
      </c>
      <c r="M846" s="8">
        <f>TBL_Employees[[#This Row],[Annual Salary]]*TBL_Employees[[#This Row],[Bonus %]]</f>
        <v>7138.9500000000007</v>
      </c>
      <c r="N846" s="8">
        <f>SUM(TBL_Employees[[#This Row],[Annual Salary]],TBL_Employees[[#This Row],[TOTAL BONUS]])</f>
        <v>109123.95</v>
      </c>
      <c r="O846" s="8">
        <f>TBL_Employees[[#This Row],[Annual Salary]]*TBL_Employees[[#This Row],[Bonus %]]/100+TBL_Employees[[#This Row],[Annual Salary]]</f>
        <v>102056.3895</v>
      </c>
      <c r="P846" t="s">
        <v>19</v>
      </c>
      <c r="Q846" t="s">
        <v>45</v>
      </c>
      <c r="R846" s="6" t="s">
        <v>21</v>
      </c>
    </row>
    <row r="847" spans="1:18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 s="17"/>
      <c r="I847">
        <v>29</v>
      </c>
      <c r="J847" s="6">
        <v>43439</v>
      </c>
      <c r="K847" s="8">
        <v>199504</v>
      </c>
      <c r="L847" s="1">
        <v>0.3</v>
      </c>
      <c r="M847" s="8">
        <f>TBL_Employees[[#This Row],[Annual Salary]]*TBL_Employees[[#This Row],[Bonus %]]</f>
        <v>59851.199999999997</v>
      </c>
      <c r="N847" s="8">
        <f>SUM(TBL_Employees[[#This Row],[Annual Salary]],TBL_Employees[[#This Row],[TOTAL BONUS]])</f>
        <v>259355.2</v>
      </c>
      <c r="O847" s="8">
        <f>TBL_Employees[[#This Row],[Annual Salary]]*TBL_Employees[[#This Row],[Bonus %]]/100+TBL_Employees[[#This Row],[Annual Salary]]</f>
        <v>200102.51199999999</v>
      </c>
      <c r="P847" t="s">
        <v>19</v>
      </c>
      <c r="Q847" t="s">
        <v>25</v>
      </c>
      <c r="R847" s="6" t="s">
        <v>21</v>
      </c>
    </row>
    <row r="848" spans="1:18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 s="17"/>
      <c r="I848">
        <v>52</v>
      </c>
      <c r="J848" s="6">
        <v>38995</v>
      </c>
      <c r="K848" s="8">
        <v>147966</v>
      </c>
      <c r="L848" s="1">
        <v>0.11</v>
      </c>
      <c r="M848" s="8">
        <f>TBL_Employees[[#This Row],[Annual Salary]]*TBL_Employees[[#This Row],[Bonus %]]</f>
        <v>16276.26</v>
      </c>
      <c r="N848" s="8">
        <f>SUM(TBL_Employees[[#This Row],[Annual Salary]],TBL_Employees[[#This Row],[TOTAL BONUS]])</f>
        <v>164242.26</v>
      </c>
      <c r="O848" s="8">
        <f>TBL_Employees[[#This Row],[Annual Salary]]*TBL_Employees[[#This Row],[Bonus %]]/100+TBL_Employees[[#This Row],[Annual Salary]]</f>
        <v>148128.76259999999</v>
      </c>
      <c r="P848" t="s">
        <v>52</v>
      </c>
      <c r="Q848" t="s">
        <v>66</v>
      </c>
      <c r="R848" s="6">
        <v>43608</v>
      </c>
    </row>
    <row r="849" spans="1:18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 s="17"/>
      <c r="I849">
        <v>58</v>
      </c>
      <c r="J849" s="6">
        <v>41810</v>
      </c>
      <c r="K849" s="8">
        <v>41728</v>
      </c>
      <c r="L849" s="1">
        <v>0</v>
      </c>
      <c r="M849" s="8">
        <f>TBL_Employees[[#This Row],[Annual Salary]]*TBL_Employees[[#This Row],[Bonus %]]</f>
        <v>0</v>
      </c>
      <c r="N849" s="8">
        <f>SUM(TBL_Employees[[#This Row],[Annual Salary]],TBL_Employees[[#This Row],[TOTAL BONUS]])</f>
        <v>41728</v>
      </c>
      <c r="O849" s="8">
        <f>TBL_Employees[[#This Row],[Annual Salary]]*TBL_Employees[[#This Row],[Bonus %]]/100+TBL_Employees[[#This Row],[Annual Salary]]</f>
        <v>41728</v>
      </c>
      <c r="P849" t="s">
        <v>33</v>
      </c>
      <c r="Q849" t="s">
        <v>80</v>
      </c>
      <c r="R849" s="6" t="s">
        <v>21</v>
      </c>
    </row>
    <row r="850" spans="1:18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 s="17"/>
      <c r="I850">
        <v>62</v>
      </c>
      <c r="J850" s="6">
        <v>40591</v>
      </c>
      <c r="K850" s="8">
        <v>94422</v>
      </c>
      <c r="L850" s="1">
        <v>0</v>
      </c>
      <c r="M850" s="8">
        <f>TBL_Employees[[#This Row],[Annual Salary]]*TBL_Employees[[#This Row],[Bonus %]]</f>
        <v>0</v>
      </c>
      <c r="N850" s="8">
        <f>SUM(TBL_Employees[[#This Row],[Annual Salary]],TBL_Employees[[#This Row],[TOTAL BONUS]])</f>
        <v>94422</v>
      </c>
      <c r="O850" s="8">
        <f>TBL_Employees[[#This Row],[Annual Salary]]*TBL_Employees[[#This Row],[Bonus %]]/100+TBL_Employees[[#This Row],[Annual Salary]]</f>
        <v>94422</v>
      </c>
      <c r="P850" t="s">
        <v>19</v>
      </c>
      <c r="Q850" t="s">
        <v>39</v>
      </c>
      <c r="R850" s="6" t="s">
        <v>21</v>
      </c>
    </row>
    <row r="851" spans="1:18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 s="17"/>
      <c r="I851">
        <v>31</v>
      </c>
      <c r="J851" s="6">
        <v>42184</v>
      </c>
      <c r="K851" s="8">
        <v>191026</v>
      </c>
      <c r="L851" s="1">
        <v>0.16</v>
      </c>
      <c r="M851" s="8">
        <f>TBL_Employees[[#This Row],[Annual Salary]]*TBL_Employees[[#This Row],[Bonus %]]</f>
        <v>30564.16</v>
      </c>
      <c r="N851" s="8">
        <f>SUM(TBL_Employees[[#This Row],[Annual Salary]],TBL_Employees[[#This Row],[TOTAL BONUS]])</f>
        <v>221590.16</v>
      </c>
      <c r="O851" s="8">
        <f>TBL_Employees[[#This Row],[Annual Salary]]*TBL_Employees[[#This Row],[Bonus %]]/100+TBL_Employees[[#This Row],[Annual Salary]]</f>
        <v>191331.6416</v>
      </c>
      <c r="P851" t="s">
        <v>19</v>
      </c>
      <c r="Q851" t="s">
        <v>29</v>
      </c>
      <c r="R851" s="6" t="s">
        <v>21</v>
      </c>
    </row>
    <row r="852" spans="1:18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 s="17"/>
      <c r="I852">
        <v>42</v>
      </c>
      <c r="J852" s="6">
        <v>40511</v>
      </c>
      <c r="K852" s="8">
        <v>186725</v>
      </c>
      <c r="L852" s="1">
        <v>0.32</v>
      </c>
      <c r="M852" s="8">
        <f>TBL_Employees[[#This Row],[Annual Salary]]*TBL_Employees[[#This Row],[Bonus %]]</f>
        <v>59752</v>
      </c>
      <c r="N852" s="8">
        <f>SUM(TBL_Employees[[#This Row],[Annual Salary]],TBL_Employees[[#This Row],[TOTAL BONUS]])</f>
        <v>246477</v>
      </c>
      <c r="O852" s="8">
        <f>TBL_Employees[[#This Row],[Annual Salary]]*TBL_Employees[[#This Row],[Bonus %]]/100+TBL_Employees[[#This Row],[Annual Salary]]</f>
        <v>187322.52</v>
      </c>
      <c r="P852" t="s">
        <v>52</v>
      </c>
      <c r="Q852" t="s">
        <v>81</v>
      </c>
      <c r="R852" s="6" t="s">
        <v>21</v>
      </c>
    </row>
    <row r="853" spans="1:18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 s="17"/>
      <c r="I853">
        <v>56</v>
      </c>
      <c r="J853" s="6">
        <v>40045</v>
      </c>
      <c r="K853" s="8">
        <v>52800</v>
      </c>
      <c r="L853" s="1">
        <v>0</v>
      </c>
      <c r="M853" s="8">
        <f>TBL_Employees[[#This Row],[Annual Salary]]*TBL_Employees[[#This Row],[Bonus %]]</f>
        <v>0</v>
      </c>
      <c r="N853" s="8">
        <f>SUM(TBL_Employees[[#This Row],[Annual Salary]],TBL_Employees[[#This Row],[TOTAL BONUS]])</f>
        <v>52800</v>
      </c>
      <c r="O853" s="8">
        <f>TBL_Employees[[#This Row],[Annual Salary]]*TBL_Employees[[#This Row],[Bonus %]]/100+TBL_Employees[[#This Row],[Annual Salary]]</f>
        <v>52800</v>
      </c>
      <c r="P853" t="s">
        <v>19</v>
      </c>
      <c r="Q853" t="s">
        <v>39</v>
      </c>
      <c r="R853" s="6" t="s">
        <v>21</v>
      </c>
    </row>
    <row r="854" spans="1:18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 s="17"/>
      <c r="I854">
        <v>54</v>
      </c>
      <c r="J854" s="6">
        <v>40517</v>
      </c>
      <c r="K854" s="8">
        <v>113982</v>
      </c>
      <c r="L854" s="1">
        <v>0</v>
      </c>
      <c r="M854" s="8">
        <f>TBL_Employees[[#This Row],[Annual Salary]]*TBL_Employees[[#This Row],[Bonus %]]</f>
        <v>0</v>
      </c>
      <c r="N854" s="8">
        <f>SUM(TBL_Employees[[#This Row],[Annual Salary]],TBL_Employees[[#This Row],[TOTAL BONUS]])</f>
        <v>113982</v>
      </c>
      <c r="O854" s="8">
        <f>TBL_Employees[[#This Row],[Annual Salary]]*TBL_Employees[[#This Row],[Bonus %]]/100+TBL_Employees[[#This Row],[Annual Salary]]</f>
        <v>113982</v>
      </c>
      <c r="P854" t="s">
        <v>19</v>
      </c>
      <c r="Q854" t="s">
        <v>63</v>
      </c>
      <c r="R854" s="6" t="s">
        <v>21</v>
      </c>
    </row>
    <row r="855" spans="1:18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 s="17"/>
      <c r="I855">
        <v>54</v>
      </c>
      <c r="J855" s="6">
        <v>44271</v>
      </c>
      <c r="K855" s="8">
        <v>56239</v>
      </c>
      <c r="L855" s="1">
        <v>0</v>
      </c>
      <c r="M855" s="8">
        <f>TBL_Employees[[#This Row],[Annual Salary]]*TBL_Employees[[#This Row],[Bonus %]]</f>
        <v>0</v>
      </c>
      <c r="N855" s="8">
        <f>SUM(TBL_Employees[[#This Row],[Annual Salary]],TBL_Employees[[#This Row],[TOTAL BONUS]])</f>
        <v>56239</v>
      </c>
      <c r="O855" s="8">
        <f>TBL_Employees[[#This Row],[Annual Salary]]*TBL_Employees[[#This Row],[Bonus %]]/100+TBL_Employees[[#This Row],[Annual Salary]]</f>
        <v>56239</v>
      </c>
      <c r="P855" t="s">
        <v>33</v>
      </c>
      <c r="Q855" t="s">
        <v>80</v>
      </c>
      <c r="R855" s="6" t="s">
        <v>21</v>
      </c>
    </row>
    <row r="856" spans="1:18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 s="17"/>
      <c r="I856">
        <v>26</v>
      </c>
      <c r="J856" s="6">
        <v>44257</v>
      </c>
      <c r="K856" s="8">
        <v>44732</v>
      </c>
      <c r="L856" s="1">
        <v>0</v>
      </c>
      <c r="M856" s="8">
        <f>TBL_Employees[[#This Row],[Annual Salary]]*TBL_Employees[[#This Row],[Bonus %]]</f>
        <v>0</v>
      </c>
      <c r="N856" s="8">
        <f>SUM(TBL_Employees[[#This Row],[Annual Salary]],TBL_Employees[[#This Row],[TOTAL BONUS]])</f>
        <v>44732</v>
      </c>
      <c r="O856" s="8">
        <f>TBL_Employees[[#This Row],[Annual Salary]]*TBL_Employees[[#This Row],[Bonus %]]/100+TBL_Employees[[#This Row],[Annual Salary]]</f>
        <v>44732</v>
      </c>
      <c r="P856" t="s">
        <v>52</v>
      </c>
      <c r="Q856" t="s">
        <v>66</v>
      </c>
      <c r="R856" s="6" t="s">
        <v>21</v>
      </c>
    </row>
    <row r="857" spans="1:18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 s="17"/>
      <c r="I857">
        <v>49</v>
      </c>
      <c r="J857" s="6">
        <v>41816</v>
      </c>
      <c r="K857" s="8">
        <v>153961</v>
      </c>
      <c r="L857" s="1">
        <v>0.25</v>
      </c>
      <c r="M857" s="8">
        <f>TBL_Employees[[#This Row],[Annual Salary]]*TBL_Employees[[#This Row],[Bonus %]]</f>
        <v>38490.25</v>
      </c>
      <c r="N857" s="8">
        <f>SUM(TBL_Employees[[#This Row],[Annual Salary]],TBL_Employees[[#This Row],[TOTAL BONUS]])</f>
        <v>192451.25</v>
      </c>
      <c r="O857" s="8">
        <f>TBL_Employees[[#This Row],[Annual Salary]]*TBL_Employees[[#This Row],[Bonus %]]/100+TBL_Employees[[#This Row],[Annual Salary]]</f>
        <v>154345.9025</v>
      </c>
      <c r="P857" t="s">
        <v>33</v>
      </c>
      <c r="Q857" t="s">
        <v>74</v>
      </c>
      <c r="R857" s="6" t="s">
        <v>21</v>
      </c>
    </row>
    <row r="858" spans="1:18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 s="17"/>
      <c r="I858">
        <v>45</v>
      </c>
      <c r="J858" s="6">
        <v>39069</v>
      </c>
      <c r="K858" s="8">
        <v>68337</v>
      </c>
      <c r="L858" s="1">
        <v>0</v>
      </c>
      <c r="M858" s="8">
        <f>TBL_Employees[[#This Row],[Annual Salary]]*TBL_Employees[[#This Row],[Bonus %]]</f>
        <v>0</v>
      </c>
      <c r="N858" s="8">
        <f>SUM(TBL_Employees[[#This Row],[Annual Salary]],TBL_Employees[[#This Row],[TOTAL BONUS]])</f>
        <v>68337</v>
      </c>
      <c r="O858" s="8">
        <f>TBL_Employees[[#This Row],[Annual Salary]]*TBL_Employees[[#This Row],[Bonus %]]/100+TBL_Employees[[#This Row],[Annual Salary]]</f>
        <v>68337</v>
      </c>
      <c r="P858" t="s">
        <v>33</v>
      </c>
      <c r="Q858" t="s">
        <v>80</v>
      </c>
      <c r="R858" s="6" t="s">
        <v>21</v>
      </c>
    </row>
    <row r="859" spans="1:18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 s="17"/>
      <c r="I859">
        <v>45</v>
      </c>
      <c r="J859" s="6">
        <v>40305</v>
      </c>
      <c r="K859" s="8">
        <v>145093</v>
      </c>
      <c r="L859" s="1">
        <v>0.12</v>
      </c>
      <c r="M859" s="8">
        <f>TBL_Employees[[#This Row],[Annual Salary]]*TBL_Employees[[#This Row],[Bonus %]]</f>
        <v>17411.16</v>
      </c>
      <c r="N859" s="8">
        <f>SUM(TBL_Employees[[#This Row],[Annual Salary]],TBL_Employees[[#This Row],[TOTAL BONUS]])</f>
        <v>162504.16</v>
      </c>
      <c r="O859" s="8">
        <f>TBL_Employees[[#This Row],[Annual Salary]]*TBL_Employees[[#This Row],[Bonus %]]/100+TBL_Employees[[#This Row],[Annual Salary]]</f>
        <v>145267.1116</v>
      </c>
      <c r="P859" t="s">
        <v>19</v>
      </c>
      <c r="Q859" t="s">
        <v>20</v>
      </c>
      <c r="R859" s="6" t="s">
        <v>21</v>
      </c>
    </row>
    <row r="860" spans="1:18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 s="17"/>
      <c r="I860">
        <v>26</v>
      </c>
      <c r="J860" s="6">
        <v>44266</v>
      </c>
      <c r="K860" s="8">
        <v>74170</v>
      </c>
      <c r="L860" s="1">
        <v>0</v>
      </c>
      <c r="M860" s="8">
        <f>TBL_Employees[[#This Row],[Annual Salary]]*TBL_Employees[[#This Row],[Bonus %]]</f>
        <v>0</v>
      </c>
      <c r="N860" s="8">
        <f>SUM(TBL_Employees[[#This Row],[Annual Salary]],TBL_Employees[[#This Row],[TOTAL BONUS]])</f>
        <v>74170</v>
      </c>
      <c r="O860" s="8">
        <f>TBL_Employees[[#This Row],[Annual Salary]]*TBL_Employees[[#This Row],[Bonus %]]/100+TBL_Employees[[#This Row],[Annual Salary]]</f>
        <v>74170</v>
      </c>
      <c r="P860" t="s">
        <v>19</v>
      </c>
      <c r="Q860" t="s">
        <v>25</v>
      </c>
      <c r="R860" s="6" t="s">
        <v>21</v>
      </c>
    </row>
    <row r="861" spans="1:18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 s="17"/>
      <c r="I861">
        <v>59</v>
      </c>
      <c r="J861" s="6">
        <v>35153</v>
      </c>
      <c r="K861" s="8">
        <v>62605</v>
      </c>
      <c r="L861" s="1">
        <v>0</v>
      </c>
      <c r="M861" s="8">
        <f>TBL_Employees[[#This Row],[Annual Salary]]*TBL_Employees[[#This Row],[Bonus %]]</f>
        <v>0</v>
      </c>
      <c r="N861" s="8">
        <f>SUM(TBL_Employees[[#This Row],[Annual Salary]],TBL_Employees[[#This Row],[TOTAL BONUS]])</f>
        <v>62605</v>
      </c>
      <c r="O861" s="8">
        <f>TBL_Employees[[#This Row],[Annual Salary]]*TBL_Employees[[#This Row],[Bonus %]]/100+TBL_Employees[[#This Row],[Annual Salary]]</f>
        <v>62605</v>
      </c>
      <c r="P861" t="s">
        <v>19</v>
      </c>
      <c r="Q861" t="s">
        <v>25</v>
      </c>
      <c r="R861" s="6" t="s">
        <v>21</v>
      </c>
    </row>
    <row r="862" spans="1:18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 s="17"/>
      <c r="I862">
        <v>51</v>
      </c>
      <c r="J862" s="6">
        <v>43903</v>
      </c>
      <c r="K862" s="8">
        <v>107195</v>
      </c>
      <c r="L862" s="1">
        <v>0.09</v>
      </c>
      <c r="M862" s="8">
        <f>TBL_Employees[[#This Row],[Annual Salary]]*TBL_Employees[[#This Row],[Bonus %]]</f>
        <v>9647.5499999999993</v>
      </c>
      <c r="N862" s="8">
        <f>SUM(TBL_Employees[[#This Row],[Annual Salary]],TBL_Employees[[#This Row],[TOTAL BONUS]])</f>
        <v>116842.55</v>
      </c>
      <c r="O862" s="8">
        <f>TBL_Employees[[#This Row],[Annual Salary]]*TBL_Employees[[#This Row],[Bonus %]]/100+TBL_Employees[[#This Row],[Annual Salary]]</f>
        <v>107291.4755</v>
      </c>
      <c r="P862" t="s">
        <v>19</v>
      </c>
      <c r="Q862" t="s">
        <v>25</v>
      </c>
      <c r="R862" s="6" t="s">
        <v>21</v>
      </c>
    </row>
    <row r="863" spans="1:18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 s="17"/>
      <c r="I863">
        <v>45</v>
      </c>
      <c r="J863" s="6">
        <v>43111</v>
      </c>
      <c r="K863" s="8">
        <v>127422</v>
      </c>
      <c r="L863" s="1">
        <v>0.15</v>
      </c>
      <c r="M863" s="8">
        <f>TBL_Employees[[#This Row],[Annual Salary]]*TBL_Employees[[#This Row],[Bonus %]]</f>
        <v>19113.3</v>
      </c>
      <c r="N863" s="8">
        <f>SUM(TBL_Employees[[#This Row],[Annual Salary]],TBL_Employees[[#This Row],[TOTAL BONUS]])</f>
        <v>146535.29999999999</v>
      </c>
      <c r="O863" s="8">
        <f>TBL_Employees[[#This Row],[Annual Salary]]*TBL_Employees[[#This Row],[Bonus %]]/100+TBL_Employees[[#This Row],[Annual Salary]]</f>
        <v>127613.133</v>
      </c>
      <c r="P863" t="s">
        <v>19</v>
      </c>
      <c r="Q863" t="s">
        <v>29</v>
      </c>
      <c r="R863" s="6" t="s">
        <v>21</v>
      </c>
    </row>
    <row r="864" spans="1:18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 s="17"/>
      <c r="I864">
        <v>35</v>
      </c>
      <c r="J864" s="6">
        <v>42912</v>
      </c>
      <c r="K864" s="8">
        <v>161269</v>
      </c>
      <c r="L864" s="1">
        <v>0.27</v>
      </c>
      <c r="M864" s="8">
        <f>TBL_Employees[[#This Row],[Annual Salary]]*TBL_Employees[[#This Row],[Bonus %]]</f>
        <v>43542.630000000005</v>
      </c>
      <c r="N864" s="8">
        <f>SUM(TBL_Employees[[#This Row],[Annual Salary]],TBL_Employees[[#This Row],[TOTAL BONUS]])</f>
        <v>204811.63</v>
      </c>
      <c r="O864" s="8">
        <f>TBL_Employees[[#This Row],[Annual Salary]]*TBL_Employees[[#This Row],[Bonus %]]/100+TBL_Employees[[#This Row],[Annual Salary]]</f>
        <v>161704.42629999999</v>
      </c>
      <c r="P864" t="s">
        <v>19</v>
      </c>
      <c r="Q864" t="s">
        <v>45</v>
      </c>
      <c r="R864" s="6" t="s">
        <v>21</v>
      </c>
    </row>
    <row r="865" spans="1:18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 s="17"/>
      <c r="I865">
        <v>32</v>
      </c>
      <c r="J865" s="6">
        <v>41675</v>
      </c>
      <c r="K865" s="8">
        <v>203445</v>
      </c>
      <c r="L865" s="1">
        <v>0.34</v>
      </c>
      <c r="M865" s="8">
        <f>TBL_Employees[[#This Row],[Annual Salary]]*TBL_Employees[[#This Row],[Bonus %]]</f>
        <v>69171.3</v>
      </c>
      <c r="N865" s="8">
        <f>SUM(TBL_Employees[[#This Row],[Annual Salary]],TBL_Employees[[#This Row],[TOTAL BONUS]])</f>
        <v>272616.3</v>
      </c>
      <c r="O865" s="8">
        <f>TBL_Employees[[#This Row],[Annual Salary]]*TBL_Employees[[#This Row],[Bonus %]]/100+TBL_Employees[[#This Row],[Annual Salary]]</f>
        <v>204136.71299999999</v>
      </c>
      <c r="P865" t="s">
        <v>52</v>
      </c>
      <c r="Q865" t="s">
        <v>81</v>
      </c>
      <c r="R865" s="6" t="s">
        <v>21</v>
      </c>
    </row>
    <row r="866" spans="1:18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 s="17"/>
      <c r="I866">
        <v>37</v>
      </c>
      <c r="J866" s="6">
        <v>40560</v>
      </c>
      <c r="K866" s="8">
        <v>131353</v>
      </c>
      <c r="L866" s="1">
        <v>0.11</v>
      </c>
      <c r="M866" s="8">
        <f>TBL_Employees[[#This Row],[Annual Salary]]*TBL_Employees[[#This Row],[Bonus %]]</f>
        <v>14448.83</v>
      </c>
      <c r="N866" s="8">
        <f>SUM(TBL_Employees[[#This Row],[Annual Salary]],TBL_Employees[[#This Row],[TOTAL BONUS]])</f>
        <v>145801.82999999999</v>
      </c>
      <c r="O866" s="8">
        <f>TBL_Employees[[#This Row],[Annual Salary]]*TBL_Employees[[#This Row],[Bonus %]]/100+TBL_Employees[[#This Row],[Annual Salary]]</f>
        <v>131497.4883</v>
      </c>
      <c r="P866" t="s">
        <v>33</v>
      </c>
      <c r="Q866" t="s">
        <v>74</v>
      </c>
      <c r="R866" s="6" t="s">
        <v>21</v>
      </c>
    </row>
    <row r="867" spans="1:18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 s="17"/>
      <c r="I867">
        <v>45</v>
      </c>
      <c r="J867" s="6">
        <v>40253</v>
      </c>
      <c r="K867" s="8">
        <v>88182</v>
      </c>
      <c r="L867" s="1">
        <v>0</v>
      </c>
      <c r="M867" s="8">
        <f>TBL_Employees[[#This Row],[Annual Salary]]*TBL_Employees[[#This Row],[Bonus %]]</f>
        <v>0</v>
      </c>
      <c r="N867" s="8">
        <f>SUM(TBL_Employees[[#This Row],[Annual Salary]],TBL_Employees[[#This Row],[TOTAL BONUS]])</f>
        <v>88182</v>
      </c>
      <c r="O867" s="8">
        <f>TBL_Employees[[#This Row],[Annual Salary]]*TBL_Employees[[#This Row],[Bonus %]]/100+TBL_Employees[[#This Row],[Annual Salary]]</f>
        <v>88182</v>
      </c>
      <c r="P867" t="s">
        <v>33</v>
      </c>
      <c r="Q867" t="s">
        <v>34</v>
      </c>
      <c r="R867" s="6" t="s">
        <v>21</v>
      </c>
    </row>
    <row r="868" spans="1:18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 s="17"/>
      <c r="I868">
        <v>61</v>
      </c>
      <c r="J868" s="6">
        <v>43703</v>
      </c>
      <c r="K868" s="8">
        <v>75780</v>
      </c>
      <c r="L868" s="1">
        <v>0</v>
      </c>
      <c r="M868" s="8">
        <f>TBL_Employees[[#This Row],[Annual Salary]]*TBL_Employees[[#This Row],[Bonus %]]</f>
        <v>0</v>
      </c>
      <c r="N868" s="8">
        <f>SUM(TBL_Employees[[#This Row],[Annual Salary]],TBL_Employees[[#This Row],[TOTAL BONUS]])</f>
        <v>75780</v>
      </c>
      <c r="O868" s="8">
        <f>TBL_Employees[[#This Row],[Annual Salary]]*TBL_Employees[[#This Row],[Bonus %]]/100+TBL_Employees[[#This Row],[Annual Salary]]</f>
        <v>75780</v>
      </c>
      <c r="P868" t="s">
        <v>19</v>
      </c>
      <c r="Q868" t="s">
        <v>63</v>
      </c>
      <c r="R868" s="6" t="s">
        <v>21</v>
      </c>
    </row>
    <row r="869" spans="1:18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 s="17"/>
      <c r="I869">
        <v>45</v>
      </c>
      <c r="J869" s="6">
        <v>43557</v>
      </c>
      <c r="K869" s="8">
        <v>52621</v>
      </c>
      <c r="L869" s="1">
        <v>0</v>
      </c>
      <c r="M869" s="8">
        <f>TBL_Employees[[#This Row],[Annual Salary]]*TBL_Employees[[#This Row],[Bonus %]]</f>
        <v>0</v>
      </c>
      <c r="N869" s="8">
        <f>SUM(TBL_Employees[[#This Row],[Annual Salary]],TBL_Employees[[#This Row],[TOTAL BONUS]])</f>
        <v>52621</v>
      </c>
      <c r="O869" s="8">
        <f>TBL_Employees[[#This Row],[Annual Salary]]*TBL_Employees[[#This Row],[Bonus %]]/100+TBL_Employees[[#This Row],[Annual Salary]]</f>
        <v>52621</v>
      </c>
      <c r="P869" t="s">
        <v>33</v>
      </c>
      <c r="Q869" t="s">
        <v>60</v>
      </c>
      <c r="R869" s="6" t="s">
        <v>21</v>
      </c>
    </row>
    <row r="870" spans="1:18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 s="17"/>
      <c r="I870">
        <v>60</v>
      </c>
      <c r="J870" s="6">
        <v>43146</v>
      </c>
      <c r="K870" s="8">
        <v>106079</v>
      </c>
      <c r="L870" s="1">
        <v>0.14000000000000001</v>
      </c>
      <c r="M870" s="8">
        <f>TBL_Employees[[#This Row],[Annual Salary]]*TBL_Employees[[#This Row],[Bonus %]]</f>
        <v>14851.060000000001</v>
      </c>
      <c r="N870" s="8">
        <f>SUM(TBL_Employees[[#This Row],[Annual Salary]],TBL_Employees[[#This Row],[TOTAL BONUS]])</f>
        <v>120930.06</v>
      </c>
      <c r="O870" s="8">
        <f>TBL_Employees[[#This Row],[Annual Salary]]*TBL_Employees[[#This Row],[Bonus %]]/100+TBL_Employees[[#This Row],[Annual Salary]]</f>
        <v>106227.51059999999</v>
      </c>
      <c r="P870" t="s">
        <v>19</v>
      </c>
      <c r="Q870" t="s">
        <v>25</v>
      </c>
      <c r="R870" s="6">
        <v>44295</v>
      </c>
    </row>
    <row r="871" spans="1:18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 s="17"/>
      <c r="I871">
        <v>30</v>
      </c>
      <c r="J871" s="6">
        <v>42777</v>
      </c>
      <c r="K871" s="8">
        <v>92058</v>
      </c>
      <c r="L871" s="1">
        <v>0</v>
      </c>
      <c r="M871" s="8">
        <f>TBL_Employees[[#This Row],[Annual Salary]]*TBL_Employees[[#This Row],[Bonus %]]</f>
        <v>0</v>
      </c>
      <c r="N871" s="8">
        <f>SUM(TBL_Employees[[#This Row],[Annual Salary]],TBL_Employees[[#This Row],[TOTAL BONUS]])</f>
        <v>92058</v>
      </c>
      <c r="O871" s="8">
        <f>TBL_Employees[[#This Row],[Annual Salary]]*TBL_Employees[[#This Row],[Bonus %]]/100+TBL_Employees[[#This Row],[Annual Salary]]</f>
        <v>92058</v>
      </c>
      <c r="P871" t="s">
        <v>19</v>
      </c>
      <c r="Q871" t="s">
        <v>25</v>
      </c>
      <c r="R871" s="6" t="s">
        <v>21</v>
      </c>
    </row>
    <row r="872" spans="1:18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 s="17"/>
      <c r="I872">
        <v>64</v>
      </c>
      <c r="J872" s="6">
        <v>43527</v>
      </c>
      <c r="K872" s="8">
        <v>67114</v>
      </c>
      <c r="L872" s="1">
        <v>0</v>
      </c>
      <c r="M872" s="8">
        <f>TBL_Employees[[#This Row],[Annual Salary]]*TBL_Employees[[#This Row],[Bonus %]]</f>
        <v>0</v>
      </c>
      <c r="N872" s="8">
        <f>SUM(TBL_Employees[[#This Row],[Annual Salary]],TBL_Employees[[#This Row],[TOTAL BONUS]])</f>
        <v>67114</v>
      </c>
      <c r="O872" s="8">
        <f>TBL_Employees[[#This Row],[Annual Salary]]*TBL_Employees[[#This Row],[Bonus %]]/100+TBL_Employees[[#This Row],[Annual Salary]]</f>
        <v>67114</v>
      </c>
      <c r="P872" t="s">
        <v>19</v>
      </c>
      <c r="Q872" t="s">
        <v>39</v>
      </c>
      <c r="R872" s="6" t="s">
        <v>21</v>
      </c>
    </row>
    <row r="873" spans="1:18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 s="17"/>
      <c r="I873">
        <v>25</v>
      </c>
      <c r="J873" s="6">
        <v>44024</v>
      </c>
      <c r="K873" s="8">
        <v>56565</v>
      </c>
      <c r="L873" s="1">
        <v>0</v>
      </c>
      <c r="M873" s="8">
        <f>TBL_Employees[[#This Row],[Annual Salary]]*TBL_Employees[[#This Row],[Bonus %]]</f>
        <v>0</v>
      </c>
      <c r="N873" s="8">
        <f>SUM(TBL_Employees[[#This Row],[Annual Salary]],TBL_Employees[[#This Row],[TOTAL BONUS]])</f>
        <v>56565</v>
      </c>
      <c r="O873" s="8">
        <f>TBL_Employees[[#This Row],[Annual Salary]]*TBL_Employees[[#This Row],[Bonus %]]/100+TBL_Employees[[#This Row],[Annual Salary]]</f>
        <v>56565</v>
      </c>
      <c r="P873" t="s">
        <v>52</v>
      </c>
      <c r="Q873" t="s">
        <v>53</v>
      </c>
      <c r="R873" s="6" t="s">
        <v>21</v>
      </c>
    </row>
    <row r="874" spans="1:18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 s="17"/>
      <c r="I874">
        <v>61</v>
      </c>
      <c r="J874" s="6">
        <v>40683</v>
      </c>
      <c r="K874" s="8">
        <v>64937</v>
      </c>
      <c r="L874" s="1">
        <v>0</v>
      </c>
      <c r="M874" s="8">
        <f>TBL_Employees[[#This Row],[Annual Salary]]*TBL_Employees[[#This Row],[Bonus %]]</f>
        <v>0</v>
      </c>
      <c r="N874" s="8">
        <f>SUM(TBL_Employees[[#This Row],[Annual Salary]],TBL_Employees[[#This Row],[TOTAL BONUS]])</f>
        <v>64937</v>
      </c>
      <c r="O874" s="8">
        <f>TBL_Employees[[#This Row],[Annual Salary]]*TBL_Employees[[#This Row],[Bonus %]]/100+TBL_Employees[[#This Row],[Annual Salary]]</f>
        <v>64937</v>
      </c>
      <c r="P874" t="s">
        <v>19</v>
      </c>
      <c r="Q874" t="s">
        <v>39</v>
      </c>
      <c r="R874" s="6" t="s">
        <v>21</v>
      </c>
    </row>
    <row r="875" spans="1:18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 s="17"/>
      <c r="I875">
        <v>65</v>
      </c>
      <c r="J875" s="6">
        <v>38967</v>
      </c>
      <c r="K875" s="8">
        <v>127626</v>
      </c>
      <c r="L875" s="1">
        <v>0.1</v>
      </c>
      <c r="M875" s="8">
        <f>TBL_Employees[[#This Row],[Annual Salary]]*TBL_Employees[[#This Row],[Bonus %]]</f>
        <v>12762.6</v>
      </c>
      <c r="N875" s="8">
        <f>SUM(TBL_Employees[[#This Row],[Annual Salary]],TBL_Employees[[#This Row],[TOTAL BONUS]])</f>
        <v>140388.6</v>
      </c>
      <c r="O875" s="8">
        <f>TBL_Employees[[#This Row],[Annual Salary]]*TBL_Employees[[#This Row],[Bonus %]]/100+TBL_Employees[[#This Row],[Annual Salary]]</f>
        <v>127753.626</v>
      </c>
      <c r="P875" t="s">
        <v>19</v>
      </c>
      <c r="Q875" t="s">
        <v>45</v>
      </c>
      <c r="R875" s="6" t="s">
        <v>21</v>
      </c>
    </row>
    <row r="876" spans="1:18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 s="17"/>
      <c r="I876">
        <v>61</v>
      </c>
      <c r="J876" s="6">
        <v>38013</v>
      </c>
      <c r="K876" s="8">
        <v>88478</v>
      </c>
      <c r="L876" s="1">
        <v>0</v>
      </c>
      <c r="M876" s="8">
        <f>TBL_Employees[[#This Row],[Annual Salary]]*TBL_Employees[[#This Row],[Bonus %]]</f>
        <v>0</v>
      </c>
      <c r="N876" s="8">
        <f>SUM(TBL_Employees[[#This Row],[Annual Salary]],TBL_Employees[[#This Row],[TOTAL BONUS]])</f>
        <v>88478</v>
      </c>
      <c r="O876" s="8">
        <f>TBL_Employees[[#This Row],[Annual Salary]]*TBL_Employees[[#This Row],[Bonus %]]/100+TBL_Employees[[#This Row],[Annual Salary]]</f>
        <v>88478</v>
      </c>
      <c r="P876" t="s">
        <v>19</v>
      </c>
      <c r="Q876" t="s">
        <v>25</v>
      </c>
      <c r="R876" s="6" t="s">
        <v>21</v>
      </c>
    </row>
    <row r="877" spans="1:18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 s="17"/>
      <c r="I877">
        <v>48</v>
      </c>
      <c r="J877" s="6">
        <v>41749</v>
      </c>
      <c r="K877" s="8">
        <v>91679</v>
      </c>
      <c r="L877" s="1">
        <v>7.0000000000000007E-2</v>
      </c>
      <c r="M877" s="8">
        <f>TBL_Employees[[#This Row],[Annual Salary]]*TBL_Employees[[#This Row],[Bonus %]]</f>
        <v>6417.5300000000007</v>
      </c>
      <c r="N877" s="8">
        <f>SUM(TBL_Employees[[#This Row],[Annual Salary]],TBL_Employees[[#This Row],[TOTAL BONUS]])</f>
        <v>98096.53</v>
      </c>
      <c r="O877" s="8">
        <f>TBL_Employees[[#This Row],[Annual Salary]]*TBL_Employees[[#This Row],[Bonus %]]/100+TBL_Employees[[#This Row],[Annual Salary]]</f>
        <v>91743.175300000003</v>
      </c>
      <c r="P877" t="s">
        <v>33</v>
      </c>
      <c r="Q877" t="s">
        <v>80</v>
      </c>
      <c r="R877" s="6" t="s">
        <v>21</v>
      </c>
    </row>
    <row r="878" spans="1:18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 s="17"/>
      <c r="I878">
        <v>58</v>
      </c>
      <c r="J878" s="6">
        <v>33682</v>
      </c>
      <c r="K878" s="8">
        <v>199848</v>
      </c>
      <c r="L878" s="1">
        <v>0.16</v>
      </c>
      <c r="M878" s="8">
        <f>TBL_Employees[[#This Row],[Annual Salary]]*TBL_Employees[[#This Row],[Bonus %]]</f>
        <v>31975.68</v>
      </c>
      <c r="N878" s="8">
        <f>SUM(TBL_Employees[[#This Row],[Annual Salary]],TBL_Employees[[#This Row],[TOTAL BONUS]])</f>
        <v>231823.68</v>
      </c>
      <c r="O878" s="8">
        <f>TBL_Employees[[#This Row],[Annual Salary]]*TBL_Employees[[#This Row],[Bonus %]]/100+TBL_Employees[[#This Row],[Annual Salary]]</f>
        <v>200167.7568</v>
      </c>
      <c r="P878" t="s">
        <v>33</v>
      </c>
      <c r="Q878" t="s">
        <v>80</v>
      </c>
      <c r="R878" s="6" t="s">
        <v>21</v>
      </c>
    </row>
    <row r="879" spans="1:18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 s="17"/>
      <c r="I879">
        <v>34</v>
      </c>
      <c r="J879" s="6">
        <v>43414</v>
      </c>
      <c r="K879" s="8">
        <v>61944</v>
      </c>
      <c r="L879" s="1">
        <v>0</v>
      </c>
      <c r="M879" s="8">
        <f>TBL_Employees[[#This Row],[Annual Salary]]*TBL_Employees[[#This Row],[Bonus %]]</f>
        <v>0</v>
      </c>
      <c r="N879" s="8">
        <f>SUM(TBL_Employees[[#This Row],[Annual Salary]],TBL_Employees[[#This Row],[TOTAL BONUS]])</f>
        <v>61944</v>
      </c>
      <c r="O879" s="8">
        <f>TBL_Employees[[#This Row],[Annual Salary]]*TBL_Employees[[#This Row],[Bonus %]]/100+TBL_Employees[[#This Row],[Annual Salary]]</f>
        <v>61944</v>
      </c>
      <c r="P879" t="s">
        <v>33</v>
      </c>
      <c r="Q879" t="s">
        <v>74</v>
      </c>
      <c r="R879" s="6" t="s">
        <v>21</v>
      </c>
    </row>
    <row r="880" spans="1:18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 s="17"/>
      <c r="I880">
        <v>30</v>
      </c>
      <c r="J880" s="6">
        <v>42960</v>
      </c>
      <c r="K880" s="8">
        <v>154624</v>
      </c>
      <c r="L880" s="1">
        <v>0.15</v>
      </c>
      <c r="M880" s="8">
        <f>TBL_Employees[[#This Row],[Annual Salary]]*TBL_Employees[[#This Row],[Bonus %]]</f>
        <v>23193.599999999999</v>
      </c>
      <c r="N880" s="8">
        <f>SUM(TBL_Employees[[#This Row],[Annual Salary]],TBL_Employees[[#This Row],[TOTAL BONUS]])</f>
        <v>177817.60000000001</v>
      </c>
      <c r="O880" s="8">
        <f>TBL_Employees[[#This Row],[Annual Salary]]*TBL_Employees[[#This Row],[Bonus %]]/100+TBL_Employees[[#This Row],[Annual Salary]]</f>
        <v>154855.93599999999</v>
      </c>
      <c r="P880" t="s">
        <v>19</v>
      </c>
      <c r="Q880" t="s">
        <v>25</v>
      </c>
      <c r="R880" s="6" t="s">
        <v>21</v>
      </c>
    </row>
    <row r="881" spans="1:18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 s="17"/>
      <c r="I881">
        <v>50</v>
      </c>
      <c r="J881" s="6">
        <v>40109</v>
      </c>
      <c r="K881" s="8">
        <v>79447</v>
      </c>
      <c r="L881" s="1">
        <v>0</v>
      </c>
      <c r="M881" s="8">
        <f>TBL_Employees[[#This Row],[Annual Salary]]*TBL_Employees[[#This Row],[Bonus %]]</f>
        <v>0</v>
      </c>
      <c r="N881" s="8">
        <f>SUM(TBL_Employees[[#This Row],[Annual Salary]],TBL_Employees[[#This Row],[TOTAL BONUS]])</f>
        <v>79447</v>
      </c>
      <c r="O881" s="8">
        <f>TBL_Employees[[#This Row],[Annual Salary]]*TBL_Employees[[#This Row],[Bonus %]]/100+TBL_Employees[[#This Row],[Annual Salary]]</f>
        <v>79447</v>
      </c>
      <c r="P881" t="s">
        <v>33</v>
      </c>
      <c r="Q881" t="s">
        <v>74</v>
      </c>
      <c r="R881" s="6" t="s">
        <v>21</v>
      </c>
    </row>
    <row r="882" spans="1:18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 s="17"/>
      <c r="I882">
        <v>51</v>
      </c>
      <c r="J882" s="6">
        <v>35852</v>
      </c>
      <c r="K882" s="8">
        <v>71111</v>
      </c>
      <c r="L882" s="1">
        <v>0</v>
      </c>
      <c r="M882" s="8">
        <f>TBL_Employees[[#This Row],[Annual Salary]]*TBL_Employees[[#This Row],[Bonus %]]</f>
        <v>0</v>
      </c>
      <c r="N882" s="8">
        <f>SUM(TBL_Employees[[#This Row],[Annual Salary]],TBL_Employees[[#This Row],[TOTAL BONUS]])</f>
        <v>71111</v>
      </c>
      <c r="O882" s="8">
        <f>TBL_Employees[[#This Row],[Annual Salary]]*TBL_Employees[[#This Row],[Bonus %]]/100+TBL_Employees[[#This Row],[Annual Salary]]</f>
        <v>71111</v>
      </c>
      <c r="P882" t="s">
        <v>52</v>
      </c>
      <c r="Q882" t="s">
        <v>66</v>
      </c>
      <c r="R882" s="6" t="s">
        <v>21</v>
      </c>
    </row>
    <row r="883" spans="1:18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 s="17"/>
      <c r="I883">
        <v>53</v>
      </c>
      <c r="J883" s="6">
        <v>41931</v>
      </c>
      <c r="K883" s="8">
        <v>159538</v>
      </c>
      <c r="L883" s="1">
        <v>0.11</v>
      </c>
      <c r="M883" s="8">
        <f>TBL_Employees[[#This Row],[Annual Salary]]*TBL_Employees[[#This Row],[Bonus %]]</f>
        <v>17549.18</v>
      </c>
      <c r="N883" s="8">
        <f>SUM(TBL_Employees[[#This Row],[Annual Salary]],TBL_Employees[[#This Row],[TOTAL BONUS]])</f>
        <v>177087.18</v>
      </c>
      <c r="O883" s="8">
        <f>TBL_Employees[[#This Row],[Annual Salary]]*TBL_Employees[[#This Row],[Bonus %]]/100+TBL_Employees[[#This Row],[Annual Salary]]</f>
        <v>159713.49179999999</v>
      </c>
      <c r="P883" t="s">
        <v>19</v>
      </c>
      <c r="Q883" t="s">
        <v>45</v>
      </c>
      <c r="R883" s="6" t="s">
        <v>21</v>
      </c>
    </row>
    <row r="884" spans="1:18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 s="17"/>
      <c r="I884">
        <v>47</v>
      </c>
      <c r="J884" s="6">
        <v>43375</v>
      </c>
      <c r="K884" s="8">
        <v>111404</v>
      </c>
      <c r="L884" s="1">
        <v>0</v>
      </c>
      <c r="M884" s="8">
        <f>TBL_Employees[[#This Row],[Annual Salary]]*TBL_Employees[[#This Row],[Bonus %]]</f>
        <v>0</v>
      </c>
      <c r="N884" s="8">
        <f>SUM(TBL_Employees[[#This Row],[Annual Salary]],TBL_Employees[[#This Row],[TOTAL BONUS]])</f>
        <v>111404</v>
      </c>
      <c r="O884" s="8">
        <f>TBL_Employees[[#This Row],[Annual Salary]]*TBL_Employees[[#This Row],[Bonus %]]/100+TBL_Employees[[#This Row],[Annual Salary]]</f>
        <v>111404</v>
      </c>
      <c r="P884" t="s">
        <v>52</v>
      </c>
      <c r="Q884" t="s">
        <v>66</v>
      </c>
      <c r="R884" s="6" t="s">
        <v>21</v>
      </c>
    </row>
    <row r="885" spans="1:18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 s="17"/>
      <c r="I885">
        <v>25</v>
      </c>
      <c r="J885" s="6">
        <v>44058</v>
      </c>
      <c r="K885" s="8">
        <v>172007</v>
      </c>
      <c r="L885" s="1">
        <v>0.26</v>
      </c>
      <c r="M885" s="8">
        <f>TBL_Employees[[#This Row],[Annual Salary]]*TBL_Employees[[#This Row],[Bonus %]]</f>
        <v>44721.82</v>
      </c>
      <c r="N885" s="8">
        <f>SUM(TBL_Employees[[#This Row],[Annual Salary]],TBL_Employees[[#This Row],[TOTAL BONUS]])</f>
        <v>216728.82</v>
      </c>
      <c r="O885" s="8">
        <f>TBL_Employees[[#This Row],[Annual Salary]]*TBL_Employees[[#This Row],[Bonus %]]/100+TBL_Employees[[#This Row],[Annual Salary]]</f>
        <v>172454.2182</v>
      </c>
      <c r="P885" t="s">
        <v>19</v>
      </c>
      <c r="Q885" t="s">
        <v>45</v>
      </c>
      <c r="R885" s="6" t="s">
        <v>21</v>
      </c>
    </row>
    <row r="886" spans="1:18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 s="17"/>
      <c r="I886">
        <v>37</v>
      </c>
      <c r="J886" s="6">
        <v>40745</v>
      </c>
      <c r="K886" s="8">
        <v>219474</v>
      </c>
      <c r="L886" s="1">
        <v>0.36</v>
      </c>
      <c r="M886" s="8">
        <f>TBL_Employees[[#This Row],[Annual Salary]]*TBL_Employees[[#This Row],[Bonus %]]</f>
        <v>79010.64</v>
      </c>
      <c r="N886" s="8">
        <f>SUM(TBL_Employees[[#This Row],[Annual Salary]],TBL_Employees[[#This Row],[TOTAL BONUS]])</f>
        <v>298484.64</v>
      </c>
      <c r="O886" s="8">
        <f>TBL_Employees[[#This Row],[Annual Salary]]*TBL_Employees[[#This Row],[Bonus %]]/100+TBL_Employees[[#This Row],[Annual Salary]]</f>
        <v>220264.10639999999</v>
      </c>
      <c r="P886" t="s">
        <v>52</v>
      </c>
      <c r="Q886" t="s">
        <v>81</v>
      </c>
      <c r="R886" s="6" t="s">
        <v>21</v>
      </c>
    </row>
    <row r="887" spans="1:18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 s="17"/>
      <c r="I887">
        <v>41</v>
      </c>
      <c r="J887" s="6">
        <v>43600</v>
      </c>
      <c r="K887" s="8">
        <v>174415</v>
      </c>
      <c r="L887" s="1">
        <v>0.23</v>
      </c>
      <c r="M887" s="8">
        <f>TBL_Employees[[#This Row],[Annual Salary]]*TBL_Employees[[#This Row],[Bonus %]]</f>
        <v>40115.450000000004</v>
      </c>
      <c r="N887" s="8">
        <f>SUM(TBL_Employees[[#This Row],[Annual Salary]],TBL_Employees[[#This Row],[TOTAL BONUS]])</f>
        <v>214530.45</v>
      </c>
      <c r="O887" s="8">
        <f>TBL_Employees[[#This Row],[Annual Salary]]*TBL_Employees[[#This Row],[Bonus %]]/100+TBL_Employees[[#This Row],[Annual Salary]]</f>
        <v>174816.1545</v>
      </c>
      <c r="P887" t="s">
        <v>19</v>
      </c>
      <c r="Q887" t="s">
        <v>45</v>
      </c>
      <c r="R887" s="6" t="s">
        <v>21</v>
      </c>
    </row>
    <row r="888" spans="1:18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 s="17"/>
      <c r="I888">
        <v>36</v>
      </c>
      <c r="J888" s="6">
        <v>44217</v>
      </c>
      <c r="K888" s="8">
        <v>90333</v>
      </c>
      <c r="L888" s="1">
        <v>0</v>
      </c>
      <c r="M888" s="8">
        <f>TBL_Employees[[#This Row],[Annual Salary]]*TBL_Employees[[#This Row],[Bonus %]]</f>
        <v>0</v>
      </c>
      <c r="N888" s="8">
        <f>SUM(TBL_Employees[[#This Row],[Annual Salary]],TBL_Employees[[#This Row],[TOTAL BONUS]])</f>
        <v>90333</v>
      </c>
      <c r="O888" s="8">
        <f>TBL_Employees[[#This Row],[Annual Salary]]*TBL_Employees[[#This Row],[Bonus %]]/100+TBL_Employees[[#This Row],[Annual Salary]]</f>
        <v>90333</v>
      </c>
      <c r="P888" t="s">
        <v>52</v>
      </c>
      <c r="Q888" t="s">
        <v>66</v>
      </c>
      <c r="R888" s="6" t="s">
        <v>21</v>
      </c>
    </row>
    <row r="889" spans="1:18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 s="17"/>
      <c r="I889">
        <v>25</v>
      </c>
      <c r="J889" s="6">
        <v>44217</v>
      </c>
      <c r="K889" s="8">
        <v>67299</v>
      </c>
      <c r="L889" s="1">
        <v>0</v>
      </c>
      <c r="M889" s="8">
        <f>TBL_Employees[[#This Row],[Annual Salary]]*TBL_Employees[[#This Row],[Bonus %]]</f>
        <v>0</v>
      </c>
      <c r="N889" s="8">
        <f>SUM(TBL_Employees[[#This Row],[Annual Salary]],TBL_Employees[[#This Row],[TOTAL BONUS]])</f>
        <v>67299</v>
      </c>
      <c r="O889" s="8">
        <f>TBL_Employees[[#This Row],[Annual Salary]]*TBL_Employees[[#This Row],[Bonus %]]/100+TBL_Employees[[#This Row],[Annual Salary]]</f>
        <v>67299</v>
      </c>
      <c r="P889" t="s">
        <v>19</v>
      </c>
      <c r="Q889" t="s">
        <v>39</v>
      </c>
      <c r="R889" s="6" t="s">
        <v>21</v>
      </c>
    </row>
    <row r="890" spans="1:18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 s="17"/>
      <c r="I890">
        <v>52</v>
      </c>
      <c r="J890" s="6">
        <v>38406</v>
      </c>
      <c r="K890" s="8">
        <v>45286</v>
      </c>
      <c r="L890" s="1">
        <v>0</v>
      </c>
      <c r="M890" s="8">
        <f>TBL_Employees[[#This Row],[Annual Salary]]*TBL_Employees[[#This Row],[Bonus %]]</f>
        <v>0</v>
      </c>
      <c r="N890" s="8">
        <f>SUM(TBL_Employees[[#This Row],[Annual Salary]],TBL_Employees[[#This Row],[TOTAL BONUS]])</f>
        <v>45286</v>
      </c>
      <c r="O890" s="8">
        <f>TBL_Employees[[#This Row],[Annual Salary]]*TBL_Employees[[#This Row],[Bonus %]]/100+TBL_Employees[[#This Row],[Annual Salary]]</f>
        <v>45286</v>
      </c>
      <c r="P890" t="s">
        <v>19</v>
      </c>
      <c r="Q890" t="s">
        <v>20</v>
      </c>
      <c r="R890" s="6" t="s">
        <v>21</v>
      </c>
    </row>
    <row r="891" spans="1:18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 s="17"/>
      <c r="I891">
        <v>48</v>
      </c>
      <c r="J891" s="6">
        <v>39302</v>
      </c>
      <c r="K891" s="8">
        <v>194723</v>
      </c>
      <c r="L891" s="1">
        <v>0.25</v>
      </c>
      <c r="M891" s="8">
        <f>TBL_Employees[[#This Row],[Annual Salary]]*TBL_Employees[[#This Row],[Bonus %]]</f>
        <v>48680.75</v>
      </c>
      <c r="N891" s="8">
        <f>SUM(TBL_Employees[[#This Row],[Annual Salary]],TBL_Employees[[#This Row],[TOTAL BONUS]])</f>
        <v>243403.75</v>
      </c>
      <c r="O891" s="8">
        <f>TBL_Employees[[#This Row],[Annual Salary]]*TBL_Employees[[#This Row],[Bonus %]]/100+TBL_Employees[[#This Row],[Annual Salary]]</f>
        <v>195209.8075</v>
      </c>
      <c r="P891" t="s">
        <v>19</v>
      </c>
      <c r="Q891" t="s">
        <v>39</v>
      </c>
      <c r="R891" s="6" t="s">
        <v>21</v>
      </c>
    </row>
    <row r="892" spans="1:18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 s="17"/>
      <c r="I892">
        <v>49</v>
      </c>
      <c r="J892" s="6">
        <v>41131</v>
      </c>
      <c r="K892" s="8">
        <v>109850</v>
      </c>
      <c r="L892" s="1">
        <v>7.0000000000000007E-2</v>
      </c>
      <c r="M892" s="8">
        <f>TBL_Employees[[#This Row],[Annual Salary]]*TBL_Employees[[#This Row],[Bonus %]]</f>
        <v>7689.5000000000009</v>
      </c>
      <c r="N892" s="8">
        <f>SUM(TBL_Employees[[#This Row],[Annual Salary]],TBL_Employees[[#This Row],[TOTAL BONUS]])</f>
        <v>117539.5</v>
      </c>
      <c r="O892" s="8">
        <f>TBL_Employees[[#This Row],[Annual Salary]]*TBL_Employees[[#This Row],[Bonus %]]/100+TBL_Employees[[#This Row],[Annual Salary]]</f>
        <v>109926.895</v>
      </c>
      <c r="P892" t="s">
        <v>33</v>
      </c>
      <c r="Q892" t="s">
        <v>60</v>
      </c>
      <c r="R892" s="6">
        <v>43865</v>
      </c>
    </row>
    <row r="893" spans="1:18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 s="17"/>
      <c r="I893">
        <v>62</v>
      </c>
      <c r="J893" s="6">
        <v>41748</v>
      </c>
      <c r="K893" s="8">
        <v>45295</v>
      </c>
      <c r="L893" s="1">
        <v>0</v>
      </c>
      <c r="M893" s="8">
        <f>TBL_Employees[[#This Row],[Annual Salary]]*TBL_Employees[[#This Row],[Bonus %]]</f>
        <v>0</v>
      </c>
      <c r="N893" s="8">
        <f>SUM(TBL_Employees[[#This Row],[Annual Salary]],TBL_Employees[[#This Row],[TOTAL BONUS]])</f>
        <v>45295</v>
      </c>
      <c r="O893" s="8">
        <f>TBL_Employees[[#This Row],[Annual Salary]]*TBL_Employees[[#This Row],[Bonus %]]/100+TBL_Employees[[#This Row],[Annual Salary]]</f>
        <v>45295</v>
      </c>
      <c r="P893" t="s">
        <v>52</v>
      </c>
      <c r="Q893" t="s">
        <v>53</v>
      </c>
      <c r="R893" s="6" t="s">
        <v>21</v>
      </c>
    </row>
    <row r="894" spans="1:18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 s="17"/>
      <c r="I894">
        <v>36</v>
      </c>
      <c r="J894" s="6">
        <v>40413</v>
      </c>
      <c r="K894" s="8">
        <v>61310</v>
      </c>
      <c r="L894" s="1">
        <v>0</v>
      </c>
      <c r="M894" s="8">
        <f>TBL_Employees[[#This Row],[Annual Salary]]*TBL_Employees[[#This Row],[Bonus %]]</f>
        <v>0</v>
      </c>
      <c r="N894" s="8">
        <f>SUM(TBL_Employees[[#This Row],[Annual Salary]],TBL_Employees[[#This Row],[TOTAL BONUS]])</f>
        <v>61310</v>
      </c>
      <c r="O894" s="8">
        <f>TBL_Employees[[#This Row],[Annual Salary]]*TBL_Employees[[#This Row],[Bonus %]]/100+TBL_Employees[[#This Row],[Annual Salary]]</f>
        <v>61310</v>
      </c>
      <c r="P894" t="s">
        <v>19</v>
      </c>
      <c r="Q894" t="s">
        <v>39</v>
      </c>
      <c r="R894" s="6" t="s">
        <v>21</v>
      </c>
    </row>
    <row r="895" spans="1:18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 s="17"/>
      <c r="I895">
        <v>55</v>
      </c>
      <c r="J895" s="6">
        <v>42683</v>
      </c>
      <c r="K895" s="8">
        <v>87851</v>
      </c>
      <c r="L895" s="1">
        <v>0</v>
      </c>
      <c r="M895" s="8">
        <f>TBL_Employees[[#This Row],[Annual Salary]]*TBL_Employees[[#This Row],[Bonus %]]</f>
        <v>0</v>
      </c>
      <c r="N895" s="8">
        <f>SUM(TBL_Employees[[#This Row],[Annual Salary]],TBL_Employees[[#This Row],[TOTAL BONUS]])</f>
        <v>87851</v>
      </c>
      <c r="O895" s="8">
        <f>TBL_Employees[[#This Row],[Annual Salary]]*TBL_Employees[[#This Row],[Bonus %]]/100+TBL_Employees[[#This Row],[Annual Salary]]</f>
        <v>87851</v>
      </c>
      <c r="P895" t="s">
        <v>33</v>
      </c>
      <c r="Q895" t="s">
        <v>80</v>
      </c>
      <c r="R895" s="6" t="s">
        <v>21</v>
      </c>
    </row>
    <row r="896" spans="1:18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 s="17"/>
      <c r="I896">
        <v>31</v>
      </c>
      <c r="J896" s="6">
        <v>43171</v>
      </c>
      <c r="K896" s="8">
        <v>47913</v>
      </c>
      <c r="L896" s="1">
        <v>0</v>
      </c>
      <c r="M896" s="8">
        <f>TBL_Employees[[#This Row],[Annual Salary]]*TBL_Employees[[#This Row],[Bonus %]]</f>
        <v>0</v>
      </c>
      <c r="N896" s="8">
        <f>SUM(TBL_Employees[[#This Row],[Annual Salary]],TBL_Employees[[#This Row],[TOTAL BONUS]])</f>
        <v>47913</v>
      </c>
      <c r="O896" s="8">
        <f>TBL_Employees[[#This Row],[Annual Salary]]*TBL_Employees[[#This Row],[Bonus %]]/100+TBL_Employees[[#This Row],[Annual Salary]]</f>
        <v>47913</v>
      </c>
      <c r="P896" t="s">
        <v>19</v>
      </c>
      <c r="Q896" t="s">
        <v>63</v>
      </c>
      <c r="R896" s="6" t="s">
        <v>21</v>
      </c>
    </row>
    <row r="897" spans="1:18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 s="17"/>
      <c r="I897">
        <v>53</v>
      </c>
      <c r="J897" s="6">
        <v>42985</v>
      </c>
      <c r="K897" s="8">
        <v>46727</v>
      </c>
      <c r="L897" s="1">
        <v>0</v>
      </c>
      <c r="M897" s="8">
        <f>TBL_Employees[[#This Row],[Annual Salary]]*TBL_Employees[[#This Row],[Bonus %]]</f>
        <v>0</v>
      </c>
      <c r="N897" s="8">
        <f>SUM(TBL_Employees[[#This Row],[Annual Salary]],TBL_Employees[[#This Row],[TOTAL BONUS]])</f>
        <v>46727</v>
      </c>
      <c r="O897" s="8">
        <f>TBL_Employees[[#This Row],[Annual Salary]]*TBL_Employees[[#This Row],[Bonus %]]/100+TBL_Employees[[#This Row],[Annual Salary]]</f>
        <v>46727</v>
      </c>
      <c r="P897" t="s">
        <v>19</v>
      </c>
      <c r="Q897" t="s">
        <v>29</v>
      </c>
      <c r="R897" s="6">
        <v>43251</v>
      </c>
    </row>
    <row r="898" spans="1:18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 s="17"/>
      <c r="I898">
        <v>27</v>
      </c>
      <c r="J898" s="6">
        <v>44302</v>
      </c>
      <c r="K898" s="8">
        <v>133400</v>
      </c>
      <c r="L898" s="1">
        <v>0.11</v>
      </c>
      <c r="M898" s="8">
        <f>TBL_Employees[[#This Row],[Annual Salary]]*TBL_Employees[[#This Row],[Bonus %]]</f>
        <v>14674</v>
      </c>
      <c r="N898" s="8">
        <f>SUM(TBL_Employees[[#This Row],[Annual Salary]],TBL_Employees[[#This Row],[TOTAL BONUS]])</f>
        <v>148074</v>
      </c>
      <c r="O898" s="8">
        <f>TBL_Employees[[#This Row],[Annual Salary]]*TBL_Employees[[#This Row],[Bonus %]]/100+TBL_Employees[[#This Row],[Annual Salary]]</f>
        <v>133546.74</v>
      </c>
      <c r="P898" t="s">
        <v>19</v>
      </c>
      <c r="Q898" t="s">
        <v>39</v>
      </c>
      <c r="R898" s="6" t="s">
        <v>21</v>
      </c>
    </row>
    <row r="899" spans="1:18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 s="17"/>
      <c r="I899">
        <v>39</v>
      </c>
      <c r="J899" s="6">
        <v>43943</v>
      </c>
      <c r="K899" s="8">
        <v>90535</v>
      </c>
      <c r="L899" s="1">
        <v>0</v>
      </c>
      <c r="M899" s="8">
        <f>TBL_Employees[[#This Row],[Annual Salary]]*TBL_Employees[[#This Row],[Bonus %]]</f>
        <v>0</v>
      </c>
      <c r="N899" s="8">
        <f>SUM(TBL_Employees[[#This Row],[Annual Salary]],TBL_Employees[[#This Row],[TOTAL BONUS]])</f>
        <v>90535</v>
      </c>
      <c r="O899" s="8">
        <f>TBL_Employees[[#This Row],[Annual Salary]]*TBL_Employees[[#This Row],[Bonus %]]/100+TBL_Employees[[#This Row],[Annual Salary]]</f>
        <v>90535</v>
      </c>
      <c r="P899" t="s">
        <v>19</v>
      </c>
      <c r="Q899" t="s">
        <v>45</v>
      </c>
      <c r="R899" s="6" t="s">
        <v>21</v>
      </c>
    </row>
    <row r="900" spans="1:18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 s="17"/>
      <c r="I900">
        <v>55</v>
      </c>
      <c r="J900" s="6">
        <v>38909</v>
      </c>
      <c r="K900" s="8">
        <v>93343</v>
      </c>
      <c r="L900" s="1">
        <v>0</v>
      </c>
      <c r="M900" s="8">
        <f>TBL_Employees[[#This Row],[Annual Salary]]*TBL_Employees[[#This Row],[Bonus %]]</f>
        <v>0</v>
      </c>
      <c r="N900" s="8">
        <f>SUM(TBL_Employees[[#This Row],[Annual Salary]],TBL_Employees[[#This Row],[TOTAL BONUS]])</f>
        <v>93343</v>
      </c>
      <c r="O900" s="8">
        <f>TBL_Employees[[#This Row],[Annual Salary]]*TBL_Employees[[#This Row],[Bonus %]]/100+TBL_Employees[[#This Row],[Annual Salary]]</f>
        <v>93343</v>
      </c>
      <c r="P900" t="s">
        <v>33</v>
      </c>
      <c r="Q900" t="s">
        <v>80</v>
      </c>
      <c r="R900" s="6" t="s">
        <v>21</v>
      </c>
    </row>
    <row r="901" spans="1:18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 s="17"/>
      <c r="I901">
        <v>44</v>
      </c>
      <c r="J901" s="6">
        <v>38771</v>
      </c>
      <c r="K901" s="8">
        <v>63705</v>
      </c>
      <c r="L901" s="1">
        <v>0</v>
      </c>
      <c r="M901" s="8">
        <f>TBL_Employees[[#This Row],[Annual Salary]]*TBL_Employees[[#This Row],[Bonus %]]</f>
        <v>0</v>
      </c>
      <c r="N901" s="8">
        <f>SUM(TBL_Employees[[#This Row],[Annual Salary]],TBL_Employees[[#This Row],[TOTAL BONUS]])</f>
        <v>63705</v>
      </c>
      <c r="O901" s="8">
        <f>TBL_Employees[[#This Row],[Annual Salary]]*TBL_Employees[[#This Row],[Bonus %]]/100+TBL_Employees[[#This Row],[Annual Salary]]</f>
        <v>63705</v>
      </c>
      <c r="P901" t="s">
        <v>19</v>
      </c>
      <c r="Q901" t="s">
        <v>45</v>
      </c>
      <c r="R901" s="6" t="s">
        <v>21</v>
      </c>
    </row>
    <row r="902" spans="1:18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 s="17"/>
      <c r="I902">
        <v>48</v>
      </c>
      <c r="J902" s="6">
        <v>36584</v>
      </c>
      <c r="K902" s="8">
        <v>258081</v>
      </c>
      <c r="L902" s="1">
        <v>0.3</v>
      </c>
      <c r="M902" s="8">
        <f>TBL_Employees[[#This Row],[Annual Salary]]*TBL_Employees[[#This Row],[Bonus %]]</f>
        <v>77424.3</v>
      </c>
      <c r="N902" s="8">
        <f>SUM(TBL_Employees[[#This Row],[Annual Salary]],TBL_Employees[[#This Row],[TOTAL BONUS]])</f>
        <v>335505.3</v>
      </c>
      <c r="O902" s="8">
        <f>TBL_Employees[[#This Row],[Annual Salary]]*TBL_Employees[[#This Row],[Bonus %]]/100+TBL_Employees[[#This Row],[Annual Salary]]</f>
        <v>258855.24299999999</v>
      </c>
      <c r="P902" t="s">
        <v>19</v>
      </c>
      <c r="Q902" t="s">
        <v>20</v>
      </c>
      <c r="R902" s="6" t="s">
        <v>21</v>
      </c>
    </row>
    <row r="903" spans="1:18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 s="17"/>
      <c r="I903">
        <v>48</v>
      </c>
      <c r="J903" s="6">
        <v>44095</v>
      </c>
      <c r="K903" s="8">
        <v>54654</v>
      </c>
      <c r="L903" s="1">
        <v>0</v>
      </c>
      <c r="M903" s="8">
        <f>TBL_Employees[[#This Row],[Annual Salary]]*TBL_Employees[[#This Row],[Bonus %]]</f>
        <v>0</v>
      </c>
      <c r="N903" s="8">
        <f>SUM(TBL_Employees[[#This Row],[Annual Salary]],TBL_Employees[[#This Row],[TOTAL BONUS]])</f>
        <v>54654</v>
      </c>
      <c r="O903" s="8">
        <f>TBL_Employees[[#This Row],[Annual Salary]]*TBL_Employees[[#This Row],[Bonus %]]/100+TBL_Employees[[#This Row],[Annual Salary]]</f>
        <v>54654</v>
      </c>
      <c r="P903" t="s">
        <v>19</v>
      </c>
      <c r="Q903" t="s">
        <v>39</v>
      </c>
      <c r="R903" s="6" t="s">
        <v>21</v>
      </c>
    </row>
    <row r="904" spans="1:18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 s="17"/>
      <c r="I904">
        <v>54</v>
      </c>
      <c r="J904" s="6">
        <v>36062</v>
      </c>
      <c r="K904" s="8">
        <v>58006</v>
      </c>
      <c r="L904" s="1">
        <v>0</v>
      </c>
      <c r="M904" s="8">
        <f>TBL_Employees[[#This Row],[Annual Salary]]*TBL_Employees[[#This Row],[Bonus %]]</f>
        <v>0</v>
      </c>
      <c r="N904" s="8">
        <f>SUM(TBL_Employees[[#This Row],[Annual Salary]],TBL_Employees[[#This Row],[TOTAL BONUS]])</f>
        <v>58006</v>
      </c>
      <c r="O904" s="8">
        <f>TBL_Employees[[#This Row],[Annual Salary]]*TBL_Employees[[#This Row],[Bonus %]]/100+TBL_Employees[[#This Row],[Annual Salary]]</f>
        <v>58006</v>
      </c>
      <c r="P904" t="s">
        <v>19</v>
      </c>
      <c r="Q904" t="s">
        <v>63</v>
      </c>
      <c r="R904" s="6" t="s">
        <v>21</v>
      </c>
    </row>
    <row r="905" spans="1:18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 s="17"/>
      <c r="I905">
        <v>42</v>
      </c>
      <c r="J905" s="6">
        <v>40620</v>
      </c>
      <c r="K905" s="8">
        <v>150034</v>
      </c>
      <c r="L905" s="1">
        <v>0.12</v>
      </c>
      <c r="M905" s="8">
        <f>TBL_Employees[[#This Row],[Annual Salary]]*TBL_Employees[[#This Row],[Bonus %]]</f>
        <v>18004.079999999998</v>
      </c>
      <c r="N905" s="8">
        <f>SUM(TBL_Employees[[#This Row],[Annual Salary]],TBL_Employees[[#This Row],[TOTAL BONUS]])</f>
        <v>168038.08</v>
      </c>
      <c r="O905" s="8">
        <f>TBL_Employees[[#This Row],[Annual Salary]]*TBL_Employees[[#This Row],[Bonus %]]/100+TBL_Employees[[#This Row],[Annual Salary]]</f>
        <v>150214.04079999999</v>
      </c>
      <c r="P905" t="s">
        <v>33</v>
      </c>
      <c r="Q905" t="s">
        <v>60</v>
      </c>
      <c r="R905" s="6" t="s">
        <v>21</v>
      </c>
    </row>
    <row r="906" spans="1:18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 s="17"/>
      <c r="I906">
        <v>38</v>
      </c>
      <c r="J906" s="6">
        <v>39232</v>
      </c>
      <c r="K906" s="8">
        <v>198562</v>
      </c>
      <c r="L906" s="1">
        <v>0.22</v>
      </c>
      <c r="M906" s="8">
        <f>TBL_Employees[[#This Row],[Annual Salary]]*TBL_Employees[[#This Row],[Bonus %]]</f>
        <v>43683.64</v>
      </c>
      <c r="N906" s="8">
        <f>SUM(TBL_Employees[[#This Row],[Annual Salary]],TBL_Employees[[#This Row],[TOTAL BONUS]])</f>
        <v>242245.64</v>
      </c>
      <c r="O906" s="8">
        <f>TBL_Employees[[#This Row],[Annual Salary]]*TBL_Employees[[#This Row],[Bonus %]]/100+TBL_Employees[[#This Row],[Annual Salary]]</f>
        <v>198998.8364</v>
      </c>
      <c r="P906" t="s">
        <v>19</v>
      </c>
      <c r="Q906" t="s">
        <v>63</v>
      </c>
      <c r="R906" s="6" t="s">
        <v>21</v>
      </c>
    </row>
    <row r="907" spans="1:18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 s="17"/>
      <c r="I907">
        <v>40</v>
      </c>
      <c r="J907" s="6">
        <v>39960</v>
      </c>
      <c r="K907" s="8">
        <v>62411</v>
      </c>
      <c r="L907" s="1">
        <v>0</v>
      </c>
      <c r="M907" s="8">
        <f>TBL_Employees[[#This Row],[Annual Salary]]*TBL_Employees[[#This Row],[Bonus %]]</f>
        <v>0</v>
      </c>
      <c r="N907" s="8">
        <f>SUM(TBL_Employees[[#This Row],[Annual Salary]],TBL_Employees[[#This Row],[TOTAL BONUS]])</f>
        <v>62411</v>
      </c>
      <c r="O907" s="8">
        <f>TBL_Employees[[#This Row],[Annual Salary]]*TBL_Employees[[#This Row],[Bonus %]]/100+TBL_Employees[[#This Row],[Annual Salary]]</f>
        <v>62411</v>
      </c>
      <c r="P907" t="s">
        <v>19</v>
      </c>
      <c r="Q907" t="s">
        <v>45</v>
      </c>
      <c r="R907" s="6">
        <v>44422</v>
      </c>
    </row>
    <row r="908" spans="1:18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 s="17"/>
      <c r="I908">
        <v>57</v>
      </c>
      <c r="J908" s="6">
        <v>33612</v>
      </c>
      <c r="K908" s="8">
        <v>111299</v>
      </c>
      <c r="L908" s="1">
        <v>0.12</v>
      </c>
      <c r="M908" s="8">
        <f>TBL_Employees[[#This Row],[Annual Salary]]*TBL_Employees[[#This Row],[Bonus %]]</f>
        <v>13355.88</v>
      </c>
      <c r="N908" s="8">
        <f>SUM(TBL_Employees[[#This Row],[Annual Salary]],TBL_Employees[[#This Row],[TOTAL BONUS]])</f>
        <v>124654.88</v>
      </c>
      <c r="O908" s="8">
        <f>TBL_Employees[[#This Row],[Annual Salary]]*TBL_Employees[[#This Row],[Bonus %]]/100+TBL_Employees[[#This Row],[Annual Salary]]</f>
        <v>111432.5588</v>
      </c>
      <c r="P908" t="s">
        <v>19</v>
      </c>
      <c r="Q908" t="s">
        <v>45</v>
      </c>
      <c r="R908" s="6" t="s">
        <v>21</v>
      </c>
    </row>
    <row r="909" spans="1:18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 s="17"/>
      <c r="I909">
        <v>43</v>
      </c>
      <c r="J909" s="6">
        <v>43659</v>
      </c>
      <c r="K909" s="8">
        <v>41545</v>
      </c>
      <c r="L909" s="1">
        <v>0</v>
      </c>
      <c r="M909" s="8">
        <f>TBL_Employees[[#This Row],[Annual Salary]]*TBL_Employees[[#This Row],[Bonus %]]</f>
        <v>0</v>
      </c>
      <c r="N909" s="8">
        <f>SUM(TBL_Employees[[#This Row],[Annual Salary]],TBL_Employees[[#This Row],[TOTAL BONUS]])</f>
        <v>41545</v>
      </c>
      <c r="O909" s="8">
        <f>TBL_Employees[[#This Row],[Annual Salary]]*TBL_Employees[[#This Row],[Bonus %]]/100+TBL_Employees[[#This Row],[Annual Salary]]</f>
        <v>41545</v>
      </c>
      <c r="P909" t="s">
        <v>19</v>
      </c>
      <c r="Q909" t="s">
        <v>45</v>
      </c>
      <c r="R909" s="6" t="s">
        <v>21</v>
      </c>
    </row>
    <row r="910" spans="1:18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 s="17"/>
      <c r="I910">
        <v>26</v>
      </c>
      <c r="J910" s="6">
        <v>43569</v>
      </c>
      <c r="K910" s="8">
        <v>74467</v>
      </c>
      <c r="L910" s="1">
        <v>0</v>
      </c>
      <c r="M910" s="8">
        <f>TBL_Employees[[#This Row],[Annual Salary]]*TBL_Employees[[#This Row],[Bonus %]]</f>
        <v>0</v>
      </c>
      <c r="N910" s="8">
        <f>SUM(TBL_Employees[[#This Row],[Annual Salary]],TBL_Employees[[#This Row],[TOTAL BONUS]])</f>
        <v>74467</v>
      </c>
      <c r="O910" s="8">
        <f>TBL_Employees[[#This Row],[Annual Salary]]*TBL_Employees[[#This Row],[Bonus %]]/100+TBL_Employees[[#This Row],[Annual Salary]]</f>
        <v>74467</v>
      </c>
      <c r="P910" t="s">
        <v>19</v>
      </c>
      <c r="Q910" t="s">
        <v>29</v>
      </c>
      <c r="R910" s="6">
        <v>44211</v>
      </c>
    </row>
    <row r="911" spans="1:18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 s="17"/>
      <c r="I911">
        <v>44</v>
      </c>
      <c r="J911" s="6">
        <v>37296</v>
      </c>
      <c r="K911" s="8">
        <v>117545</v>
      </c>
      <c r="L911" s="1">
        <v>0.06</v>
      </c>
      <c r="M911" s="8">
        <f>TBL_Employees[[#This Row],[Annual Salary]]*TBL_Employees[[#This Row],[Bonus %]]</f>
        <v>7052.7</v>
      </c>
      <c r="N911" s="8">
        <f>SUM(TBL_Employees[[#This Row],[Annual Salary]],TBL_Employees[[#This Row],[TOTAL BONUS]])</f>
        <v>124597.7</v>
      </c>
      <c r="O911" s="8">
        <f>TBL_Employees[[#This Row],[Annual Salary]]*TBL_Employees[[#This Row],[Bonus %]]/100+TBL_Employees[[#This Row],[Annual Salary]]</f>
        <v>117615.527</v>
      </c>
      <c r="P911" t="s">
        <v>19</v>
      </c>
      <c r="Q911" t="s">
        <v>39</v>
      </c>
      <c r="R911" s="6" t="s">
        <v>21</v>
      </c>
    </row>
    <row r="912" spans="1:18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 s="17"/>
      <c r="I912">
        <v>50</v>
      </c>
      <c r="J912" s="6">
        <v>40983</v>
      </c>
      <c r="K912" s="8">
        <v>117226</v>
      </c>
      <c r="L912" s="1">
        <v>0.08</v>
      </c>
      <c r="M912" s="8">
        <f>TBL_Employees[[#This Row],[Annual Salary]]*TBL_Employees[[#This Row],[Bonus %]]</f>
        <v>9378.08</v>
      </c>
      <c r="N912" s="8">
        <f>SUM(TBL_Employees[[#This Row],[Annual Salary]],TBL_Employees[[#This Row],[TOTAL BONUS]])</f>
        <v>126604.08</v>
      </c>
      <c r="O912" s="8">
        <f>TBL_Employees[[#This Row],[Annual Salary]]*TBL_Employees[[#This Row],[Bonus %]]/100+TBL_Employees[[#This Row],[Annual Salary]]</f>
        <v>117319.78079999999</v>
      </c>
      <c r="P912" t="s">
        <v>19</v>
      </c>
      <c r="Q912" t="s">
        <v>39</v>
      </c>
      <c r="R912" s="6" t="s">
        <v>21</v>
      </c>
    </row>
    <row r="913" spans="1:18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 s="17"/>
      <c r="I913">
        <v>26</v>
      </c>
      <c r="J913" s="6">
        <v>43489</v>
      </c>
      <c r="K913" s="8">
        <v>55767</v>
      </c>
      <c r="L913" s="1">
        <v>0</v>
      </c>
      <c r="M913" s="8">
        <f>TBL_Employees[[#This Row],[Annual Salary]]*TBL_Employees[[#This Row],[Bonus %]]</f>
        <v>0</v>
      </c>
      <c r="N913" s="8">
        <f>SUM(TBL_Employees[[#This Row],[Annual Salary]],TBL_Employees[[#This Row],[TOTAL BONUS]])</f>
        <v>55767</v>
      </c>
      <c r="O913" s="8">
        <f>TBL_Employees[[#This Row],[Annual Salary]]*TBL_Employees[[#This Row],[Bonus %]]/100+TBL_Employees[[#This Row],[Annual Salary]]</f>
        <v>55767</v>
      </c>
      <c r="P913" t="s">
        <v>19</v>
      </c>
      <c r="Q913" t="s">
        <v>39</v>
      </c>
      <c r="R913" s="6" t="s">
        <v>21</v>
      </c>
    </row>
    <row r="914" spans="1:18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 s="17"/>
      <c r="I914">
        <v>29</v>
      </c>
      <c r="J914" s="6">
        <v>42691</v>
      </c>
      <c r="K914" s="8">
        <v>60930</v>
      </c>
      <c r="L914" s="1">
        <v>0</v>
      </c>
      <c r="M914" s="8">
        <f>TBL_Employees[[#This Row],[Annual Salary]]*TBL_Employees[[#This Row],[Bonus %]]</f>
        <v>0</v>
      </c>
      <c r="N914" s="8">
        <f>SUM(TBL_Employees[[#This Row],[Annual Salary]],TBL_Employees[[#This Row],[TOTAL BONUS]])</f>
        <v>60930</v>
      </c>
      <c r="O914" s="8">
        <f>TBL_Employees[[#This Row],[Annual Salary]]*TBL_Employees[[#This Row],[Bonus %]]/100+TBL_Employees[[#This Row],[Annual Salary]]</f>
        <v>60930</v>
      </c>
      <c r="P914" t="s">
        <v>19</v>
      </c>
      <c r="Q914" t="s">
        <v>25</v>
      </c>
      <c r="R914" s="6" t="s">
        <v>21</v>
      </c>
    </row>
    <row r="915" spans="1:18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 s="17"/>
      <c r="I915">
        <v>27</v>
      </c>
      <c r="J915" s="6">
        <v>43397</v>
      </c>
      <c r="K915" s="8">
        <v>154973</v>
      </c>
      <c r="L915" s="1">
        <v>0.28999999999999998</v>
      </c>
      <c r="M915" s="8">
        <f>TBL_Employees[[#This Row],[Annual Salary]]*TBL_Employees[[#This Row],[Bonus %]]</f>
        <v>44942.17</v>
      </c>
      <c r="N915" s="8">
        <f>SUM(TBL_Employees[[#This Row],[Annual Salary]],TBL_Employees[[#This Row],[TOTAL BONUS]])</f>
        <v>199915.16999999998</v>
      </c>
      <c r="O915" s="8">
        <f>TBL_Employees[[#This Row],[Annual Salary]]*TBL_Employees[[#This Row],[Bonus %]]/100+TBL_Employees[[#This Row],[Annual Salary]]</f>
        <v>155422.42170000001</v>
      </c>
      <c r="P915" t="s">
        <v>52</v>
      </c>
      <c r="Q915" t="s">
        <v>53</v>
      </c>
      <c r="R915" s="6" t="s">
        <v>21</v>
      </c>
    </row>
    <row r="916" spans="1:18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 s="17"/>
      <c r="I916">
        <v>33</v>
      </c>
      <c r="J916" s="6">
        <v>43029</v>
      </c>
      <c r="K916" s="8">
        <v>69332</v>
      </c>
      <c r="L916" s="1">
        <v>0</v>
      </c>
      <c r="M916" s="8">
        <f>TBL_Employees[[#This Row],[Annual Salary]]*TBL_Employees[[#This Row],[Bonus %]]</f>
        <v>0</v>
      </c>
      <c r="N916" s="8">
        <f>SUM(TBL_Employees[[#This Row],[Annual Salary]],TBL_Employees[[#This Row],[TOTAL BONUS]])</f>
        <v>69332</v>
      </c>
      <c r="O916" s="8">
        <f>TBL_Employees[[#This Row],[Annual Salary]]*TBL_Employees[[#This Row],[Bonus %]]/100+TBL_Employees[[#This Row],[Annual Salary]]</f>
        <v>69332</v>
      </c>
      <c r="P916" t="s">
        <v>19</v>
      </c>
      <c r="Q916" t="s">
        <v>29</v>
      </c>
      <c r="R916" s="6" t="s">
        <v>21</v>
      </c>
    </row>
    <row r="917" spans="1:18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 s="17"/>
      <c r="I917">
        <v>59</v>
      </c>
      <c r="J917" s="6">
        <v>36990</v>
      </c>
      <c r="K917" s="8">
        <v>119699</v>
      </c>
      <c r="L917" s="1">
        <v>0</v>
      </c>
      <c r="M917" s="8">
        <f>TBL_Employees[[#This Row],[Annual Salary]]*TBL_Employees[[#This Row],[Bonus %]]</f>
        <v>0</v>
      </c>
      <c r="N917" s="8">
        <f>SUM(TBL_Employees[[#This Row],[Annual Salary]],TBL_Employees[[#This Row],[TOTAL BONUS]])</f>
        <v>119699</v>
      </c>
      <c r="O917" s="8">
        <f>TBL_Employees[[#This Row],[Annual Salary]]*TBL_Employees[[#This Row],[Bonus %]]/100+TBL_Employees[[#This Row],[Annual Salary]]</f>
        <v>119699</v>
      </c>
      <c r="P917" t="s">
        <v>33</v>
      </c>
      <c r="Q917" t="s">
        <v>74</v>
      </c>
      <c r="R917" s="6" t="s">
        <v>21</v>
      </c>
    </row>
    <row r="918" spans="1:18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 s="17"/>
      <c r="I918">
        <v>40</v>
      </c>
      <c r="J918" s="6">
        <v>44094</v>
      </c>
      <c r="K918" s="8">
        <v>198176</v>
      </c>
      <c r="L918" s="1">
        <v>0.17</v>
      </c>
      <c r="M918" s="8">
        <f>TBL_Employees[[#This Row],[Annual Salary]]*TBL_Employees[[#This Row],[Bonus %]]</f>
        <v>33689.920000000006</v>
      </c>
      <c r="N918" s="8">
        <f>SUM(TBL_Employees[[#This Row],[Annual Salary]],TBL_Employees[[#This Row],[TOTAL BONUS]])</f>
        <v>231865.92</v>
      </c>
      <c r="O918" s="8">
        <f>TBL_Employees[[#This Row],[Annual Salary]]*TBL_Employees[[#This Row],[Bonus %]]/100+TBL_Employees[[#This Row],[Annual Salary]]</f>
        <v>198512.89920000001</v>
      </c>
      <c r="P918" t="s">
        <v>52</v>
      </c>
      <c r="Q918" t="s">
        <v>81</v>
      </c>
      <c r="R918" s="6" t="s">
        <v>21</v>
      </c>
    </row>
    <row r="919" spans="1:18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 s="17"/>
      <c r="I919">
        <v>45</v>
      </c>
      <c r="J919" s="6">
        <v>41127</v>
      </c>
      <c r="K919" s="8">
        <v>58586</v>
      </c>
      <c r="L919" s="1">
        <v>0</v>
      </c>
      <c r="M919" s="8">
        <f>TBL_Employees[[#This Row],[Annual Salary]]*TBL_Employees[[#This Row],[Bonus %]]</f>
        <v>0</v>
      </c>
      <c r="N919" s="8">
        <f>SUM(TBL_Employees[[#This Row],[Annual Salary]],TBL_Employees[[#This Row],[TOTAL BONUS]])</f>
        <v>58586</v>
      </c>
      <c r="O919" s="8">
        <f>TBL_Employees[[#This Row],[Annual Salary]]*TBL_Employees[[#This Row],[Bonus %]]/100+TBL_Employees[[#This Row],[Annual Salary]]</f>
        <v>58586</v>
      </c>
      <c r="P919" t="s">
        <v>52</v>
      </c>
      <c r="Q919" t="s">
        <v>53</v>
      </c>
      <c r="R919" s="6" t="s">
        <v>21</v>
      </c>
    </row>
    <row r="920" spans="1:18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 s="17"/>
      <c r="I920">
        <v>38</v>
      </c>
      <c r="J920" s="6">
        <v>40875</v>
      </c>
      <c r="K920" s="8">
        <v>74010</v>
      </c>
      <c r="L920" s="1">
        <v>0</v>
      </c>
      <c r="M920" s="8">
        <f>TBL_Employees[[#This Row],[Annual Salary]]*TBL_Employees[[#This Row],[Bonus %]]</f>
        <v>0</v>
      </c>
      <c r="N920" s="8">
        <f>SUM(TBL_Employees[[#This Row],[Annual Salary]],TBL_Employees[[#This Row],[TOTAL BONUS]])</f>
        <v>74010</v>
      </c>
      <c r="O920" s="8">
        <f>TBL_Employees[[#This Row],[Annual Salary]]*TBL_Employees[[#This Row],[Bonus %]]/100+TBL_Employees[[#This Row],[Annual Salary]]</f>
        <v>74010</v>
      </c>
      <c r="P920" t="s">
        <v>19</v>
      </c>
      <c r="Q920" t="s">
        <v>20</v>
      </c>
      <c r="R920" s="6" t="s">
        <v>21</v>
      </c>
    </row>
    <row r="921" spans="1:18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 s="17"/>
      <c r="I921">
        <v>32</v>
      </c>
      <c r="J921" s="6">
        <v>43864</v>
      </c>
      <c r="K921" s="8">
        <v>96598</v>
      </c>
      <c r="L921" s="1">
        <v>0</v>
      </c>
      <c r="M921" s="8">
        <f>TBL_Employees[[#This Row],[Annual Salary]]*TBL_Employees[[#This Row],[Bonus %]]</f>
        <v>0</v>
      </c>
      <c r="N921" s="8">
        <f>SUM(TBL_Employees[[#This Row],[Annual Salary]],TBL_Employees[[#This Row],[TOTAL BONUS]])</f>
        <v>96598</v>
      </c>
      <c r="O921" s="8">
        <f>TBL_Employees[[#This Row],[Annual Salary]]*TBL_Employees[[#This Row],[Bonus %]]/100+TBL_Employees[[#This Row],[Annual Salary]]</f>
        <v>96598</v>
      </c>
      <c r="P921" t="s">
        <v>19</v>
      </c>
      <c r="Q921" t="s">
        <v>39</v>
      </c>
      <c r="R921" s="6" t="s">
        <v>21</v>
      </c>
    </row>
    <row r="922" spans="1:18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 s="17"/>
      <c r="I922">
        <v>64</v>
      </c>
      <c r="J922" s="6">
        <v>37762</v>
      </c>
      <c r="K922" s="8">
        <v>106444</v>
      </c>
      <c r="L922" s="1">
        <v>0.05</v>
      </c>
      <c r="M922" s="8">
        <f>TBL_Employees[[#This Row],[Annual Salary]]*TBL_Employees[[#This Row],[Bonus %]]</f>
        <v>5322.2000000000007</v>
      </c>
      <c r="N922" s="8">
        <f>SUM(TBL_Employees[[#This Row],[Annual Salary]],TBL_Employees[[#This Row],[TOTAL BONUS]])</f>
        <v>111766.2</v>
      </c>
      <c r="O922" s="8">
        <f>TBL_Employees[[#This Row],[Annual Salary]]*TBL_Employees[[#This Row],[Bonus %]]/100+TBL_Employees[[#This Row],[Annual Salary]]</f>
        <v>106497.22199999999</v>
      </c>
      <c r="P922" t="s">
        <v>19</v>
      </c>
      <c r="Q922" t="s">
        <v>39</v>
      </c>
      <c r="R922" s="6" t="s">
        <v>21</v>
      </c>
    </row>
    <row r="923" spans="1:18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 s="17"/>
      <c r="I923">
        <v>31</v>
      </c>
      <c r="J923" s="6">
        <v>42957</v>
      </c>
      <c r="K923" s="8">
        <v>156931</v>
      </c>
      <c r="L923" s="1">
        <v>0.28000000000000003</v>
      </c>
      <c r="M923" s="8">
        <f>TBL_Employees[[#This Row],[Annual Salary]]*TBL_Employees[[#This Row],[Bonus %]]</f>
        <v>43940.680000000008</v>
      </c>
      <c r="N923" s="8">
        <f>SUM(TBL_Employees[[#This Row],[Annual Salary]],TBL_Employees[[#This Row],[TOTAL BONUS]])</f>
        <v>200871.67999999999</v>
      </c>
      <c r="O923" s="8">
        <f>TBL_Employees[[#This Row],[Annual Salary]]*TBL_Employees[[#This Row],[Bonus %]]/100+TBL_Employees[[#This Row],[Annual Salary]]</f>
        <v>157370.4068</v>
      </c>
      <c r="P923" t="s">
        <v>19</v>
      </c>
      <c r="Q923" t="s">
        <v>63</v>
      </c>
      <c r="R923" s="6" t="s">
        <v>21</v>
      </c>
    </row>
    <row r="924" spans="1:18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 s="17"/>
      <c r="I924">
        <v>43</v>
      </c>
      <c r="J924" s="6">
        <v>41928</v>
      </c>
      <c r="K924" s="8">
        <v>171360</v>
      </c>
      <c r="L924" s="1">
        <v>0.23</v>
      </c>
      <c r="M924" s="8">
        <f>TBL_Employees[[#This Row],[Annual Salary]]*TBL_Employees[[#This Row],[Bonus %]]</f>
        <v>39412.800000000003</v>
      </c>
      <c r="N924" s="8">
        <f>SUM(TBL_Employees[[#This Row],[Annual Salary]],TBL_Employees[[#This Row],[TOTAL BONUS]])</f>
        <v>210772.8</v>
      </c>
      <c r="O924" s="8">
        <f>TBL_Employees[[#This Row],[Annual Salary]]*TBL_Employees[[#This Row],[Bonus %]]/100+TBL_Employees[[#This Row],[Annual Salary]]</f>
        <v>171754.128</v>
      </c>
      <c r="P924" t="s">
        <v>52</v>
      </c>
      <c r="Q924" t="s">
        <v>81</v>
      </c>
      <c r="R924" s="6" t="s">
        <v>21</v>
      </c>
    </row>
    <row r="925" spans="1:18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 s="17"/>
      <c r="I925">
        <v>45</v>
      </c>
      <c r="J925" s="6">
        <v>39908</v>
      </c>
      <c r="K925" s="8">
        <v>64505</v>
      </c>
      <c r="L925" s="1">
        <v>0</v>
      </c>
      <c r="M925" s="8">
        <f>TBL_Employees[[#This Row],[Annual Salary]]*TBL_Employees[[#This Row],[Bonus %]]</f>
        <v>0</v>
      </c>
      <c r="N925" s="8">
        <f>SUM(TBL_Employees[[#This Row],[Annual Salary]],TBL_Employees[[#This Row],[TOTAL BONUS]])</f>
        <v>64505</v>
      </c>
      <c r="O925" s="8">
        <f>TBL_Employees[[#This Row],[Annual Salary]]*TBL_Employees[[#This Row],[Bonus %]]/100+TBL_Employees[[#This Row],[Annual Salary]]</f>
        <v>64505</v>
      </c>
      <c r="P925" t="s">
        <v>19</v>
      </c>
      <c r="Q925" t="s">
        <v>45</v>
      </c>
      <c r="R925" s="6" t="s">
        <v>21</v>
      </c>
    </row>
    <row r="926" spans="1:18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 s="17"/>
      <c r="I926">
        <v>32</v>
      </c>
      <c r="J926" s="6">
        <v>44478</v>
      </c>
      <c r="K926" s="8">
        <v>102298</v>
      </c>
      <c r="L926" s="1">
        <v>0.13</v>
      </c>
      <c r="M926" s="8">
        <f>TBL_Employees[[#This Row],[Annual Salary]]*TBL_Employees[[#This Row],[Bonus %]]</f>
        <v>13298.74</v>
      </c>
      <c r="N926" s="8">
        <f>SUM(TBL_Employees[[#This Row],[Annual Salary]],TBL_Employees[[#This Row],[TOTAL BONUS]])</f>
        <v>115596.74</v>
      </c>
      <c r="O926" s="8">
        <f>TBL_Employees[[#This Row],[Annual Salary]]*TBL_Employees[[#This Row],[Bonus %]]/100+TBL_Employees[[#This Row],[Annual Salary]]</f>
        <v>102430.9874</v>
      </c>
      <c r="P926" t="s">
        <v>52</v>
      </c>
      <c r="Q926" t="s">
        <v>66</v>
      </c>
      <c r="R926" s="6" t="s">
        <v>21</v>
      </c>
    </row>
    <row r="927" spans="1:18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 s="17"/>
      <c r="I927">
        <v>27</v>
      </c>
      <c r="J927" s="6">
        <v>43721</v>
      </c>
      <c r="K927" s="8">
        <v>133297</v>
      </c>
      <c r="L927" s="1">
        <v>0.13</v>
      </c>
      <c r="M927" s="8">
        <f>TBL_Employees[[#This Row],[Annual Salary]]*TBL_Employees[[#This Row],[Bonus %]]</f>
        <v>17328.61</v>
      </c>
      <c r="N927" s="8">
        <f>SUM(TBL_Employees[[#This Row],[Annual Salary]],TBL_Employees[[#This Row],[TOTAL BONUS]])</f>
        <v>150625.60999999999</v>
      </c>
      <c r="O927" s="8">
        <f>TBL_Employees[[#This Row],[Annual Salary]]*TBL_Employees[[#This Row],[Bonus %]]/100+TBL_Employees[[#This Row],[Annual Salary]]</f>
        <v>133470.2861</v>
      </c>
      <c r="P927" t="s">
        <v>52</v>
      </c>
      <c r="Q927" t="s">
        <v>66</v>
      </c>
      <c r="R927" s="6" t="s">
        <v>21</v>
      </c>
    </row>
    <row r="928" spans="1:18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 s="17"/>
      <c r="I928">
        <v>25</v>
      </c>
      <c r="J928" s="6">
        <v>44272</v>
      </c>
      <c r="K928" s="8">
        <v>155080</v>
      </c>
      <c r="L928" s="1">
        <v>0.1</v>
      </c>
      <c r="M928" s="8">
        <f>TBL_Employees[[#This Row],[Annual Salary]]*TBL_Employees[[#This Row],[Bonus %]]</f>
        <v>15508</v>
      </c>
      <c r="N928" s="8">
        <f>SUM(TBL_Employees[[#This Row],[Annual Salary]],TBL_Employees[[#This Row],[TOTAL BONUS]])</f>
        <v>170588</v>
      </c>
      <c r="O928" s="8">
        <f>TBL_Employees[[#This Row],[Annual Salary]]*TBL_Employees[[#This Row],[Bonus %]]/100+TBL_Employees[[#This Row],[Annual Salary]]</f>
        <v>155235.07999999999</v>
      </c>
      <c r="P928" t="s">
        <v>19</v>
      </c>
      <c r="Q928" t="s">
        <v>25</v>
      </c>
      <c r="R928" s="6" t="s">
        <v>21</v>
      </c>
    </row>
    <row r="929" spans="1:18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 s="17"/>
      <c r="I929">
        <v>31</v>
      </c>
      <c r="J929" s="6">
        <v>43325</v>
      </c>
      <c r="K929" s="8">
        <v>81828</v>
      </c>
      <c r="L929" s="1">
        <v>0</v>
      </c>
      <c r="M929" s="8">
        <f>TBL_Employees[[#This Row],[Annual Salary]]*TBL_Employees[[#This Row],[Bonus %]]</f>
        <v>0</v>
      </c>
      <c r="N929" s="8">
        <f>SUM(TBL_Employees[[#This Row],[Annual Salary]],TBL_Employees[[#This Row],[TOTAL BONUS]])</f>
        <v>81828</v>
      </c>
      <c r="O929" s="8">
        <f>TBL_Employees[[#This Row],[Annual Salary]]*TBL_Employees[[#This Row],[Bonus %]]/100+TBL_Employees[[#This Row],[Annual Salary]]</f>
        <v>81828</v>
      </c>
      <c r="P929" t="s">
        <v>19</v>
      </c>
      <c r="Q929" t="s">
        <v>45</v>
      </c>
      <c r="R929" s="6" t="s">
        <v>21</v>
      </c>
    </row>
    <row r="930" spans="1:18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 s="17"/>
      <c r="I930">
        <v>65</v>
      </c>
      <c r="J930" s="6">
        <v>36823</v>
      </c>
      <c r="K930" s="8">
        <v>149417</v>
      </c>
      <c r="L930" s="1">
        <v>0.13</v>
      </c>
      <c r="M930" s="8">
        <f>TBL_Employees[[#This Row],[Annual Salary]]*TBL_Employees[[#This Row],[Bonus %]]</f>
        <v>19424.21</v>
      </c>
      <c r="N930" s="8">
        <f>SUM(TBL_Employees[[#This Row],[Annual Salary]],TBL_Employees[[#This Row],[TOTAL BONUS]])</f>
        <v>168841.21</v>
      </c>
      <c r="O930" s="8">
        <f>TBL_Employees[[#This Row],[Annual Salary]]*TBL_Employees[[#This Row],[Bonus %]]/100+TBL_Employees[[#This Row],[Annual Salary]]</f>
        <v>149611.2421</v>
      </c>
      <c r="P930" t="s">
        <v>33</v>
      </c>
      <c r="Q930" t="s">
        <v>34</v>
      </c>
      <c r="R930" s="6" t="s">
        <v>21</v>
      </c>
    </row>
    <row r="931" spans="1:18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 s="17"/>
      <c r="I931">
        <v>50</v>
      </c>
      <c r="J931" s="6">
        <v>41024</v>
      </c>
      <c r="K931" s="8">
        <v>113269</v>
      </c>
      <c r="L931" s="1">
        <v>0.09</v>
      </c>
      <c r="M931" s="8">
        <f>TBL_Employees[[#This Row],[Annual Salary]]*TBL_Employees[[#This Row],[Bonus %]]</f>
        <v>10194.209999999999</v>
      </c>
      <c r="N931" s="8">
        <f>SUM(TBL_Employees[[#This Row],[Annual Salary]],TBL_Employees[[#This Row],[TOTAL BONUS]])</f>
        <v>123463.20999999999</v>
      </c>
      <c r="O931" s="8">
        <f>TBL_Employees[[#This Row],[Annual Salary]]*TBL_Employees[[#This Row],[Bonus %]]/100+TBL_Employees[[#This Row],[Annual Salary]]</f>
        <v>113370.9421</v>
      </c>
      <c r="P931" t="s">
        <v>52</v>
      </c>
      <c r="Q931" t="s">
        <v>53</v>
      </c>
      <c r="R931" s="6" t="s">
        <v>21</v>
      </c>
    </row>
    <row r="932" spans="1:18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 s="17"/>
      <c r="I932">
        <v>46</v>
      </c>
      <c r="J932" s="6">
        <v>43085</v>
      </c>
      <c r="K932" s="8">
        <v>136716</v>
      </c>
      <c r="L932" s="1">
        <v>0.12</v>
      </c>
      <c r="M932" s="8">
        <f>TBL_Employees[[#This Row],[Annual Salary]]*TBL_Employees[[#This Row],[Bonus %]]</f>
        <v>16405.919999999998</v>
      </c>
      <c r="N932" s="8">
        <f>SUM(TBL_Employees[[#This Row],[Annual Salary]],TBL_Employees[[#This Row],[TOTAL BONUS]])</f>
        <v>153121.91999999998</v>
      </c>
      <c r="O932" s="8">
        <f>TBL_Employees[[#This Row],[Annual Salary]]*TBL_Employees[[#This Row],[Bonus %]]/100+TBL_Employees[[#This Row],[Annual Salary]]</f>
        <v>136880.05919999999</v>
      </c>
      <c r="P932" t="s">
        <v>19</v>
      </c>
      <c r="Q932" t="s">
        <v>25</v>
      </c>
      <c r="R932" s="6" t="s">
        <v>21</v>
      </c>
    </row>
    <row r="933" spans="1:18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 s="17"/>
      <c r="I933">
        <v>54</v>
      </c>
      <c r="J933" s="6">
        <v>40836</v>
      </c>
      <c r="K933" s="8">
        <v>122644</v>
      </c>
      <c r="L933" s="1">
        <v>0.12</v>
      </c>
      <c r="M933" s="8">
        <f>TBL_Employees[[#This Row],[Annual Salary]]*TBL_Employees[[#This Row],[Bonus %]]</f>
        <v>14717.279999999999</v>
      </c>
      <c r="N933" s="8">
        <f>SUM(TBL_Employees[[#This Row],[Annual Salary]],TBL_Employees[[#This Row],[TOTAL BONUS]])</f>
        <v>137361.28</v>
      </c>
      <c r="O933" s="8">
        <f>TBL_Employees[[#This Row],[Annual Salary]]*TBL_Employees[[#This Row],[Bonus %]]/100+TBL_Employees[[#This Row],[Annual Salary]]</f>
        <v>122791.1728</v>
      </c>
      <c r="P933" t="s">
        <v>19</v>
      </c>
      <c r="Q933" t="s">
        <v>25</v>
      </c>
      <c r="R933" s="6" t="s">
        <v>21</v>
      </c>
    </row>
    <row r="934" spans="1:18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 s="17"/>
      <c r="I934">
        <v>50</v>
      </c>
      <c r="J934" s="6">
        <v>36653</v>
      </c>
      <c r="K934" s="8">
        <v>106428</v>
      </c>
      <c r="L934" s="1">
        <v>7.0000000000000007E-2</v>
      </c>
      <c r="M934" s="8">
        <f>TBL_Employees[[#This Row],[Annual Salary]]*TBL_Employees[[#This Row],[Bonus %]]</f>
        <v>7449.9600000000009</v>
      </c>
      <c r="N934" s="8">
        <f>SUM(TBL_Employees[[#This Row],[Annual Salary]],TBL_Employees[[#This Row],[TOTAL BONUS]])</f>
        <v>113877.96</v>
      </c>
      <c r="O934" s="8">
        <f>TBL_Employees[[#This Row],[Annual Salary]]*TBL_Employees[[#This Row],[Bonus %]]/100+TBL_Employees[[#This Row],[Annual Salary]]</f>
        <v>106502.4996</v>
      </c>
      <c r="P934" t="s">
        <v>19</v>
      </c>
      <c r="Q934" t="s">
        <v>20</v>
      </c>
      <c r="R934" s="6" t="s">
        <v>21</v>
      </c>
    </row>
    <row r="935" spans="1:18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 s="17"/>
      <c r="I935">
        <v>36</v>
      </c>
      <c r="J935" s="6">
        <v>39830</v>
      </c>
      <c r="K935" s="8">
        <v>238236</v>
      </c>
      <c r="L935" s="1">
        <v>0.31</v>
      </c>
      <c r="M935" s="8">
        <f>TBL_Employees[[#This Row],[Annual Salary]]*TBL_Employees[[#This Row],[Bonus %]]</f>
        <v>73853.16</v>
      </c>
      <c r="N935" s="8">
        <f>SUM(TBL_Employees[[#This Row],[Annual Salary]],TBL_Employees[[#This Row],[TOTAL BONUS]])</f>
        <v>312089.16000000003</v>
      </c>
      <c r="O935" s="8">
        <f>TBL_Employees[[#This Row],[Annual Salary]]*TBL_Employees[[#This Row],[Bonus %]]/100+TBL_Employees[[#This Row],[Annual Salary]]</f>
        <v>238974.53159999999</v>
      </c>
      <c r="P935" t="s">
        <v>19</v>
      </c>
      <c r="Q935" t="s">
        <v>63</v>
      </c>
      <c r="R935" s="6" t="s">
        <v>21</v>
      </c>
    </row>
    <row r="936" spans="1:18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 s="17"/>
      <c r="I936">
        <v>64</v>
      </c>
      <c r="J936" s="6">
        <v>41264</v>
      </c>
      <c r="K936" s="8">
        <v>153253</v>
      </c>
      <c r="L936" s="1">
        <v>0.24</v>
      </c>
      <c r="M936" s="8">
        <f>TBL_Employees[[#This Row],[Annual Salary]]*TBL_Employees[[#This Row],[Bonus %]]</f>
        <v>36780.720000000001</v>
      </c>
      <c r="N936" s="8">
        <f>SUM(TBL_Employees[[#This Row],[Annual Salary]],TBL_Employees[[#This Row],[TOTAL BONUS]])</f>
        <v>190033.72</v>
      </c>
      <c r="O936" s="8">
        <f>TBL_Employees[[#This Row],[Annual Salary]]*TBL_Employees[[#This Row],[Bonus %]]/100+TBL_Employees[[#This Row],[Annual Salary]]</f>
        <v>153620.80720000001</v>
      </c>
      <c r="P936" t="s">
        <v>19</v>
      </c>
      <c r="Q936" t="s">
        <v>25</v>
      </c>
      <c r="R936" s="6" t="s">
        <v>21</v>
      </c>
    </row>
    <row r="937" spans="1:18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 s="17"/>
      <c r="I937">
        <v>34</v>
      </c>
      <c r="J937" s="6">
        <v>41915</v>
      </c>
      <c r="K937" s="8">
        <v>103707</v>
      </c>
      <c r="L937" s="1">
        <v>0.09</v>
      </c>
      <c r="M937" s="8">
        <f>TBL_Employees[[#This Row],[Annual Salary]]*TBL_Employees[[#This Row],[Bonus %]]</f>
        <v>9333.6299999999992</v>
      </c>
      <c r="N937" s="8">
        <f>SUM(TBL_Employees[[#This Row],[Annual Salary]],TBL_Employees[[#This Row],[TOTAL BONUS]])</f>
        <v>113040.63</v>
      </c>
      <c r="O937" s="8">
        <f>TBL_Employees[[#This Row],[Annual Salary]]*TBL_Employees[[#This Row],[Bonus %]]/100+TBL_Employees[[#This Row],[Annual Salary]]</f>
        <v>103800.3363</v>
      </c>
      <c r="P937" t="s">
        <v>19</v>
      </c>
      <c r="Q937" t="s">
        <v>29</v>
      </c>
      <c r="R937" s="6" t="s">
        <v>21</v>
      </c>
    </row>
    <row r="938" spans="1:18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 s="17"/>
      <c r="I938">
        <v>41</v>
      </c>
      <c r="J938" s="6">
        <v>41130</v>
      </c>
      <c r="K938" s="8">
        <v>245360</v>
      </c>
      <c r="L938" s="1">
        <v>0.37</v>
      </c>
      <c r="M938" s="8">
        <f>TBL_Employees[[#This Row],[Annual Salary]]*TBL_Employees[[#This Row],[Bonus %]]</f>
        <v>90783.2</v>
      </c>
      <c r="N938" s="8">
        <f>SUM(TBL_Employees[[#This Row],[Annual Salary]],TBL_Employees[[#This Row],[TOTAL BONUS]])</f>
        <v>336143.2</v>
      </c>
      <c r="O938" s="8">
        <f>TBL_Employees[[#This Row],[Annual Salary]]*TBL_Employees[[#This Row],[Bonus %]]/100+TBL_Employees[[#This Row],[Annual Salary]]</f>
        <v>246267.83199999999</v>
      </c>
      <c r="P938" t="s">
        <v>19</v>
      </c>
      <c r="Q938" t="s">
        <v>25</v>
      </c>
      <c r="R938" s="6" t="s">
        <v>21</v>
      </c>
    </row>
    <row r="939" spans="1:18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 s="17"/>
      <c r="I939">
        <v>25</v>
      </c>
      <c r="J939" s="6">
        <v>44385</v>
      </c>
      <c r="K939" s="8">
        <v>67275</v>
      </c>
      <c r="L939" s="1">
        <v>0</v>
      </c>
      <c r="M939" s="8">
        <f>TBL_Employees[[#This Row],[Annual Salary]]*TBL_Employees[[#This Row],[Bonus %]]</f>
        <v>0</v>
      </c>
      <c r="N939" s="8">
        <f>SUM(TBL_Employees[[#This Row],[Annual Salary]],TBL_Employees[[#This Row],[TOTAL BONUS]])</f>
        <v>67275</v>
      </c>
      <c r="O939" s="8">
        <f>TBL_Employees[[#This Row],[Annual Salary]]*TBL_Employees[[#This Row],[Bonus %]]/100+TBL_Employees[[#This Row],[Annual Salary]]</f>
        <v>67275</v>
      </c>
      <c r="P939" t="s">
        <v>19</v>
      </c>
      <c r="Q939" t="s">
        <v>29</v>
      </c>
      <c r="R939" s="6" t="s">
        <v>21</v>
      </c>
    </row>
    <row r="940" spans="1:18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 s="17"/>
      <c r="I940">
        <v>45</v>
      </c>
      <c r="J940" s="6">
        <v>42026</v>
      </c>
      <c r="K940" s="8">
        <v>101288</v>
      </c>
      <c r="L940" s="1">
        <v>0.1</v>
      </c>
      <c r="M940" s="8">
        <f>TBL_Employees[[#This Row],[Annual Salary]]*TBL_Employees[[#This Row],[Bonus %]]</f>
        <v>10128.800000000001</v>
      </c>
      <c r="N940" s="8">
        <f>SUM(TBL_Employees[[#This Row],[Annual Salary]],TBL_Employees[[#This Row],[TOTAL BONUS]])</f>
        <v>111416.8</v>
      </c>
      <c r="O940" s="8">
        <f>TBL_Employees[[#This Row],[Annual Salary]]*TBL_Employees[[#This Row],[Bonus %]]/100+TBL_Employees[[#This Row],[Annual Salary]]</f>
        <v>101389.288</v>
      </c>
      <c r="P940" t="s">
        <v>19</v>
      </c>
      <c r="Q940" t="s">
        <v>39</v>
      </c>
      <c r="R940" s="6" t="s">
        <v>21</v>
      </c>
    </row>
    <row r="941" spans="1:18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 s="17"/>
      <c r="I941">
        <v>52</v>
      </c>
      <c r="J941" s="6">
        <v>34209</v>
      </c>
      <c r="K941" s="8">
        <v>177443</v>
      </c>
      <c r="L941" s="1">
        <v>0.25</v>
      </c>
      <c r="M941" s="8">
        <f>TBL_Employees[[#This Row],[Annual Salary]]*TBL_Employees[[#This Row],[Bonus %]]</f>
        <v>44360.75</v>
      </c>
      <c r="N941" s="8">
        <f>SUM(TBL_Employees[[#This Row],[Annual Salary]],TBL_Employees[[#This Row],[TOTAL BONUS]])</f>
        <v>221803.75</v>
      </c>
      <c r="O941" s="8">
        <f>TBL_Employees[[#This Row],[Annual Salary]]*TBL_Employees[[#This Row],[Bonus %]]/100+TBL_Employees[[#This Row],[Annual Salary]]</f>
        <v>177886.60750000001</v>
      </c>
      <c r="P941" t="s">
        <v>52</v>
      </c>
      <c r="Q941" t="s">
        <v>53</v>
      </c>
      <c r="R941" s="6" t="s">
        <v>21</v>
      </c>
    </row>
    <row r="942" spans="1:18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 s="17"/>
      <c r="I942">
        <v>37</v>
      </c>
      <c r="J942" s="6">
        <v>42487</v>
      </c>
      <c r="K942" s="8">
        <v>91400</v>
      </c>
      <c r="L942" s="1">
        <v>0</v>
      </c>
      <c r="M942" s="8">
        <f>TBL_Employees[[#This Row],[Annual Salary]]*TBL_Employees[[#This Row],[Bonus %]]</f>
        <v>0</v>
      </c>
      <c r="N942" s="8">
        <f>SUM(TBL_Employees[[#This Row],[Annual Salary]],TBL_Employees[[#This Row],[TOTAL BONUS]])</f>
        <v>91400</v>
      </c>
      <c r="O942" s="8">
        <f>TBL_Employees[[#This Row],[Annual Salary]]*TBL_Employees[[#This Row],[Bonus %]]/100+TBL_Employees[[#This Row],[Annual Salary]]</f>
        <v>91400</v>
      </c>
      <c r="P942" t="s">
        <v>19</v>
      </c>
      <c r="Q942" t="s">
        <v>20</v>
      </c>
      <c r="R942" s="6" t="s">
        <v>21</v>
      </c>
    </row>
    <row r="943" spans="1:18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 s="17"/>
      <c r="I943">
        <v>44</v>
      </c>
      <c r="J943" s="6">
        <v>39335</v>
      </c>
      <c r="K943" s="8">
        <v>181247</v>
      </c>
      <c r="L943" s="1">
        <v>0.33</v>
      </c>
      <c r="M943" s="8">
        <f>TBL_Employees[[#This Row],[Annual Salary]]*TBL_Employees[[#This Row],[Bonus %]]</f>
        <v>59811.51</v>
      </c>
      <c r="N943" s="8">
        <f>SUM(TBL_Employees[[#This Row],[Annual Salary]],TBL_Employees[[#This Row],[TOTAL BONUS]])</f>
        <v>241058.51</v>
      </c>
      <c r="O943" s="8">
        <f>TBL_Employees[[#This Row],[Annual Salary]]*TBL_Employees[[#This Row],[Bonus %]]/100+TBL_Employees[[#This Row],[Annual Salary]]</f>
        <v>181845.1151</v>
      </c>
      <c r="P943" t="s">
        <v>52</v>
      </c>
      <c r="Q943" t="s">
        <v>53</v>
      </c>
      <c r="R943" s="6" t="s">
        <v>21</v>
      </c>
    </row>
    <row r="944" spans="1:18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 s="17"/>
      <c r="I944">
        <v>42</v>
      </c>
      <c r="J944" s="6">
        <v>37914</v>
      </c>
      <c r="K944" s="8">
        <v>135558</v>
      </c>
      <c r="L944" s="1">
        <v>0.14000000000000001</v>
      </c>
      <c r="M944" s="8">
        <f>TBL_Employees[[#This Row],[Annual Salary]]*TBL_Employees[[#This Row],[Bonus %]]</f>
        <v>18978.120000000003</v>
      </c>
      <c r="N944" s="8">
        <f>SUM(TBL_Employees[[#This Row],[Annual Salary]],TBL_Employees[[#This Row],[TOTAL BONUS]])</f>
        <v>154536.12</v>
      </c>
      <c r="O944" s="8">
        <f>TBL_Employees[[#This Row],[Annual Salary]]*TBL_Employees[[#This Row],[Bonus %]]/100+TBL_Employees[[#This Row],[Annual Salary]]</f>
        <v>135747.7812</v>
      </c>
      <c r="P944" t="s">
        <v>19</v>
      </c>
      <c r="Q944" t="s">
        <v>39</v>
      </c>
      <c r="R944" s="6" t="s">
        <v>21</v>
      </c>
    </row>
    <row r="945" spans="1:18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 s="17"/>
      <c r="I945">
        <v>49</v>
      </c>
      <c r="J945" s="6">
        <v>40894</v>
      </c>
      <c r="K945" s="8">
        <v>56878</v>
      </c>
      <c r="L945" s="1">
        <v>0</v>
      </c>
      <c r="M945" s="8">
        <f>TBL_Employees[[#This Row],[Annual Salary]]*TBL_Employees[[#This Row],[Bonus %]]</f>
        <v>0</v>
      </c>
      <c r="N945" s="8">
        <f>SUM(TBL_Employees[[#This Row],[Annual Salary]],TBL_Employees[[#This Row],[TOTAL BONUS]])</f>
        <v>56878</v>
      </c>
      <c r="O945" s="8">
        <f>TBL_Employees[[#This Row],[Annual Salary]]*TBL_Employees[[#This Row],[Bonus %]]/100+TBL_Employees[[#This Row],[Annual Salary]]</f>
        <v>56878</v>
      </c>
      <c r="P945" t="s">
        <v>19</v>
      </c>
      <c r="Q945" t="s">
        <v>63</v>
      </c>
      <c r="R945" s="6" t="s">
        <v>21</v>
      </c>
    </row>
    <row r="946" spans="1:18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 s="17"/>
      <c r="I946">
        <v>34</v>
      </c>
      <c r="J946" s="6">
        <v>43728</v>
      </c>
      <c r="K946" s="8">
        <v>94735</v>
      </c>
      <c r="L946" s="1">
        <v>0</v>
      </c>
      <c r="M946" s="8">
        <f>TBL_Employees[[#This Row],[Annual Salary]]*TBL_Employees[[#This Row],[Bonus %]]</f>
        <v>0</v>
      </c>
      <c r="N946" s="8">
        <f>SUM(TBL_Employees[[#This Row],[Annual Salary]],TBL_Employees[[#This Row],[TOTAL BONUS]])</f>
        <v>94735</v>
      </c>
      <c r="O946" s="8">
        <f>TBL_Employees[[#This Row],[Annual Salary]]*TBL_Employees[[#This Row],[Bonus %]]/100+TBL_Employees[[#This Row],[Annual Salary]]</f>
        <v>94735</v>
      </c>
      <c r="P946" t="s">
        <v>33</v>
      </c>
      <c r="Q946" t="s">
        <v>60</v>
      </c>
      <c r="R946" s="6" t="s">
        <v>21</v>
      </c>
    </row>
    <row r="947" spans="1:18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 s="17"/>
      <c r="I947">
        <v>39</v>
      </c>
      <c r="J947" s="6">
        <v>39229</v>
      </c>
      <c r="K947" s="8">
        <v>51234</v>
      </c>
      <c r="L947" s="1">
        <v>0</v>
      </c>
      <c r="M947" s="8">
        <f>TBL_Employees[[#This Row],[Annual Salary]]*TBL_Employees[[#This Row],[Bonus %]]</f>
        <v>0</v>
      </c>
      <c r="N947" s="8">
        <f>SUM(TBL_Employees[[#This Row],[Annual Salary]],TBL_Employees[[#This Row],[TOTAL BONUS]])</f>
        <v>51234</v>
      </c>
      <c r="O947" s="8">
        <f>TBL_Employees[[#This Row],[Annual Salary]]*TBL_Employees[[#This Row],[Bonus %]]/100+TBL_Employees[[#This Row],[Annual Salary]]</f>
        <v>51234</v>
      </c>
      <c r="P947" t="s">
        <v>19</v>
      </c>
      <c r="Q947" t="s">
        <v>63</v>
      </c>
      <c r="R947" s="6" t="s">
        <v>21</v>
      </c>
    </row>
    <row r="948" spans="1:18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 s="17"/>
      <c r="I948">
        <v>31</v>
      </c>
      <c r="J948" s="6">
        <v>42018</v>
      </c>
      <c r="K948" s="8">
        <v>230025</v>
      </c>
      <c r="L948" s="1">
        <v>0.34</v>
      </c>
      <c r="M948" s="8">
        <f>TBL_Employees[[#This Row],[Annual Salary]]*TBL_Employees[[#This Row],[Bonus %]]</f>
        <v>78208.5</v>
      </c>
      <c r="N948" s="8">
        <f>SUM(TBL_Employees[[#This Row],[Annual Salary]],TBL_Employees[[#This Row],[TOTAL BONUS]])</f>
        <v>308233.5</v>
      </c>
      <c r="O948" s="8">
        <f>TBL_Employees[[#This Row],[Annual Salary]]*TBL_Employees[[#This Row],[Bonus %]]/100+TBL_Employees[[#This Row],[Annual Salary]]</f>
        <v>230807.08499999999</v>
      </c>
      <c r="P948" t="s">
        <v>19</v>
      </c>
      <c r="Q948" t="s">
        <v>39</v>
      </c>
      <c r="R948" s="6" t="s">
        <v>21</v>
      </c>
    </row>
    <row r="949" spans="1:18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 s="17"/>
      <c r="I949">
        <v>36</v>
      </c>
      <c r="J949" s="6">
        <v>40248</v>
      </c>
      <c r="K949" s="8">
        <v>134006</v>
      </c>
      <c r="L949" s="1">
        <v>0.13</v>
      </c>
      <c r="M949" s="8">
        <f>TBL_Employees[[#This Row],[Annual Salary]]*TBL_Employees[[#This Row],[Bonus %]]</f>
        <v>17420.78</v>
      </c>
      <c r="N949" s="8">
        <f>SUM(TBL_Employees[[#This Row],[Annual Salary]],TBL_Employees[[#This Row],[TOTAL BONUS]])</f>
        <v>151426.78</v>
      </c>
      <c r="O949" s="8">
        <f>TBL_Employees[[#This Row],[Annual Salary]]*TBL_Employees[[#This Row],[Bonus %]]/100+TBL_Employees[[#This Row],[Annual Salary]]</f>
        <v>134180.2078</v>
      </c>
      <c r="P949" t="s">
        <v>33</v>
      </c>
      <c r="Q949" t="s">
        <v>60</v>
      </c>
      <c r="R949" s="6" t="s">
        <v>21</v>
      </c>
    </row>
    <row r="950" spans="1:18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 s="17"/>
      <c r="I950">
        <v>61</v>
      </c>
      <c r="J950" s="6">
        <v>40092</v>
      </c>
      <c r="K950" s="8">
        <v>103096</v>
      </c>
      <c r="L950" s="1">
        <v>7.0000000000000007E-2</v>
      </c>
      <c r="M950" s="8">
        <f>TBL_Employees[[#This Row],[Annual Salary]]*TBL_Employees[[#This Row],[Bonus %]]</f>
        <v>7216.72</v>
      </c>
      <c r="N950" s="8">
        <f>SUM(TBL_Employees[[#This Row],[Annual Salary]],TBL_Employees[[#This Row],[TOTAL BONUS]])</f>
        <v>110312.72</v>
      </c>
      <c r="O950" s="8">
        <f>TBL_Employees[[#This Row],[Annual Salary]]*TBL_Employees[[#This Row],[Bonus %]]/100+TBL_Employees[[#This Row],[Annual Salary]]</f>
        <v>103168.1672</v>
      </c>
      <c r="P950" t="s">
        <v>33</v>
      </c>
      <c r="Q950" t="s">
        <v>60</v>
      </c>
      <c r="R950" s="6" t="s">
        <v>21</v>
      </c>
    </row>
    <row r="951" spans="1:18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 s="17"/>
      <c r="I951">
        <v>29</v>
      </c>
      <c r="J951" s="6">
        <v>42602</v>
      </c>
      <c r="K951" s="8">
        <v>58703</v>
      </c>
      <c r="L951" s="1">
        <v>0</v>
      </c>
      <c r="M951" s="8">
        <f>TBL_Employees[[#This Row],[Annual Salary]]*TBL_Employees[[#This Row],[Bonus %]]</f>
        <v>0</v>
      </c>
      <c r="N951" s="8">
        <f>SUM(TBL_Employees[[#This Row],[Annual Salary]],TBL_Employees[[#This Row],[TOTAL BONUS]])</f>
        <v>58703</v>
      </c>
      <c r="O951" s="8">
        <f>TBL_Employees[[#This Row],[Annual Salary]]*TBL_Employees[[#This Row],[Bonus %]]/100+TBL_Employees[[#This Row],[Annual Salary]]</f>
        <v>58703</v>
      </c>
      <c r="P951" t="s">
        <v>19</v>
      </c>
      <c r="Q951" t="s">
        <v>29</v>
      </c>
      <c r="R951" s="6" t="s">
        <v>21</v>
      </c>
    </row>
    <row r="952" spans="1:18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 s="17"/>
      <c r="I952">
        <v>33</v>
      </c>
      <c r="J952" s="6">
        <v>41267</v>
      </c>
      <c r="K952" s="8">
        <v>132544</v>
      </c>
      <c r="L952" s="1">
        <v>0.1</v>
      </c>
      <c r="M952" s="8">
        <f>TBL_Employees[[#This Row],[Annual Salary]]*TBL_Employees[[#This Row],[Bonus %]]</f>
        <v>13254.400000000001</v>
      </c>
      <c r="N952" s="8">
        <f>SUM(TBL_Employees[[#This Row],[Annual Salary]],TBL_Employees[[#This Row],[TOTAL BONUS]])</f>
        <v>145798.39999999999</v>
      </c>
      <c r="O952" s="8">
        <f>TBL_Employees[[#This Row],[Annual Salary]]*TBL_Employees[[#This Row],[Bonus %]]/100+TBL_Employees[[#This Row],[Annual Salary]]</f>
        <v>132676.54399999999</v>
      </c>
      <c r="P952" t="s">
        <v>52</v>
      </c>
      <c r="Q952" t="s">
        <v>66</v>
      </c>
      <c r="R952" s="6" t="s">
        <v>21</v>
      </c>
    </row>
    <row r="953" spans="1:18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 s="17"/>
      <c r="I953">
        <v>32</v>
      </c>
      <c r="J953" s="6">
        <v>43936</v>
      </c>
      <c r="K953" s="8">
        <v>126671</v>
      </c>
      <c r="L953" s="1">
        <v>0.09</v>
      </c>
      <c r="M953" s="8">
        <f>TBL_Employees[[#This Row],[Annual Salary]]*TBL_Employees[[#This Row],[Bonus %]]</f>
        <v>11400.39</v>
      </c>
      <c r="N953" s="8">
        <f>SUM(TBL_Employees[[#This Row],[Annual Salary]],TBL_Employees[[#This Row],[TOTAL BONUS]])</f>
        <v>138071.39000000001</v>
      </c>
      <c r="O953" s="8">
        <f>TBL_Employees[[#This Row],[Annual Salary]]*TBL_Employees[[#This Row],[Bonus %]]/100+TBL_Employees[[#This Row],[Annual Salary]]</f>
        <v>126785.0039</v>
      </c>
      <c r="P953" t="s">
        <v>19</v>
      </c>
      <c r="Q953" t="s">
        <v>45</v>
      </c>
      <c r="R953" s="6" t="s">
        <v>21</v>
      </c>
    </row>
    <row r="954" spans="1:18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 s="17"/>
      <c r="I954">
        <v>33</v>
      </c>
      <c r="J954" s="6">
        <v>44218</v>
      </c>
      <c r="K954" s="8">
        <v>56405</v>
      </c>
      <c r="L954" s="1">
        <v>0</v>
      </c>
      <c r="M954" s="8">
        <f>TBL_Employees[[#This Row],[Annual Salary]]*TBL_Employees[[#This Row],[Bonus %]]</f>
        <v>0</v>
      </c>
      <c r="N954" s="8">
        <f>SUM(TBL_Employees[[#This Row],[Annual Salary]],TBL_Employees[[#This Row],[TOTAL BONUS]])</f>
        <v>56405</v>
      </c>
      <c r="O954" s="8">
        <f>TBL_Employees[[#This Row],[Annual Salary]]*TBL_Employees[[#This Row],[Bonus %]]/100+TBL_Employees[[#This Row],[Annual Salary]]</f>
        <v>56405</v>
      </c>
      <c r="P954" t="s">
        <v>19</v>
      </c>
      <c r="Q954" t="s">
        <v>20</v>
      </c>
      <c r="R954" s="6" t="s">
        <v>21</v>
      </c>
    </row>
    <row r="955" spans="1:18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 s="17"/>
      <c r="I955">
        <v>36</v>
      </c>
      <c r="J955" s="6">
        <v>41972</v>
      </c>
      <c r="K955" s="8">
        <v>88730</v>
      </c>
      <c r="L955" s="1">
        <v>0.08</v>
      </c>
      <c r="M955" s="8">
        <f>TBL_Employees[[#This Row],[Annual Salary]]*TBL_Employees[[#This Row],[Bonus %]]</f>
        <v>7098.4000000000005</v>
      </c>
      <c r="N955" s="8">
        <f>SUM(TBL_Employees[[#This Row],[Annual Salary]],TBL_Employees[[#This Row],[TOTAL BONUS]])</f>
        <v>95828.4</v>
      </c>
      <c r="O955" s="8">
        <f>TBL_Employees[[#This Row],[Annual Salary]]*TBL_Employees[[#This Row],[Bonus %]]/100+TBL_Employees[[#This Row],[Annual Salary]]</f>
        <v>88800.983999999997</v>
      </c>
      <c r="P955" t="s">
        <v>33</v>
      </c>
      <c r="Q955" t="s">
        <v>80</v>
      </c>
      <c r="R955" s="6" t="s">
        <v>21</v>
      </c>
    </row>
    <row r="956" spans="1:18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 s="17"/>
      <c r="I956">
        <v>39</v>
      </c>
      <c r="J956" s="6">
        <v>39708</v>
      </c>
      <c r="K956" s="8">
        <v>62861</v>
      </c>
      <c r="L956" s="1">
        <v>0</v>
      </c>
      <c r="M956" s="8">
        <f>TBL_Employees[[#This Row],[Annual Salary]]*TBL_Employees[[#This Row],[Bonus %]]</f>
        <v>0</v>
      </c>
      <c r="N956" s="8">
        <f>SUM(TBL_Employees[[#This Row],[Annual Salary]],TBL_Employees[[#This Row],[TOTAL BONUS]])</f>
        <v>62861</v>
      </c>
      <c r="O956" s="8">
        <f>TBL_Employees[[#This Row],[Annual Salary]]*TBL_Employees[[#This Row],[Bonus %]]/100+TBL_Employees[[#This Row],[Annual Salary]]</f>
        <v>62861</v>
      </c>
      <c r="P956" t="s">
        <v>19</v>
      </c>
      <c r="Q956" t="s">
        <v>63</v>
      </c>
      <c r="R956" s="6" t="s">
        <v>21</v>
      </c>
    </row>
    <row r="957" spans="1:18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 s="17"/>
      <c r="I957">
        <v>53</v>
      </c>
      <c r="J957" s="6">
        <v>38919</v>
      </c>
      <c r="K957" s="8">
        <v>151246</v>
      </c>
      <c r="L957" s="1">
        <v>0.21</v>
      </c>
      <c r="M957" s="8">
        <f>TBL_Employees[[#This Row],[Annual Salary]]*TBL_Employees[[#This Row],[Bonus %]]</f>
        <v>31761.66</v>
      </c>
      <c r="N957" s="8">
        <f>SUM(TBL_Employees[[#This Row],[Annual Salary]],TBL_Employees[[#This Row],[TOTAL BONUS]])</f>
        <v>183007.66</v>
      </c>
      <c r="O957" s="8">
        <f>TBL_Employees[[#This Row],[Annual Salary]]*TBL_Employees[[#This Row],[Bonus %]]/100+TBL_Employees[[#This Row],[Annual Salary]]</f>
        <v>151563.61660000001</v>
      </c>
      <c r="P957" t="s">
        <v>52</v>
      </c>
      <c r="Q957" t="s">
        <v>53</v>
      </c>
      <c r="R957" s="6" t="s">
        <v>21</v>
      </c>
    </row>
    <row r="958" spans="1:18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 s="17"/>
      <c r="I958">
        <v>53</v>
      </c>
      <c r="J958" s="6">
        <v>35532</v>
      </c>
      <c r="K958" s="8">
        <v>154388</v>
      </c>
      <c r="L958" s="1">
        <v>0.1</v>
      </c>
      <c r="M958" s="8">
        <f>TBL_Employees[[#This Row],[Annual Salary]]*TBL_Employees[[#This Row],[Bonus %]]</f>
        <v>15438.800000000001</v>
      </c>
      <c r="N958" s="8">
        <f>SUM(TBL_Employees[[#This Row],[Annual Salary]],TBL_Employees[[#This Row],[TOTAL BONUS]])</f>
        <v>169826.8</v>
      </c>
      <c r="O958" s="8">
        <f>TBL_Employees[[#This Row],[Annual Salary]]*TBL_Employees[[#This Row],[Bonus %]]/100+TBL_Employees[[#This Row],[Annual Salary]]</f>
        <v>154542.38800000001</v>
      </c>
      <c r="P958" t="s">
        <v>19</v>
      </c>
      <c r="Q958" t="s">
        <v>63</v>
      </c>
      <c r="R958" s="6" t="s">
        <v>21</v>
      </c>
    </row>
    <row r="959" spans="1:18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 s="17"/>
      <c r="I959">
        <v>54</v>
      </c>
      <c r="J959" s="6">
        <v>34603</v>
      </c>
      <c r="K959" s="8">
        <v>162978</v>
      </c>
      <c r="L959" s="1">
        <v>0.17</v>
      </c>
      <c r="M959" s="8">
        <f>TBL_Employees[[#This Row],[Annual Salary]]*TBL_Employees[[#This Row],[Bonus %]]</f>
        <v>27706.260000000002</v>
      </c>
      <c r="N959" s="8">
        <f>SUM(TBL_Employees[[#This Row],[Annual Salary]],TBL_Employees[[#This Row],[TOTAL BONUS]])</f>
        <v>190684.26</v>
      </c>
      <c r="O959" s="8">
        <f>TBL_Employees[[#This Row],[Annual Salary]]*TBL_Employees[[#This Row],[Bonus %]]/100+TBL_Employees[[#This Row],[Annual Salary]]</f>
        <v>163255.0626</v>
      </c>
      <c r="P959" t="s">
        <v>19</v>
      </c>
      <c r="Q959" t="s">
        <v>45</v>
      </c>
      <c r="R959" s="6">
        <v>38131</v>
      </c>
    </row>
    <row r="960" spans="1:18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 s="17"/>
      <c r="I960">
        <v>55</v>
      </c>
      <c r="J960" s="6">
        <v>34290</v>
      </c>
      <c r="K960" s="8">
        <v>80170</v>
      </c>
      <c r="L960" s="1">
        <v>0</v>
      </c>
      <c r="M960" s="8">
        <f>TBL_Employees[[#This Row],[Annual Salary]]*TBL_Employees[[#This Row],[Bonus %]]</f>
        <v>0</v>
      </c>
      <c r="N960" s="8">
        <f>SUM(TBL_Employees[[#This Row],[Annual Salary]],TBL_Employees[[#This Row],[TOTAL BONUS]])</f>
        <v>80170</v>
      </c>
      <c r="O960" s="8">
        <f>TBL_Employees[[#This Row],[Annual Salary]]*TBL_Employees[[#This Row],[Bonus %]]/100+TBL_Employees[[#This Row],[Annual Salary]]</f>
        <v>80170</v>
      </c>
      <c r="P960" t="s">
        <v>19</v>
      </c>
      <c r="Q960" t="s">
        <v>45</v>
      </c>
      <c r="R960" s="6" t="s">
        <v>21</v>
      </c>
    </row>
    <row r="961" spans="1:18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 s="17"/>
      <c r="I961">
        <v>44</v>
      </c>
      <c r="J961" s="6">
        <v>44314</v>
      </c>
      <c r="K961" s="8">
        <v>98520</v>
      </c>
      <c r="L961" s="1">
        <v>0</v>
      </c>
      <c r="M961" s="8">
        <f>TBL_Employees[[#This Row],[Annual Salary]]*TBL_Employees[[#This Row],[Bonus %]]</f>
        <v>0</v>
      </c>
      <c r="N961" s="8">
        <f>SUM(TBL_Employees[[#This Row],[Annual Salary]],TBL_Employees[[#This Row],[TOTAL BONUS]])</f>
        <v>98520</v>
      </c>
      <c r="O961" s="8">
        <f>TBL_Employees[[#This Row],[Annual Salary]]*TBL_Employees[[#This Row],[Bonus %]]/100+TBL_Employees[[#This Row],[Annual Salary]]</f>
        <v>98520</v>
      </c>
      <c r="P961" t="s">
        <v>19</v>
      </c>
      <c r="Q961" t="s">
        <v>45</v>
      </c>
      <c r="R961" s="6" t="s">
        <v>21</v>
      </c>
    </row>
    <row r="962" spans="1:18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 s="17"/>
      <c r="I962">
        <v>52</v>
      </c>
      <c r="J962" s="6">
        <v>36523</v>
      </c>
      <c r="K962" s="8">
        <v>116527</v>
      </c>
      <c r="L962" s="1">
        <v>7.0000000000000007E-2</v>
      </c>
      <c r="M962" s="8">
        <f>TBL_Employees[[#This Row],[Annual Salary]]*TBL_Employees[[#This Row],[Bonus %]]</f>
        <v>8156.89</v>
      </c>
      <c r="N962" s="8">
        <f>SUM(TBL_Employees[[#This Row],[Annual Salary]],TBL_Employees[[#This Row],[TOTAL BONUS]])</f>
        <v>124683.89</v>
      </c>
      <c r="O962" s="8">
        <f>TBL_Employees[[#This Row],[Annual Salary]]*TBL_Employees[[#This Row],[Bonus %]]/100+TBL_Employees[[#This Row],[Annual Salary]]</f>
        <v>116608.5689</v>
      </c>
      <c r="P962" t="s">
        <v>19</v>
      </c>
      <c r="Q962" t="s">
        <v>39</v>
      </c>
      <c r="R962" s="6" t="s">
        <v>21</v>
      </c>
    </row>
    <row r="963" spans="1:18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 s="17"/>
      <c r="I963">
        <v>27</v>
      </c>
      <c r="J963" s="6">
        <v>43776</v>
      </c>
      <c r="K963" s="8">
        <v>174607</v>
      </c>
      <c r="L963" s="1">
        <v>0.28999999999999998</v>
      </c>
      <c r="M963" s="8">
        <f>TBL_Employees[[#This Row],[Annual Salary]]*TBL_Employees[[#This Row],[Bonus %]]</f>
        <v>50636.03</v>
      </c>
      <c r="N963" s="8">
        <f>SUM(TBL_Employees[[#This Row],[Annual Salary]],TBL_Employees[[#This Row],[TOTAL BONUS]])</f>
        <v>225243.03</v>
      </c>
      <c r="O963" s="8">
        <f>TBL_Employees[[#This Row],[Annual Salary]]*TBL_Employees[[#This Row],[Bonus %]]/100+TBL_Employees[[#This Row],[Annual Salary]]</f>
        <v>175113.3603</v>
      </c>
      <c r="P963" t="s">
        <v>19</v>
      </c>
      <c r="Q963" t="s">
        <v>29</v>
      </c>
      <c r="R963" s="6" t="s">
        <v>21</v>
      </c>
    </row>
    <row r="964" spans="1:18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 s="17"/>
      <c r="I964">
        <v>58</v>
      </c>
      <c r="J964" s="6">
        <v>38819</v>
      </c>
      <c r="K964" s="8">
        <v>64202</v>
      </c>
      <c r="L964" s="1">
        <v>0</v>
      </c>
      <c r="M964" s="8">
        <f>TBL_Employees[[#This Row],[Annual Salary]]*TBL_Employees[[#This Row],[Bonus %]]</f>
        <v>0</v>
      </c>
      <c r="N964" s="8">
        <f>SUM(TBL_Employees[[#This Row],[Annual Salary]],TBL_Employees[[#This Row],[TOTAL BONUS]])</f>
        <v>64202</v>
      </c>
      <c r="O964" s="8">
        <f>TBL_Employees[[#This Row],[Annual Salary]]*TBL_Employees[[#This Row],[Bonus %]]/100+TBL_Employees[[#This Row],[Annual Salary]]</f>
        <v>64202</v>
      </c>
      <c r="P964" t="s">
        <v>19</v>
      </c>
      <c r="Q964" t="s">
        <v>29</v>
      </c>
      <c r="R964" s="6" t="s">
        <v>21</v>
      </c>
    </row>
    <row r="965" spans="1:18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 s="17"/>
      <c r="I965">
        <v>49</v>
      </c>
      <c r="J965" s="6">
        <v>43671</v>
      </c>
      <c r="K965" s="8">
        <v>50883</v>
      </c>
      <c r="L965" s="1">
        <v>0</v>
      </c>
      <c r="M965" s="8">
        <f>TBL_Employees[[#This Row],[Annual Salary]]*TBL_Employees[[#This Row],[Bonus %]]</f>
        <v>0</v>
      </c>
      <c r="N965" s="8">
        <f>SUM(TBL_Employees[[#This Row],[Annual Salary]],TBL_Employees[[#This Row],[TOTAL BONUS]])</f>
        <v>50883</v>
      </c>
      <c r="O965" s="8">
        <f>TBL_Employees[[#This Row],[Annual Salary]]*TBL_Employees[[#This Row],[Bonus %]]/100+TBL_Employees[[#This Row],[Annual Salary]]</f>
        <v>50883</v>
      </c>
      <c r="P965" t="s">
        <v>33</v>
      </c>
      <c r="Q965" t="s">
        <v>80</v>
      </c>
      <c r="R965" s="6">
        <v>44257</v>
      </c>
    </row>
    <row r="966" spans="1:18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 s="17"/>
      <c r="I966">
        <v>36</v>
      </c>
      <c r="J966" s="6">
        <v>42677</v>
      </c>
      <c r="K966" s="8">
        <v>94618</v>
      </c>
      <c r="L966" s="1">
        <v>0</v>
      </c>
      <c r="M966" s="8">
        <f>TBL_Employees[[#This Row],[Annual Salary]]*TBL_Employees[[#This Row],[Bonus %]]</f>
        <v>0</v>
      </c>
      <c r="N966" s="8">
        <f>SUM(TBL_Employees[[#This Row],[Annual Salary]],TBL_Employees[[#This Row],[TOTAL BONUS]])</f>
        <v>94618</v>
      </c>
      <c r="O966" s="8">
        <f>TBL_Employees[[#This Row],[Annual Salary]]*TBL_Employees[[#This Row],[Bonus %]]/100+TBL_Employees[[#This Row],[Annual Salary]]</f>
        <v>94618</v>
      </c>
      <c r="P966" t="s">
        <v>19</v>
      </c>
      <c r="Q966" t="s">
        <v>29</v>
      </c>
      <c r="R966" s="6" t="s">
        <v>21</v>
      </c>
    </row>
    <row r="967" spans="1:18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 s="17"/>
      <c r="I967">
        <v>26</v>
      </c>
      <c r="J967" s="6">
        <v>43753</v>
      </c>
      <c r="K967" s="8">
        <v>151556</v>
      </c>
      <c r="L967" s="1">
        <v>0.2</v>
      </c>
      <c r="M967" s="8">
        <f>TBL_Employees[[#This Row],[Annual Salary]]*TBL_Employees[[#This Row],[Bonus %]]</f>
        <v>30311.200000000001</v>
      </c>
      <c r="N967" s="8">
        <f>SUM(TBL_Employees[[#This Row],[Annual Salary]],TBL_Employees[[#This Row],[TOTAL BONUS]])</f>
        <v>181867.2</v>
      </c>
      <c r="O967" s="8">
        <f>TBL_Employees[[#This Row],[Annual Salary]]*TBL_Employees[[#This Row],[Bonus %]]/100+TBL_Employees[[#This Row],[Annual Salary]]</f>
        <v>151859.11199999999</v>
      </c>
      <c r="P967" t="s">
        <v>19</v>
      </c>
      <c r="Q967" t="s">
        <v>45</v>
      </c>
      <c r="R967" s="6" t="s">
        <v>21</v>
      </c>
    </row>
    <row r="968" spans="1:18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 s="17"/>
      <c r="I968">
        <v>37</v>
      </c>
      <c r="J968" s="6">
        <v>43898</v>
      </c>
      <c r="K968" s="8">
        <v>80659</v>
      </c>
      <c r="L968" s="1">
        <v>0</v>
      </c>
      <c r="M968" s="8">
        <f>TBL_Employees[[#This Row],[Annual Salary]]*TBL_Employees[[#This Row],[Bonus %]]</f>
        <v>0</v>
      </c>
      <c r="N968" s="8">
        <f>SUM(TBL_Employees[[#This Row],[Annual Salary]],TBL_Employees[[#This Row],[TOTAL BONUS]])</f>
        <v>80659</v>
      </c>
      <c r="O968" s="8">
        <f>TBL_Employees[[#This Row],[Annual Salary]]*TBL_Employees[[#This Row],[Bonus %]]/100+TBL_Employees[[#This Row],[Annual Salary]]</f>
        <v>80659</v>
      </c>
      <c r="P968" t="s">
        <v>19</v>
      </c>
      <c r="Q968" t="s">
        <v>39</v>
      </c>
      <c r="R968" s="6" t="s">
        <v>21</v>
      </c>
    </row>
    <row r="969" spans="1:18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 s="17"/>
      <c r="I969">
        <v>47</v>
      </c>
      <c r="J969" s="6">
        <v>43772</v>
      </c>
      <c r="K969" s="8">
        <v>195385</v>
      </c>
      <c r="L969" s="1">
        <v>0.21</v>
      </c>
      <c r="M969" s="8">
        <f>TBL_Employees[[#This Row],[Annual Salary]]*TBL_Employees[[#This Row],[Bonus %]]</f>
        <v>41030.85</v>
      </c>
      <c r="N969" s="8">
        <f>SUM(TBL_Employees[[#This Row],[Annual Salary]],TBL_Employees[[#This Row],[TOTAL BONUS]])</f>
        <v>236415.85</v>
      </c>
      <c r="O969" s="8">
        <f>TBL_Employees[[#This Row],[Annual Salary]]*TBL_Employees[[#This Row],[Bonus %]]/100+TBL_Employees[[#This Row],[Annual Salary]]</f>
        <v>195795.30850000001</v>
      </c>
      <c r="P969" t="s">
        <v>33</v>
      </c>
      <c r="Q969" t="s">
        <v>34</v>
      </c>
      <c r="R969" s="6" t="s">
        <v>21</v>
      </c>
    </row>
    <row r="970" spans="1:18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 s="17"/>
      <c r="I970">
        <v>29</v>
      </c>
      <c r="J970" s="6">
        <v>42509</v>
      </c>
      <c r="K970" s="8">
        <v>52693</v>
      </c>
      <c r="L970" s="1">
        <v>0</v>
      </c>
      <c r="M970" s="8">
        <f>TBL_Employees[[#This Row],[Annual Salary]]*TBL_Employees[[#This Row],[Bonus %]]</f>
        <v>0</v>
      </c>
      <c r="N970" s="8">
        <f>SUM(TBL_Employees[[#This Row],[Annual Salary]],TBL_Employees[[#This Row],[TOTAL BONUS]])</f>
        <v>52693</v>
      </c>
      <c r="O970" s="8">
        <f>TBL_Employees[[#This Row],[Annual Salary]]*TBL_Employees[[#This Row],[Bonus %]]/100+TBL_Employees[[#This Row],[Annual Salary]]</f>
        <v>52693</v>
      </c>
      <c r="P970" t="s">
        <v>52</v>
      </c>
      <c r="Q970" t="s">
        <v>66</v>
      </c>
      <c r="R970" s="6" t="s">
        <v>21</v>
      </c>
    </row>
    <row r="971" spans="1:18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 s="17"/>
      <c r="I971">
        <v>58</v>
      </c>
      <c r="J971" s="6">
        <v>42486</v>
      </c>
      <c r="K971" s="8">
        <v>72045</v>
      </c>
      <c r="L971" s="1">
        <v>0</v>
      </c>
      <c r="M971" s="8">
        <f>TBL_Employees[[#This Row],[Annual Salary]]*TBL_Employees[[#This Row],[Bonus %]]</f>
        <v>0</v>
      </c>
      <c r="N971" s="8">
        <f>SUM(TBL_Employees[[#This Row],[Annual Salary]],TBL_Employees[[#This Row],[TOTAL BONUS]])</f>
        <v>72045</v>
      </c>
      <c r="O971" s="8">
        <f>TBL_Employees[[#This Row],[Annual Salary]]*TBL_Employees[[#This Row],[Bonus %]]/100+TBL_Employees[[#This Row],[Annual Salary]]</f>
        <v>72045</v>
      </c>
      <c r="P971" t="s">
        <v>19</v>
      </c>
      <c r="Q971" t="s">
        <v>39</v>
      </c>
      <c r="R971" s="6" t="s">
        <v>21</v>
      </c>
    </row>
    <row r="972" spans="1:18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 s="17"/>
      <c r="I972">
        <v>47</v>
      </c>
      <c r="J972" s="6">
        <v>38684</v>
      </c>
      <c r="K972" s="8">
        <v>62749</v>
      </c>
      <c r="L972" s="1">
        <v>0</v>
      </c>
      <c r="M972" s="8">
        <f>TBL_Employees[[#This Row],[Annual Salary]]*TBL_Employees[[#This Row],[Bonus %]]</f>
        <v>0</v>
      </c>
      <c r="N972" s="8">
        <f>SUM(TBL_Employees[[#This Row],[Annual Salary]],TBL_Employees[[#This Row],[TOTAL BONUS]])</f>
        <v>62749</v>
      </c>
      <c r="O972" s="8">
        <f>TBL_Employees[[#This Row],[Annual Salary]]*TBL_Employees[[#This Row],[Bonus %]]/100+TBL_Employees[[#This Row],[Annual Salary]]</f>
        <v>62749</v>
      </c>
      <c r="P972" t="s">
        <v>52</v>
      </c>
      <c r="Q972" t="s">
        <v>81</v>
      </c>
      <c r="R972" s="6" t="s">
        <v>21</v>
      </c>
    </row>
    <row r="973" spans="1:18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 s="17"/>
      <c r="I973">
        <v>52</v>
      </c>
      <c r="J973" s="6">
        <v>43255</v>
      </c>
      <c r="K973" s="8">
        <v>154884</v>
      </c>
      <c r="L973" s="1">
        <v>0.1</v>
      </c>
      <c r="M973" s="8">
        <f>TBL_Employees[[#This Row],[Annual Salary]]*TBL_Employees[[#This Row],[Bonus %]]</f>
        <v>15488.400000000001</v>
      </c>
      <c r="N973" s="8">
        <f>SUM(TBL_Employees[[#This Row],[Annual Salary]],TBL_Employees[[#This Row],[TOTAL BONUS]])</f>
        <v>170372.4</v>
      </c>
      <c r="O973" s="8">
        <f>TBL_Employees[[#This Row],[Annual Salary]]*TBL_Employees[[#This Row],[Bonus %]]/100+TBL_Employees[[#This Row],[Annual Salary]]</f>
        <v>155038.88399999999</v>
      </c>
      <c r="P973" t="s">
        <v>33</v>
      </c>
      <c r="Q973" t="s">
        <v>74</v>
      </c>
      <c r="R973" s="6" t="s">
        <v>21</v>
      </c>
    </row>
    <row r="974" spans="1:18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 s="17"/>
      <c r="I974">
        <v>61</v>
      </c>
      <c r="J974" s="6">
        <v>42437</v>
      </c>
      <c r="K974" s="8">
        <v>96566</v>
      </c>
      <c r="L974" s="1">
        <v>0</v>
      </c>
      <c r="M974" s="8">
        <f>TBL_Employees[[#This Row],[Annual Salary]]*TBL_Employees[[#This Row],[Bonus %]]</f>
        <v>0</v>
      </c>
      <c r="N974" s="8">
        <f>SUM(TBL_Employees[[#This Row],[Annual Salary]],TBL_Employees[[#This Row],[TOTAL BONUS]])</f>
        <v>96566</v>
      </c>
      <c r="O974" s="8">
        <f>TBL_Employees[[#This Row],[Annual Salary]]*TBL_Employees[[#This Row],[Bonus %]]/100+TBL_Employees[[#This Row],[Annual Salary]]</f>
        <v>96566</v>
      </c>
      <c r="P974" t="s">
        <v>19</v>
      </c>
      <c r="Q974" t="s">
        <v>29</v>
      </c>
      <c r="R974" s="6" t="s">
        <v>21</v>
      </c>
    </row>
    <row r="975" spans="1:18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 s="17"/>
      <c r="I975">
        <v>45</v>
      </c>
      <c r="J975" s="6">
        <v>37126</v>
      </c>
      <c r="K975" s="8">
        <v>54994</v>
      </c>
      <c r="L975" s="1">
        <v>0</v>
      </c>
      <c r="M975" s="8">
        <f>TBL_Employees[[#This Row],[Annual Salary]]*TBL_Employees[[#This Row],[Bonus %]]</f>
        <v>0</v>
      </c>
      <c r="N975" s="8">
        <f>SUM(TBL_Employees[[#This Row],[Annual Salary]],TBL_Employees[[#This Row],[TOTAL BONUS]])</f>
        <v>54994</v>
      </c>
      <c r="O975" s="8">
        <f>TBL_Employees[[#This Row],[Annual Salary]]*TBL_Employees[[#This Row],[Bonus %]]/100+TBL_Employees[[#This Row],[Annual Salary]]</f>
        <v>54994</v>
      </c>
      <c r="P975" t="s">
        <v>19</v>
      </c>
      <c r="Q975" t="s">
        <v>29</v>
      </c>
      <c r="R975" s="6" t="s">
        <v>21</v>
      </c>
    </row>
    <row r="976" spans="1:18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 s="17"/>
      <c r="I976">
        <v>40</v>
      </c>
      <c r="J976" s="6">
        <v>40944</v>
      </c>
      <c r="K976" s="8">
        <v>61523</v>
      </c>
      <c r="L976" s="1">
        <v>0</v>
      </c>
      <c r="M976" s="8">
        <f>TBL_Employees[[#This Row],[Annual Salary]]*TBL_Employees[[#This Row],[Bonus %]]</f>
        <v>0</v>
      </c>
      <c r="N976" s="8">
        <f>SUM(TBL_Employees[[#This Row],[Annual Salary]],TBL_Employees[[#This Row],[TOTAL BONUS]])</f>
        <v>61523</v>
      </c>
      <c r="O976" s="8">
        <f>TBL_Employees[[#This Row],[Annual Salary]]*TBL_Employees[[#This Row],[Bonus %]]/100+TBL_Employees[[#This Row],[Annual Salary]]</f>
        <v>61523</v>
      </c>
      <c r="P976" t="s">
        <v>19</v>
      </c>
      <c r="Q976" t="s">
        <v>29</v>
      </c>
      <c r="R976" s="6" t="s">
        <v>21</v>
      </c>
    </row>
    <row r="977" spans="1:18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 s="17"/>
      <c r="I977">
        <v>45</v>
      </c>
      <c r="J977" s="6">
        <v>40524</v>
      </c>
      <c r="K977" s="8">
        <v>190512</v>
      </c>
      <c r="L977" s="1">
        <v>0.32</v>
      </c>
      <c r="M977" s="8">
        <f>TBL_Employees[[#This Row],[Annual Salary]]*TBL_Employees[[#This Row],[Bonus %]]</f>
        <v>60963.840000000004</v>
      </c>
      <c r="N977" s="8">
        <f>SUM(TBL_Employees[[#This Row],[Annual Salary]],TBL_Employees[[#This Row],[TOTAL BONUS]])</f>
        <v>251475.84</v>
      </c>
      <c r="O977" s="8">
        <f>TBL_Employees[[#This Row],[Annual Salary]]*TBL_Employees[[#This Row],[Bonus %]]/100+TBL_Employees[[#This Row],[Annual Salary]]</f>
        <v>191121.6384</v>
      </c>
      <c r="P977" t="s">
        <v>19</v>
      </c>
      <c r="Q977" t="s">
        <v>29</v>
      </c>
      <c r="R977" s="6" t="s">
        <v>21</v>
      </c>
    </row>
    <row r="978" spans="1:18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 s="17"/>
      <c r="I978">
        <v>37</v>
      </c>
      <c r="J978" s="6">
        <v>41318</v>
      </c>
      <c r="K978" s="8">
        <v>124827</v>
      </c>
      <c r="L978" s="1">
        <v>0</v>
      </c>
      <c r="M978" s="8">
        <f>TBL_Employees[[#This Row],[Annual Salary]]*TBL_Employees[[#This Row],[Bonus %]]</f>
        <v>0</v>
      </c>
      <c r="N978" s="8">
        <f>SUM(TBL_Employees[[#This Row],[Annual Salary]],TBL_Employees[[#This Row],[TOTAL BONUS]])</f>
        <v>124827</v>
      </c>
      <c r="O978" s="8">
        <f>TBL_Employees[[#This Row],[Annual Salary]]*TBL_Employees[[#This Row],[Bonus %]]/100+TBL_Employees[[#This Row],[Annual Salary]]</f>
        <v>124827</v>
      </c>
      <c r="P978" t="s">
        <v>33</v>
      </c>
      <c r="Q978" t="s">
        <v>60</v>
      </c>
      <c r="R978" s="6" t="s">
        <v>21</v>
      </c>
    </row>
    <row r="979" spans="1:18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 s="17"/>
      <c r="I979">
        <v>57</v>
      </c>
      <c r="J979" s="6">
        <v>43484</v>
      </c>
      <c r="K979" s="8">
        <v>101577</v>
      </c>
      <c r="L979" s="1">
        <v>0.05</v>
      </c>
      <c r="M979" s="8">
        <f>TBL_Employees[[#This Row],[Annual Salary]]*TBL_Employees[[#This Row],[Bonus %]]</f>
        <v>5078.8500000000004</v>
      </c>
      <c r="N979" s="8">
        <f>SUM(TBL_Employees[[#This Row],[Annual Salary]],TBL_Employees[[#This Row],[TOTAL BONUS]])</f>
        <v>106655.85</v>
      </c>
      <c r="O979" s="8">
        <f>TBL_Employees[[#This Row],[Annual Salary]]*TBL_Employees[[#This Row],[Bonus %]]/100+TBL_Employees[[#This Row],[Annual Salary]]</f>
        <v>101627.7885</v>
      </c>
      <c r="P979" t="s">
        <v>19</v>
      </c>
      <c r="Q979" t="s">
        <v>20</v>
      </c>
      <c r="R979" s="6" t="s">
        <v>21</v>
      </c>
    </row>
    <row r="980" spans="1:18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 s="17"/>
      <c r="I980">
        <v>44</v>
      </c>
      <c r="J980" s="6">
        <v>38642</v>
      </c>
      <c r="K980" s="8">
        <v>105223</v>
      </c>
      <c r="L980" s="1">
        <v>0.1</v>
      </c>
      <c r="M980" s="8">
        <f>TBL_Employees[[#This Row],[Annual Salary]]*TBL_Employees[[#This Row],[Bonus %]]</f>
        <v>10522.300000000001</v>
      </c>
      <c r="N980" s="8">
        <f>SUM(TBL_Employees[[#This Row],[Annual Salary]],TBL_Employees[[#This Row],[TOTAL BONUS]])</f>
        <v>115745.3</v>
      </c>
      <c r="O980" s="8">
        <f>TBL_Employees[[#This Row],[Annual Salary]]*TBL_Employees[[#This Row],[Bonus %]]/100+TBL_Employees[[#This Row],[Annual Salary]]</f>
        <v>105328.223</v>
      </c>
      <c r="P980" t="s">
        <v>19</v>
      </c>
      <c r="Q980" t="s">
        <v>39</v>
      </c>
      <c r="R980" s="6" t="s">
        <v>21</v>
      </c>
    </row>
    <row r="981" spans="1:18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 s="17"/>
      <c r="I981">
        <v>48</v>
      </c>
      <c r="J981" s="6">
        <v>39635</v>
      </c>
      <c r="K981" s="8">
        <v>94815</v>
      </c>
      <c r="L981" s="1">
        <v>0</v>
      </c>
      <c r="M981" s="8">
        <f>TBL_Employees[[#This Row],[Annual Salary]]*TBL_Employees[[#This Row],[Bonus %]]</f>
        <v>0</v>
      </c>
      <c r="N981" s="8">
        <f>SUM(TBL_Employees[[#This Row],[Annual Salary]],TBL_Employees[[#This Row],[TOTAL BONUS]])</f>
        <v>94815</v>
      </c>
      <c r="O981" s="8">
        <f>TBL_Employees[[#This Row],[Annual Salary]]*TBL_Employees[[#This Row],[Bonus %]]/100+TBL_Employees[[#This Row],[Annual Salary]]</f>
        <v>94815</v>
      </c>
      <c r="P981" t="s">
        <v>19</v>
      </c>
      <c r="Q981" t="s">
        <v>20</v>
      </c>
      <c r="R981" s="6" t="s">
        <v>21</v>
      </c>
    </row>
    <row r="982" spans="1:18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 s="17"/>
      <c r="I982">
        <v>25</v>
      </c>
      <c r="J982" s="6">
        <v>44545</v>
      </c>
      <c r="K982" s="8">
        <v>114893</v>
      </c>
      <c r="L982" s="1">
        <v>0.06</v>
      </c>
      <c r="M982" s="8">
        <f>TBL_Employees[[#This Row],[Annual Salary]]*TBL_Employees[[#This Row],[Bonus %]]</f>
        <v>6893.58</v>
      </c>
      <c r="N982" s="8">
        <f>SUM(TBL_Employees[[#This Row],[Annual Salary]],TBL_Employees[[#This Row],[TOTAL BONUS]])</f>
        <v>121786.58</v>
      </c>
      <c r="O982" s="8">
        <f>TBL_Employees[[#This Row],[Annual Salary]]*TBL_Employees[[#This Row],[Bonus %]]/100+TBL_Employees[[#This Row],[Annual Salary]]</f>
        <v>114961.93580000001</v>
      </c>
      <c r="P982" t="s">
        <v>33</v>
      </c>
      <c r="Q982" t="s">
        <v>34</v>
      </c>
      <c r="R982" s="6" t="s">
        <v>21</v>
      </c>
    </row>
    <row r="983" spans="1:18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 s="17"/>
      <c r="I983">
        <v>35</v>
      </c>
      <c r="J983" s="6">
        <v>42745</v>
      </c>
      <c r="K983" s="8">
        <v>80622</v>
      </c>
      <c r="L983" s="1">
        <v>0</v>
      </c>
      <c r="M983" s="8">
        <f>TBL_Employees[[#This Row],[Annual Salary]]*TBL_Employees[[#This Row],[Bonus %]]</f>
        <v>0</v>
      </c>
      <c r="N983" s="8">
        <f>SUM(TBL_Employees[[#This Row],[Annual Salary]],TBL_Employees[[#This Row],[TOTAL BONUS]])</f>
        <v>80622</v>
      </c>
      <c r="O983" s="8">
        <f>TBL_Employees[[#This Row],[Annual Salary]]*TBL_Employees[[#This Row],[Bonus %]]/100+TBL_Employees[[#This Row],[Annual Salary]]</f>
        <v>80622</v>
      </c>
      <c r="P983" t="s">
        <v>19</v>
      </c>
      <c r="Q983" t="s">
        <v>25</v>
      </c>
      <c r="R983" s="6" t="s">
        <v>21</v>
      </c>
    </row>
    <row r="984" spans="1:18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 s="17"/>
      <c r="I984">
        <v>57</v>
      </c>
      <c r="J984" s="6">
        <v>42685</v>
      </c>
      <c r="K984" s="8">
        <v>246589</v>
      </c>
      <c r="L984" s="1">
        <v>0.33</v>
      </c>
      <c r="M984" s="8">
        <f>TBL_Employees[[#This Row],[Annual Salary]]*TBL_Employees[[#This Row],[Bonus %]]</f>
        <v>81374.37000000001</v>
      </c>
      <c r="N984" s="8">
        <f>SUM(TBL_Employees[[#This Row],[Annual Salary]],TBL_Employees[[#This Row],[TOTAL BONUS]])</f>
        <v>327963.37</v>
      </c>
      <c r="O984" s="8">
        <f>TBL_Employees[[#This Row],[Annual Salary]]*TBL_Employees[[#This Row],[Bonus %]]/100+TBL_Employees[[#This Row],[Annual Salary]]</f>
        <v>247402.74369999999</v>
      </c>
      <c r="P984" t="s">
        <v>19</v>
      </c>
      <c r="Q984" t="s">
        <v>39</v>
      </c>
      <c r="R984" s="6">
        <v>42820</v>
      </c>
    </row>
    <row r="985" spans="1:18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 s="17"/>
      <c r="I985">
        <v>49</v>
      </c>
      <c r="J985" s="6">
        <v>43240</v>
      </c>
      <c r="K985" s="8">
        <v>119397</v>
      </c>
      <c r="L985" s="1">
        <v>0.09</v>
      </c>
      <c r="M985" s="8">
        <f>TBL_Employees[[#This Row],[Annual Salary]]*TBL_Employees[[#This Row],[Bonus %]]</f>
        <v>10745.73</v>
      </c>
      <c r="N985" s="8">
        <f>SUM(TBL_Employees[[#This Row],[Annual Salary]],TBL_Employees[[#This Row],[TOTAL BONUS]])</f>
        <v>130142.73</v>
      </c>
      <c r="O985" s="8">
        <f>TBL_Employees[[#This Row],[Annual Salary]]*TBL_Employees[[#This Row],[Bonus %]]/100+TBL_Employees[[#This Row],[Annual Salary]]</f>
        <v>119504.45729999999</v>
      </c>
      <c r="P985" t="s">
        <v>33</v>
      </c>
      <c r="Q985" t="s">
        <v>60</v>
      </c>
      <c r="R985" s="6">
        <v>43538</v>
      </c>
    </row>
    <row r="986" spans="1:18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 s="17"/>
      <c r="I986">
        <v>25</v>
      </c>
      <c r="J986" s="6">
        <v>44549</v>
      </c>
      <c r="K986" s="8">
        <v>150666</v>
      </c>
      <c r="L986" s="1">
        <v>0.23</v>
      </c>
      <c r="M986" s="8">
        <f>TBL_Employees[[#This Row],[Annual Salary]]*TBL_Employees[[#This Row],[Bonus %]]</f>
        <v>34653.18</v>
      </c>
      <c r="N986" s="8">
        <f>SUM(TBL_Employees[[#This Row],[Annual Salary]],TBL_Employees[[#This Row],[TOTAL BONUS]])</f>
        <v>185319.18</v>
      </c>
      <c r="O986" s="8">
        <f>TBL_Employees[[#This Row],[Annual Salary]]*TBL_Employees[[#This Row],[Bonus %]]/100+TBL_Employees[[#This Row],[Annual Salary]]</f>
        <v>151012.5318</v>
      </c>
      <c r="P986" t="s">
        <v>33</v>
      </c>
      <c r="Q986" t="s">
        <v>34</v>
      </c>
      <c r="R986" s="6" t="s">
        <v>21</v>
      </c>
    </row>
    <row r="987" spans="1:18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 s="17"/>
      <c r="I987">
        <v>46</v>
      </c>
      <c r="J987" s="6">
        <v>37265</v>
      </c>
      <c r="K987" s="8">
        <v>148035</v>
      </c>
      <c r="L987" s="1">
        <v>0.14000000000000001</v>
      </c>
      <c r="M987" s="8">
        <f>TBL_Employees[[#This Row],[Annual Salary]]*TBL_Employees[[#This Row],[Bonus %]]</f>
        <v>20724.900000000001</v>
      </c>
      <c r="N987" s="8">
        <f>SUM(TBL_Employees[[#This Row],[Annual Salary]],TBL_Employees[[#This Row],[TOTAL BONUS]])</f>
        <v>168759.9</v>
      </c>
      <c r="O987" s="8">
        <f>TBL_Employees[[#This Row],[Annual Salary]]*TBL_Employees[[#This Row],[Bonus %]]/100+TBL_Employees[[#This Row],[Annual Salary]]</f>
        <v>148242.24900000001</v>
      </c>
      <c r="P987" t="s">
        <v>19</v>
      </c>
      <c r="Q987" t="s">
        <v>39</v>
      </c>
      <c r="R987" s="6" t="s">
        <v>21</v>
      </c>
    </row>
    <row r="988" spans="1:18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 s="17"/>
      <c r="I988">
        <v>60</v>
      </c>
      <c r="J988" s="6">
        <v>42891</v>
      </c>
      <c r="K988" s="8">
        <v>158898</v>
      </c>
      <c r="L988" s="1">
        <v>0.18</v>
      </c>
      <c r="M988" s="8">
        <f>TBL_Employees[[#This Row],[Annual Salary]]*TBL_Employees[[#This Row],[Bonus %]]</f>
        <v>28601.64</v>
      </c>
      <c r="N988" s="8">
        <f>SUM(TBL_Employees[[#This Row],[Annual Salary]],TBL_Employees[[#This Row],[TOTAL BONUS]])</f>
        <v>187499.64</v>
      </c>
      <c r="O988" s="8">
        <f>TBL_Employees[[#This Row],[Annual Salary]]*TBL_Employees[[#This Row],[Bonus %]]/100+TBL_Employees[[#This Row],[Annual Salary]]</f>
        <v>159184.01639999999</v>
      </c>
      <c r="P988" t="s">
        <v>19</v>
      </c>
      <c r="Q988" t="s">
        <v>45</v>
      </c>
      <c r="R988" s="6" t="s">
        <v>21</v>
      </c>
    </row>
    <row r="989" spans="1:18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 s="17"/>
      <c r="I989">
        <v>45</v>
      </c>
      <c r="J989" s="6">
        <v>40967</v>
      </c>
      <c r="K989" s="8">
        <v>89659</v>
      </c>
      <c r="L989" s="1">
        <v>0</v>
      </c>
      <c r="M989" s="8">
        <f>TBL_Employees[[#This Row],[Annual Salary]]*TBL_Employees[[#This Row],[Bonus %]]</f>
        <v>0</v>
      </c>
      <c r="N989" s="8">
        <f>SUM(TBL_Employees[[#This Row],[Annual Salary]],TBL_Employees[[#This Row],[TOTAL BONUS]])</f>
        <v>89659</v>
      </c>
      <c r="O989" s="8">
        <f>TBL_Employees[[#This Row],[Annual Salary]]*TBL_Employees[[#This Row],[Bonus %]]/100+TBL_Employees[[#This Row],[Annual Salary]]</f>
        <v>89659</v>
      </c>
      <c r="P989" t="s">
        <v>33</v>
      </c>
      <c r="Q989" t="s">
        <v>60</v>
      </c>
      <c r="R989" s="6" t="s">
        <v>21</v>
      </c>
    </row>
    <row r="990" spans="1:18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 s="17"/>
      <c r="I990">
        <v>39</v>
      </c>
      <c r="J990" s="6">
        <v>39201</v>
      </c>
      <c r="K990" s="8">
        <v>171487</v>
      </c>
      <c r="L990" s="1">
        <v>0.23</v>
      </c>
      <c r="M990" s="8">
        <f>TBL_Employees[[#This Row],[Annual Salary]]*TBL_Employees[[#This Row],[Bonus %]]</f>
        <v>39442.01</v>
      </c>
      <c r="N990" s="8">
        <f>SUM(TBL_Employees[[#This Row],[Annual Salary]],TBL_Employees[[#This Row],[TOTAL BONUS]])</f>
        <v>210929.01</v>
      </c>
      <c r="O990" s="8">
        <f>TBL_Employees[[#This Row],[Annual Salary]]*TBL_Employees[[#This Row],[Bonus %]]/100+TBL_Employees[[#This Row],[Annual Salary]]</f>
        <v>171881.42009999999</v>
      </c>
      <c r="P990" t="s">
        <v>19</v>
      </c>
      <c r="Q990" t="s">
        <v>39</v>
      </c>
      <c r="R990" s="6" t="s">
        <v>21</v>
      </c>
    </row>
    <row r="991" spans="1:18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 s="17"/>
      <c r="I991">
        <v>43</v>
      </c>
      <c r="J991" s="6">
        <v>42603</v>
      </c>
      <c r="K991" s="8">
        <v>258498</v>
      </c>
      <c r="L991" s="1">
        <v>0.35</v>
      </c>
      <c r="M991" s="8">
        <f>TBL_Employees[[#This Row],[Annual Salary]]*TBL_Employees[[#This Row],[Bonus %]]</f>
        <v>90474.299999999988</v>
      </c>
      <c r="N991" s="8">
        <f>SUM(TBL_Employees[[#This Row],[Annual Salary]],TBL_Employees[[#This Row],[TOTAL BONUS]])</f>
        <v>348972.3</v>
      </c>
      <c r="O991" s="8">
        <f>TBL_Employees[[#This Row],[Annual Salary]]*TBL_Employees[[#This Row],[Bonus %]]/100+TBL_Employees[[#This Row],[Annual Salary]]</f>
        <v>259402.74299999999</v>
      </c>
      <c r="P991" t="s">
        <v>19</v>
      </c>
      <c r="Q991" t="s">
        <v>29</v>
      </c>
      <c r="R991" s="6" t="s">
        <v>21</v>
      </c>
    </row>
    <row r="992" spans="1:18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 s="17"/>
      <c r="I992">
        <v>37</v>
      </c>
      <c r="J992" s="6">
        <v>40511</v>
      </c>
      <c r="K992" s="8">
        <v>146961</v>
      </c>
      <c r="L992" s="1">
        <v>0.11</v>
      </c>
      <c r="M992" s="8">
        <f>TBL_Employees[[#This Row],[Annual Salary]]*TBL_Employees[[#This Row],[Bonus %]]</f>
        <v>16165.710000000001</v>
      </c>
      <c r="N992" s="8">
        <f>SUM(TBL_Employees[[#This Row],[Annual Salary]],TBL_Employees[[#This Row],[TOTAL BONUS]])</f>
        <v>163126.71</v>
      </c>
      <c r="O992" s="8">
        <f>TBL_Employees[[#This Row],[Annual Salary]]*TBL_Employees[[#This Row],[Bonus %]]/100+TBL_Employees[[#This Row],[Annual Salary]]</f>
        <v>147122.65710000001</v>
      </c>
      <c r="P992" t="s">
        <v>19</v>
      </c>
      <c r="Q992" t="s">
        <v>29</v>
      </c>
      <c r="R992" s="6" t="s">
        <v>21</v>
      </c>
    </row>
    <row r="993" spans="1:18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 s="17"/>
      <c r="I993">
        <v>48</v>
      </c>
      <c r="J993" s="6">
        <v>35907</v>
      </c>
      <c r="K993" s="8">
        <v>85369</v>
      </c>
      <c r="L993" s="1">
        <v>0</v>
      </c>
      <c r="M993" s="8">
        <f>TBL_Employees[[#This Row],[Annual Salary]]*TBL_Employees[[#This Row],[Bonus %]]</f>
        <v>0</v>
      </c>
      <c r="N993" s="8">
        <f>SUM(TBL_Employees[[#This Row],[Annual Salary]],TBL_Employees[[#This Row],[TOTAL BONUS]])</f>
        <v>85369</v>
      </c>
      <c r="O993" s="8">
        <f>TBL_Employees[[#This Row],[Annual Salary]]*TBL_Employees[[#This Row],[Bonus %]]/100+TBL_Employees[[#This Row],[Annual Salary]]</f>
        <v>85369</v>
      </c>
      <c r="P993" t="s">
        <v>52</v>
      </c>
      <c r="Q993" t="s">
        <v>81</v>
      </c>
      <c r="R993" s="6">
        <v>38318</v>
      </c>
    </row>
    <row r="994" spans="1:18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 s="17"/>
      <c r="I994">
        <v>30</v>
      </c>
      <c r="J994" s="6">
        <v>42169</v>
      </c>
      <c r="K994" s="8">
        <v>67489</v>
      </c>
      <c r="L994" s="1">
        <v>0</v>
      </c>
      <c r="M994" s="8">
        <f>TBL_Employees[[#This Row],[Annual Salary]]*TBL_Employees[[#This Row],[Bonus %]]</f>
        <v>0</v>
      </c>
      <c r="N994" s="8">
        <f>SUM(TBL_Employees[[#This Row],[Annual Salary]],TBL_Employees[[#This Row],[TOTAL BONUS]])</f>
        <v>67489</v>
      </c>
      <c r="O994" s="8">
        <f>TBL_Employees[[#This Row],[Annual Salary]]*TBL_Employees[[#This Row],[Bonus %]]/100+TBL_Employees[[#This Row],[Annual Salary]]</f>
        <v>67489</v>
      </c>
      <c r="P994" t="s">
        <v>19</v>
      </c>
      <c r="Q994" t="s">
        <v>20</v>
      </c>
      <c r="R994" s="6" t="s">
        <v>21</v>
      </c>
    </row>
    <row r="995" spans="1:18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 s="17"/>
      <c r="I995">
        <v>46</v>
      </c>
      <c r="J995" s="6">
        <v>43379</v>
      </c>
      <c r="K995" s="8">
        <v>166259</v>
      </c>
      <c r="L995" s="1">
        <v>0.17</v>
      </c>
      <c r="M995" s="8">
        <f>TBL_Employees[[#This Row],[Annual Salary]]*TBL_Employees[[#This Row],[Bonus %]]</f>
        <v>28264.030000000002</v>
      </c>
      <c r="N995" s="8">
        <f>SUM(TBL_Employees[[#This Row],[Annual Salary]],TBL_Employees[[#This Row],[TOTAL BONUS]])</f>
        <v>194523.03</v>
      </c>
      <c r="O995" s="8">
        <f>TBL_Employees[[#This Row],[Annual Salary]]*TBL_Employees[[#This Row],[Bonus %]]/100+TBL_Employees[[#This Row],[Annual Salary]]</f>
        <v>166541.6403</v>
      </c>
      <c r="P995" t="s">
        <v>19</v>
      </c>
      <c r="Q995" t="s">
        <v>20</v>
      </c>
      <c r="R995" s="6" t="s">
        <v>21</v>
      </c>
    </row>
    <row r="996" spans="1:18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 s="17"/>
      <c r="I996">
        <v>55</v>
      </c>
      <c r="J996" s="6">
        <v>39820</v>
      </c>
      <c r="K996" s="8">
        <v>47032</v>
      </c>
      <c r="L996" s="1">
        <v>0</v>
      </c>
      <c r="M996" s="8">
        <f>TBL_Employees[[#This Row],[Annual Salary]]*TBL_Employees[[#This Row],[Bonus %]]</f>
        <v>0</v>
      </c>
      <c r="N996" s="8">
        <f>SUM(TBL_Employees[[#This Row],[Annual Salary]],TBL_Employees[[#This Row],[TOTAL BONUS]])</f>
        <v>47032</v>
      </c>
      <c r="O996" s="8">
        <f>TBL_Employees[[#This Row],[Annual Salary]]*TBL_Employees[[#This Row],[Bonus %]]/100+TBL_Employees[[#This Row],[Annual Salary]]</f>
        <v>47032</v>
      </c>
      <c r="P996" t="s">
        <v>19</v>
      </c>
      <c r="Q996" t="s">
        <v>29</v>
      </c>
      <c r="R996" s="6" t="s">
        <v>21</v>
      </c>
    </row>
    <row r="997" spans="1:18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 s="17"/>
      <c r="I997">
        <v>33</v>
      </c>
      <c r="J997" s="6">
        <v>42631</v>
      </c>
      <c r="K997" s="8">
        <v>98427</v>
      </c>
      <c r="L997" s="1">
        <v>0</v>
      </c>
      <c r="M997" s="8">
        <f>TBL_Employees[[#This Row],[Annual Salary]]*TBL_Employees[[#This Row],[Bonus %]]</f>
        <v>0</v>
      </c>
      <c r="N997" s="8">
        <f>SUM(TBL_Employees[[#This Row],[Annual Salary]],TBL_Employees[[#This Row],[TOTAL BONUS]])</f>
        <v>98427</v>
      </c>
      <c r="O997" s="8">
        <f>TBL_Employees[[#This Row],[Annual Salary]]*TBL_Employees[[#This Row],[Bonus %]]/100+TBL_Employees[[#This Row],[Annual Salary]]</f>
        <v>98427</v>
      </c>
      <c r="P997" t="s">
        <v>19</v>
      </c>
      <c r="Q997" t="s">
        <v>29</v>
      </c>
      <c r="R997" s="6" t="s">
        <v>21</v>
      </c>
    </row>
    <row r="998" spans="1:18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 s="17"/>
      <c r="I998">
        <v>44</v>
      </c>
      <c r="J998" s="6">
        <v>40329</v>
      </c>
      <c r="K998" s="8">
        <v>47387</v>
      </c>
      <c r="L998" s="1">
        <v>0</v>
      </c>
      <c r="M998" s="8">
        <f>TBL_Employees[[#This Row],[Annual Salary]]*TBL_Employees[[#This Row],[Bonus %]]</f>
        <v>0</v>
      </c>
      <c r="N998" s="8">
        <f>SUM(TBL_Employees[[#This Row],[Annual Salary]],TBL_Employees[[#This Row],[TOTAL BONUS]])</f>
        <v>47387</v>
      </c>
      <c r="O998" s="8">
        <f>TBL_Employees[[#This Row],[Annual Salary]]*TBL_Employees[[#This Row],[Bonus %]]/100+TBL_Employees[[#This Row],[Annual Salary]]</f>
        <v>47387</v>
      </c>
      <c r="P998" t="s">
        <v>33</v>
      </c>
      <c r="Q998" t="s">
        <v>34</v>
      </c>
      <c r="R998" s="6">
        <v>43108</v>
      </c>
    </row>
    <row r="999" spans="1:18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 s="17"/>
      <c r="I999">
        <v>31</v>
      </c>
      <c r="J999" s="6">
        <v>43626</v>
      </c>
      <c r="K999" s="8">
        <v>176710</v>
      </c>
      <c r="L999" s="1">
        <v>0.15</v>
      </c>
      <c r="M999" s="8">
        <f>TBL_Employees[[#This Row],[Annual Salary]]*TBL_Employees[[#This Row],[Bonus %]]</f>
        <v>26506.5</v>
      </c>
      <c r="N999" s="8">
        <f>SUM(TBL_Employees[[#This Row],[Annual Salary]],TBL_Employees[[#This Row],[TOTAL BONUS]])</f>
        <v>203216.5</v>
      </c>
      <c r="O999" s="8">
        <f>TBL_Employees[[#This Row],[Annual Salary]]*TBL_Employees[[#This Row],[Bonus %]]/100+TBL_Employees[[#This Row],[Annual Salary]]</f>
        <v>176975.065</v>
      </c>
      <c r="P999" t="s">
        <v>19</v>
      </c>
      <c r="Q999" t="s">
        <v>45</v>
      </c>
      <c r="R999" s="6" t="s">
        <v>21</v>
      </c>
    </row>
    <row r="1000" spans="1:18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 s="17"/>
      <c r="I1000">
        <v>33</v>
      </c>
      <c r="J1000" s="6">
        <v>40936</v>
      </c>
      <c r="K1000" s="8">
        <v>95960</v>
      </c>
      <c r="L1000" s="1">
        <v>0</v>
      </c>
      <c r="M1000" s="8">
        <f>TBL_Employees[[#This Row],[Annual Salary]]*TBL_Employees[[#This Row],[Bonus %]]</f>
        <v>0</v>
      </c>
      <c r="N1000" s="8">
        <f>SUM(TBL_Employees[[#This Row],[Annual Salary]],TBL_Employees[[#This Row],[TOTAL BONUS]])</f>
        <v>95960</v>
      </c>
      <c r="O1000" s="8">
        <f>TBL_Employees[[#This Row],[Annual Salary]]*TBL_Employees[[#This Row],[Bonus %]]/100+TBL_Employees[[#This Row],[Annual Salary]]</f>
        <v>95960</v>
      </c>
      <c r="P1000" t="s">
        <v>33</v>
      </c>
      <c r="Q1000" t="s">
        <v>34</v>
      </c>
      <c r="R1000" s="6" t="s">
        <v>21</v>
      </c>
    </row>
    <row r="1001" spans="1:18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 s="17"/>
      <c r="I1001">
        <v>63</v>
      </c>
      <c r="J1001" s="6">
        <v>44038</v>
      </c>
      <c r="K1001" s="8">
        <v>216195</v>
      </c>
      <c r="L1001" s="1">
        <v>0.31</v>
      </c>
      <c r="M1001" s="8">
        <f>TBL_Employees[[#This Row],[Annual Salary]]*TBL_Employees[[#This Row],[Bonus %]]</f>
        <v>67020.45</v>
      </c>
      <c r="N1001" s="8">
        <f>SUM(TBL_Employees[[#This Row],[Annual Salary]],TBL_Employees[[#This Row],[TOTAL BONUS]])</f>
        <v>283215.45</v>
      </c>
      <c r="O1001" s="8">
        <f>TBL_Employees[[#This Row],[Annual Salary]]*TBL_Employees[[#This Row],[Bonus %]]/100+TBL_Employees[[#This Row],[Annual Salary]]</f>
        <v>216865.20449999999</v>
      </c>
      <c r="P1001" t="s">
        <v>19</v>
      </c>
      <c r="Q1001" t="s">
        <v>45</v>
      </c>
      <c r="R1001" s="6" t="s">
        <v>21</v>
      </c>
    </row>
    <row r="1002" spans="1:18">
      <c r="A1002" s="18"/>
      <c r="B1002" s="18"/>
      <c r="C1002" s="18"/>
      <c r="D1002" s="18"/>
      <c r="E1002" s="18"/>
      <c r="F1002" s="18"/>
      <c r="G1002" s="18"/>
      <c r="H1002" s="22"/>
      <c r="I1002" s="18"/>
      <c r="J1002" s="19"/>
      <c r="K1002" s="20"/>
      <c r="L1002" s="21"/>
      <c r="M1002" s="20">
        <f>TBL_Employees[[#This Row],[Annual Salary]]*TBL_Employees[[#This Row],[Bonus %]]</f>
        <v>0</v>
      </c>
      <c r="N1002" s="20">
        <f>SUM(TBL_Employees[[#This Row],[Annual Salary]],TBL_Employees[[#This Row],[TOTAL BONUS]])</f>
        <v>0</v>
      </c>
      <c r="O1002" s="20">
        <f>TBL_Employees[[#This Row],[Annual Salary]]*TBL_Employees[[#This Row],[Bonus %]]/100+TBL_Employees[[#This Row],[Annual Salary]]</f>
        <v>0</v>
      </c>
      <c r="P1002" s="18"/>
      <c r="Q1002" s="18"/>
      <c r="R1002" s="19"/>
    </row>
  </sheetData>
  <mergeCells count="1">
    <mergeCell ref="U1:W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F24"/>
  <sheetViews>
    <sheetView workbookViewId="0">
      <selection activeCell="AN17" sqref="AN17"/>
    </sheetView>
  </sheetViews>
  <sheetFormatPr defaultRowHeight="14.4"/>
  <cols>
    <col min="4" max="4" width="14.21875" customWidth="1"/>
    <col min="5" max="5" width="10.21875" customWidth="1"/>
  </cols>
  <sheetData>
    <row r="2" spans="1:6">
      <c r="A2">
        <v>10</v>
      </c>
      <c r="E2" t="s">
        <v>2028</v>
      </c>
      <c r="F2" t="s">
        <v>2029</v>
      </c>
    </row>
    <row r="3" spans="1:6">
      <c r="A3">
        <v>12</v>
      </c>
      <c r="D3" t="s">
        <v>2026</v>
      </c>
      <c r="E3" t="s">
        <v>2027</v>
      </c>
    </row>
    <row r="4" spans="1:6">
      <c r="A4">
        <v>34</v>
      </c>
      <c r="D4">
        <v>0</v>
      </c>
      <c r="E4" t="e">
        <f>_xlfn.PERCENTILE.EXC(A:A,D4)</f>
        <v>#NUM!</v>
      </c>
      <c r="F4">
        <f>_xlfn.PERCENTILE.INC(A:A,D4/100)</f>
        <v>10</v>
      </c>
    </row>
    <row r="5" spans="1:6">
      <c r="A5">
        <v>45</v>
      </c>
      <c r="D5">
        <v>5</v>
      </c>
      <c r="E5">
        <f>_xlfn.PERCENTILE.EXC(A:A,0.05)</f>
        <v>10.199999999999999</v>
      </c>
      <c r="F5">
        <f t="shared" ref="F5:F24" si="0">_xlfn.PERCENTILE.INC(A:A,D5/100)</f>
        <v>12</v>
      </c>
    </row>
    <row r="6" spans="1:6">
      <c r="A6">
        <v>56</v>
      </c>
      <c r="D6">
        <v>10</v>
      </c>
      <c r="E6">
        <f>_xlfn.PERCENTILE.EXC(A:A,D6/100)</f>
        <v>16.400000000000006</v>
      </c>
      <c r="F6">
        <f t="shared" si="0"/>
        <v>34</v>
      </c>
    </row>
    <row r="7" spans="1:6">
      <c r="A7">
        <v>67</v>
      </c>
      <c r="D7">
        <v>15</v>
      </c>
      <c r="E7">
        <f t="shared" ref="E7:E24" si="1">_xlfn.PERCENTILE.EXC(A:A,D7/100)</f>
        <v>34</v>
      </c>
      <c r="F7">
        <f t="shared" si="0"/>
        <v>34</v>
      </c>
    </row>
    <row r="8" spans="1:6">
      <c r="A8">
        <v>45</v>
      </c>
      <c r="D8">
        <v>20</v>
      </c>
      <c r="E8">
        <f t="shared" si="1"/>
        <v>37.6</v>
      </c>
      <c r="F8">
        <f t="shared" si="0"/>
        <v>43</v>
      </c>
    </row>
    <row r="9" spans="1:6">
      <c r="A9">
        <v>576</v>
      </c>
      <c r="D9">
        <v>25</v>
      </c>
      <c r="E9">
        <f t="shared" si="1"/>
        <v>44</v>
      </c>
      <c r="F9">
        <f t="shared" si="0"/>
        <v>45</v>
      </c>
    </row>
    <row r="10" spans="1:6">
      <c r="A10">
        <v>65</v>
      </c>
      <c r="D10">
        <v>30</v>
      </c>
      <c r="E10">
        <f t="shared" si="1"/>
        <v>45</v>
      </c>
      <c r="F10">
        <f t="shared" si="0"/>
        <v>45</v>
      </c>
    </row>
    <row r="11" spans="1:6">
      <c r="A11">
        <v>43</v>
      </c>
      <c r="D11">
        <v>35</v>
      </c>
      <c r="E11">
        <f t="shared" si="1"/>
        <v>45</v>
      </c>
      <c r="F11">
        <f t="shared" si="0"/>
        <v>45</v>
      </c>
    </row>
    <row r="12" spans="1:6">
      <c r="A12">
        <v>76</v>
      </c>
      <c r="D12">
        <v>40</v>
      </c>
      <c r="E12">
        <f t="shared" si="1"/>
        <v>48.2</v>
      </c>
      <c r="F12">
        <f t="shared" si="0"/>
        <v>49</v>
      </c>
    </row>
    <row r="13" spans="1:6">
      <c r="A13">
        <v>89</v>
      </c>
      <c r="D13">
        <v>45</v>
      </c>
      <c r="E13">
        <f t="shared" si="1"/>
        <v>55.300000000000004</v>
      </c>
      <c r="F13">
        <f t="shared" si="0"/>
        <v>56</v>
      </c>
    </row>
    <row r="14" spans="1:6">
      <c r="A14">
        <v>94</v>
      </c>
      <c r="D14">
        <v>50</v>
      </c>
      <c r="E14">
        <f t="shared" si="1"/>
        <v>65</v>
      </c>
      <c r="F14">
        <f t="shared" si="0"/>
        <v>65</v>
      </c>
    </row>
    <row r="15" spans="1:6">
      <c r="A15">
        <v>49</v>
      </c>
      <c r="D15">
        <v>55</v>
      </c>
      <c r="E15">
        <f t="shared" si="1"/>
        <v>67.900000000000006</v>
      </c>
      <c r="F15">
        <f t="shared" si="0"/>
        <v>67</v>
      </c>
    </row>
    <row r="16" spans="1:6">
      <c r="A16">
        <v>302</v>
      </c>
      <c r="D16">
        <v>60</v>
      </c>
      <c r="E16">
        <f t="shared" si="1"/>
        <v>76.400000000000006</v>
      </c>
      <c r="F16">
        <f t="shared" si="0"/>
        <v>76</v>
      </c>
    </row>
    <row r="17" spans="1:6">
      <c r="A17">
        <v>34</v>
      </c>
      <c r="D17">
        <v>65</v>
      </c>
      <c r="E17">
        <f t="shared" si="1"/>
        <v>79.800000000000011</v>
      </c>
      <c r="F17">
        <f t="shared" si="0"/>
        <v>78</v>
      </c>
    </row>
    <row r="18" spans="1:6">
      <c r="A18">
        <v>45</v>
      </c>
      <c r="D18">
        <v>70</v>
      </c>
      <c r="E18">
        <f t="shared" si="1"/>
        <v>86</v>
      </c>
      <c r="F18">
        <f t="shared" si="0"/>
        <v>84</v>
      </c>
    </row>
    <row r="19" spans="1:6">
      <c r="A19">
        <v>95</v>
      </c>
      <c r="D19">
        <v>75</v>
      </c>
      <c r="E19">
        <f t="shared" si="1"/>
        <v>91.5</v>
      </c>
      <c r="F19">
        <f t="shared" si="0"/>
        <v>89</v>
      </c>
    </row>
    <row r="20" spans="1:6">
      <c r="A20">
        <v>78</v>
      </c>
      <c r="D20">
        <v>80</v>
      </c>
      <c r="E20">
        <f t="shared" si="1"/>
        <v>94</v>
      </c>
      <c r="F20">
        <f t="shared" si="0"/>
        <v>94</v>
      </c>
    </row>
    <row r="21" spans="1:6">
      <c r="A21">
        <v>84</v>
      </c>
      <c r="D21">
        <v>85</v>
      </c>
      <c r="E21">
        <f t="shared" si="1"/>
        <v>94.7</v>
      </c>
      <c r="F21">
        <f t="shared" si="0"/>
        <v>94</v>
      </c>
    </row>
    <row r="22" spans="1:6">
      <c r="A22">
        <v>94</v>
      </c>
      <c r="D22">
        <v>90</v>
      </c>
      <c r="E22">
        <f t="shared" si="1"/>
        <v>260.60000000000014</v>
      </c>
      <c r="F22">
        <f t="shared" si="0"/>
        <v>95</v>
      </c>
    </row>
    <row r="23" spans="1:6">
      <c r="D23">
        <v>95</v>
      </c>
      <c r="E23">
        <f t="shared" si="1"/>
        <v>548.59999999999968</v>
      </c>
      <c r="F23">
        <f t="shared" si="0"/>
        <v>302</v>
      </c>
    </row>
    <row r="24" spans="1:6">
      <c r="D24">
        <v>100</v>
      </c>
      <c r="E24" t="e">
        <f t="shared" si="1"/>
        <v>#NUM!</v>
      </c>
      <c r="F24">
        <f t="shared" si="0"/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selection activeCell="I12" sqref="I12"/>
    </sheetView>
  </sheetViews>
  <sheetFormatPr defaultRowHeight="14.4"/>
  <cols>
    <col min="1" max="1" width="94" bestFit="1" customWidth="1"/>
  </cols>
  <sheetData>
    <row r="1" spans="1:3">
      <c r="A1" t="s">
        <v>1983</v>
      </c>
      <c r="B1">
        <v>98</v>
      </c>
    </row>
    <row r="2" spans="1:3">
      <c r="A2" t="s">
        <v>1984</v>
      </c>
      <c r="B2">
        <v>110</v>
      </c>
    </row>
    <row r="3" spans="1:3">
      <c r="A3" t="s">
        <v>1985</v>
      </c>
      <c r="B3" s="8"/>
      <c r="C3">
        <f ca="1">COUNTIF(Questions!C:C,"manager")</f>
        <v>0</v>
      </c>
    </row>
    <row r="4" spans="1:3">
      <c r="A4" t="s">
        <v>1986</v>
      </c>
    </row>
    <row r="5" spans="1:3">
      <c r="A5" t="s">
        <v>1987</v>
      </c>
      <c r="C5">
        <f>SUM(Questions!H:H)</f>
        <v>0</v>
      </c>
    </row>
    <row r="6" spans="1:3">
      <c r="A6" t="s">
        <v>1988</v>
      </c>
    </row>
    <row r="7" spans="1:3">
      <c r="A7" t="s">
        <v>1989</v>
      </c>
    </row>
    <row r="8" spans="1:3">
      <c r="A8" t="s">
        <v>1990</v>
      </c>
      <c r="B8">
        <f>SUM(Questions!AJ4:AJ23)</f>
        <v>0</v>
      </c>
    </row>
    <row r="9" spans="1:3">
      <c r="A9" t="s">
        <v>1991</v>
      </c>
    </row>
    <row r="10" spans="1:3">
      <c r="A10" t="s">
        <v>1992</v>
      </c>
    </row>
    <row r="11" spans="1:3">
      <c r="A11" t="s">
        <v>1993</v>
      </c>
    </row>
    <row r="12" spans="1:3">
      <c r="A12" t="s">
        <v>1994</v>
      </c>
    </row>
    <row r="13" spans="1:3">
      <c r="A13" t="s">
        <v>1995</v>
      </c>
    </row>
    <row r="14" spans="1:3">
      <c r="A14" t="s">
        <v>1996</v>
      </c>
    </row>
    <row r="15" spans="1:3">
      <c r="A15" t="s">
        <v>1997</v>
      </c>
      <c r="B15">
        <f>SUM(Questions!AJ5:AJ14)</f>
        <v>0</v>
      </c>
    </row>
    <row r="16" spans="1:3">
      <c r="A16" t="s">
        <v>1998</v>
      </c>
    </row>
    <row r="17" spans="1:1">
      <c r="A17" t="s">
        <v>1999</v>
      </c>
    </row>
    <row r="18" spans="1:1">
      <c r="A18" t="s">
        <v>2000</v>
      </c>
    </row>
    <row r="19" spans="1:1">
      <c r="A19" t="s">
        <v>2001</v>
      </c>
    </row>
    <row r="20" spans="1:1">
      <c r="A20" t="s">
        <v>2002</v>
      </c>
    </row>
    <row r="21" spans="1:1">
      <c r="A21" t="s">
        <v>2003</v>
      </c>
    </row>
    <row r="22" spans="1:1">
      <c r="A22" t="s">
        <v>2004</v>
      </c>
    </row>
    <row r="23" spans="1:1">
      <c r="A23" t="s">
        <v>2005</v>
      </c>
    </row>
    <row r="24" spans="1:1">
      <c r="A24" t="s">
        <v>2006</v>
      </c>
    </row>
    <row r="25" spans="1:1">
      <c r="A25" t="s">
        <v>2007</v>
      </c>
    </row>
    <row r="26" spans="1:1">
      <c r="A26" t="s">
        <v>2008</v>
      </c>
    </row>
    <row r="27" spans="1:1">
      <c r="A27" t="s">
        <v>2009</v>
      </c>
    </row>
    <row r="28" spans="1:1">
      <c r="A28" t="s">
        <v>2010</v>
      </c>
    </row>
    <row r="29" spans="1:1">
      <c r="A29" t="s">
        <v>2011</v>
      </c>
    </row>
    <row r="30" spans="1:1">
      <c r="A30" t="s">
        <v>2012</v>
      </c>
    </row>
    <row r="31" spans="1:1">
      <c r="A31" t="s">
        <v>2013</v>
      </c>
    </row>
    <row r="32" spans="1:1">
      <c r="A32" t="s">
        <v>2014</v>
      </c>
    </row>
    <row r="33" spans="1:1">
      <c r="A33" t="s">
        <v>2015</v>
      </c>
    </row>
    <row r="34" spans="1:1">
      <c r="A34" t="s">
        <v>2016</v>
      </c>
    </row>
    <row r="35" spans="1:1">
      <c r="A35" t="s">
        <v>2017</v>
      </c>
    </row>
    <row r="36" spans="1:1">
      <c r="A36" t="s">
        <v>2018</v>
      </c>
    </row>
    <row r="37" spans="1:1">
      <c r="A37" t="s">
        <v>2019</v>
      </c>
    </row>
    <row r="38" spans="1:1">
      <c r="A38" t="s">
        <v>2020</v>
      </c>
    </row>
    <row r="39" spans="1:1">
      <c r="A39" t="s">
        <v>2021</v>
      </c>
    </row>
    <row r="40" spans="1:1">
      <c r="A40" t="s">
        <v>2022</v>
      </c>
    </row>
    <row r="41" spans="1:1">
      <c r="A41" t="s">
        <v>2023</v>
      </c>
    </row>
    <row r="42" spans="1:1">
      <c r="A42" t="s">
        <v>2024</v>
      </c>
    </row>
    <row r="43" spans="1:1">
      <c r="A43" t="s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71"/>
  <sheetViews>
    <sheetView topLeftCell="A49" workbookViewId="0">
      <selection activeCell="AN63" sqref="AN63"/>
    </sheetView>
  </sheetViews>
  <sheetFormatPr defaultRowHeight="14.4"/>
  <cols>
    <col min="3" max="3" width="13" customWidth="1"/>
    <col min="6" max="6" width="17.44140625" customWidth="1"/>
    <col min="7" max="7" width="12.21875" customWidth="1"/>
    <col min="8" max="8" width="16.6640625" customWidth="1"/>
    <col min="13" max="13" width="12.44140625" customWidth="1"/>
    <col min="19" max="19" width="10.33203125" bestFit="1" customWidth="1"/>
    <col min="42" max="42" width="12.44140625" customWidth="1"/>
  </cols>
  <sheetData>
    <row r="1" spans="1:53" s="46" customFormat="1" ht="36.6">
      <c r="A1" s="53" t="s">
        <v>2077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53" s="27" customFormat="1">
      <c r="G2" s="27" t="s">
        <v>2075</v>
      </c>
      <c r="K2" s="27" t="s">
        <v>2070</v>
      </c>
      <c r="O2" s="27" t="s">
        <v>2080</v>
      </c>
      <c r="S2" s="27" t="s">
        <v>2083</v>
      </c>
      <c r="V2" s="27" t="s">
        <v>2091</v>
      </c>
      <c r="Z2" s="27" t="s">
        <v>2093</v>
      </c>
      <c r="AD2" s="27" t="s">
        <v>2096</v>
      </c>
      <c r="AG2" s="27" t="s">
        <v>2098</v>
      </c>
      <c r="AJ2" s="27" t="s">
        <v>2115</v>
      </c>
      <c r="AO2" s="27" t="s">
        <v>2116</v>
      </c>
    </row>
    <row r="3" spans="1:53">
      <c r="G3" t="s">
        <v>2071</v>
      </c>
      <c r="H3" t="s">
        <v>2073</v>
      </c>
      <c r="I3">
        <f>AVERAGE(G4:G12)</f>
        <v>5</v>
      </c>
      <c r="K3" t="s">
        <v>2071</v>
      </c>
      <c r="L3" t="s">
        <v>2076</v>
      </c>
      <c r="O3" t="s">
        <v>2071</v>
      </c>
      <c r="S3" t="s">
        <v>2087</v>
      </c>
      <c r="T3">
        <f>T4/2</f>
        <v>22.5</v>
      </c>
      <c r="V3" t="s">
        <v>2092</v>
      </c>
      <c r="Z3" t="s">
        <v>2094</v>
      </c>
      <c r="AD3" t="s">
        <v>2097</v>
      </c>
      <c r="AG3" t="s">
        <v>2071</v>
      </c>
      <c r="AJ3" t="s">
        <v>2062</v>
      </c>
      <c r="AM3">
        <v>1</v>
      </c>
      <c r="AO3" t="s">
        <v>2071</v>
      </c>
      <c r="AP3" s="46" t="s">
        <v>2117</v>
      </c>
      <c r="AQ3" s="46"/>
      <c r="BA3">
        <v>1</v>
      </c>
    </row>
    <row r="4" spans="1:53">
      <c r="G4" s="25">
        <v>2</v>
      </c>
      <c r="H4" t="s">
        <v>2064</v>
      </c>
      <c r="I4">
        <f>VARP(G4:G12)</f>
        <v>3.3333333333333335</v>
      </c>
      <c r="K4">
        <v>0</v>
      </c>
      <c r="L4" t="s">
        <v>2077</v>
      </c>
      <c r="O4">
        <v>12</v>
      </c>
      <c r="P4" t="s">
        <v>2081</v>
      </c>
      <c r="Q4">
        <f>QUARTILE(O4:O10,1)</f>
        <v>12</v>
      </c>
      <c r="S4" t="s">
        <v>2085</v>
      </c>
      <c r="T4">
        <v>45</v>
      </c>
      <c r="V4">
        <v>17</v>
      </c>
      <c r="W4" t="s">
        <v>2081</v>
      </c>
      <c r="X4">
        <f>QUARTILE(V4:V11,1)</f>
        <v>21.5</v>
      </c>
      <c r="Z4">
        <v>4.5</v>
      </c>
      <c r="AA4" t="s">
        <v>2095</v>
      </c>
      <c r="AB4">
        <f>QUARTILE(Z4:Z9,4)</f>
        <v>9.6999999999999993</v>
      </c>
      <c r="AD4">
        <v>2</v>
      </c>
      <c r="AG4">
        <v>2</v>
      </c>
      <c r="AH4">
        <f>QUARTILE(AG4:AG11,1)</f>
        <v>1.75</v>
      </c>
      <c r="AO4">
        <v>2</v>
      </c>
      <c r="AP4" s="29"/>
    </row>
    <row r="5" spans="1:53">
      <c r="G5" s="25">
        <v>5</v>
      </c>
      <c r="H5" t="s">
        <v>2065</v>
      </c>
      <c r="I5">
        <f>SQRT(I4)</f>
        <v>1.8257418583505538</v>
      </c>
      <c r="K5">
        <v>1</v>
      </c>
      <c r="L5" t="s">
        <v>2078</v>
      </c>
      <c r="M5">
        <f>QUARTILE(K4:K14,1)</f>
        <v>1.5</v>
      </c>
      <c r="O5">
        <v>23</v>
      </c>
      <c r="P5" t="s">
        <v>2082</v>
      </c>
      <c r="Q5">
        <f>QUARTILE(O4:O10,3)</f>
        <v>28.5</v>
      </c>
      <c r="S5" t="s">
        <v>2077</v>
      </c>
      <c r="T5">
        <v>35</v>
      </c>
      <c r="V5">
        <v>20</v>
      </c>
      <c r="W5" t="s">
        <v>2082</v>
      </c>
      <c r="X5">
        <f>QUARTILE(V4:V11,3)</f>
        <v>25.5</v>
      </c>
      <c r="Z5">
        <v>6</v>
      </c>
      <c r="AD5">
        <v>3</v>
      </c>
      <c r="AG5">
        <v>1</v>
      </c>
      <c r="AH5">
        <f>QUARTILE(AG4:AG11,4)</f>
        <v>9</v>
      </c>
      <c r="AO5">
        <v>4</v>
      </c>
      <c r="AP5" s="29" t="s">
        <v>2118</v>
      </c>
      <c r="AQ5">
        <f>QUARTILE(AO4:AO12,0)</f>
        <v>2</v>
      </c>
      <c r="AS5">
        <f>MIN(AO4:AO12)</f>
        <v>2</v>
      </c>
    </row>
    <row r="6" spans="1:53">
      <c r="G6" s="25">
        <v>4</v>
      </c>
      <c r="H6" t="s">
        <v>2072</v>
      </c>
      <c r="I6" s="24">
        <f>I5/I3</f>
        <v>0.36514837167011077</v>
      </c>
      <c r="K6">
        <v>1</v>
      </c>
      <c r="L6" t="s">
        <v>2079</v>
      </c>
      <c r="M6">
        <f>QUARTILE(K4:K14,3)</f>
        <v>10</v>
      </c>
      <c r="O6">
        <v>12</v>
      </c>
      <c r="P6" t="s">
        <v>2077</v>
      </c>
      <c r="Q6">
        <f>Q5-Q4</f>
        <v>16.5</v>
      </c>
      <c r="S6" t="s">
        <v>2086</v>
      </c>
      <c r="T6">
        <v>65</v>
      </c>
      <c r="V6">
        <v>22</v>
      </c>
      <c r="W6" t="s">
        <v>2077</v>
      </c>
      <c r="X6">
        <f>X5-X4</f>
        <v>4</v>
      </c>
      <c r="Z6">
        <v>5.5</v>
      </c>
      <c r="AD6">
        <v>5</v>
      </c>
      <c r="AG6">
        <v>9</v>
      </c>
      <c r="AH6">
        <f>QUARTILE(AG4:AG11,3)</f>
        <v>5.25</v>
      </c>
      <c r="AO6">
        <v>6</v>
      </c>
      <c r="AP6" s="29" t="s">
        <v>2081</v>
      </c>
      <c r="AQ6">
        <f>QUARTILE(AO4:AO12,1)</f>
        <v>6</v>
      </c>
    </row>
    <row r="7" spans="1:53">
      <c r="G7" s="25">
        <v>3</v>
      </c>
      <c r="K7">
        <v>2</v>
      </c>
      <c r="L7" t="s">
        <v>2077</v>
      </c>
      <c r="M7">
        <f>M6-M5</f>
        <v>8.5</v>
      </c>
      <c r="O7">
        <v>34</v>
      </c>
      <c r="P7" t="s">
        <v>2088</v>
      </c>
      <c r="Q7">
        <f>QUARTILE(O4:O10,2)</f>
        <v>13</v>
      </c>
      <c r="V7">
        <v>22</v>
      </c>
      <c r="Z7">
        <v>7</v>
      </c>
      <c r="AD7">
        <v>7</v>
      </c>
      <c r="AG7">
        <v>0</v>
      </c>
      <c r="AH7">
        <f>AH6-AH4</f>
        <v>3.5</v>
      </c>
      <c r="AI7" t="s">
        <v>2077</v>
      </c>
      <c r="AO7">
        <v>6</v>
      </c>
      <c r="AP7" s="29" t="s">
        <v>2119</v>
      </c>
      <c r="AQ7">
        <f>MEDIAN(AO4:AO12,2)</f>
        <v>6</v>
      </c>
    </row>
    <row r="8" spans="1:53">
      <c r="G8" s="25">
        <v>4</v>
      </c>
      <c r="K8">
        <v>3</v>
      </c>
      <c r="O8">
        <v>54</v>
      </c>
      <c r="P8" t="s">
        <v>2089</v>
      </c>
      <c r="Q8">
        <f>MEDIAN(O4:O10)</f>
        <v>13</v>
      </c>
      <c r="V8">
        <v>24</v>
      </c>
      <c r="Z8">
        <v>9.6999999999999993</v>
      </c>
      <c r="AD8">
        <v>11</v>
      </c>
      <c r="AG8">
        <v>2</v>
      </c>
      <c r="AO8">
        <v>7</v>
      </c>
      <c r="AP8" s="29" t="s">
        <v>2082</v>
      </c>
      <c r="AQ8">
        <f>QUARTILE(AO4:AO12,3)</f>
        <v>8</v>
      </c>
    </row>
    <row r="9" spans="1:53">
      <c r="G9" s="25">
        <v>6</v>
      </c>
      <c r="K9">
        <v>3</v>
      </c>
      <c r="O9">
        <v>13</v>
      </c>
      <c r="V9">
        <v>24</v>
      </c>
      <c r="Z9">
        <v>4</v>
      </c>
      <c r="AD9">
        <v>13</v>
      </c>
      <c r="AG9">
        <v>3</v>
      </c>
      <c r="AO9">
        <v>8</v>
      </c>
      <c r="AP9" s="29" t="s">
        <v>2120</v>
      </c>
      <c r="AQ9">
        <f>MAX(AO4:AO12)</f>
        <v>12</v>
      </c>
      <c r="AR9">
        <f>QUARTILE(AO4:AO12,4)</f>
        <v>12</v>
      </c>
    </row>
    <row r="10" spans="1:53">
      <c r="G10" s="25">
        <v>7</v>
      </c>
      <c r="K10">
        <v>7</v>
      </c>
      <c r="O10">
        <v>7</v>
      </c>
      <c r="V10">
        <v>30</v>
      </c>
      <c r="AD10">
        <v>17</v>
      </c>
      <c r="AG10">
        <v>5</v>
      </c>
      <c r="AO10">
        <v>12</v>
      </c>
      <c r="AP10" s="29"/>
    </row>
    <row r="11" spans="1:53">
      <c r="G11" s="25">
        <v>8</v>
      </c>
      <c r="K11">
        <v>9</v>
      </c>
      <c r="V11">
        <v>45</v>
      </c>
      <c r="AD11">
        <v>19</v>
      </c>
      <c r="AG11">
        <v>6</v>
      </c>
      <c r="AO11">
        <v>6</v>
      </c>
      <c r="AP11" s="29"/>
    </row>
    <row r="12" spans="1:53">
      <c r="G12" s="25">
        <v>6</v>
      </c>
      <c r="K12">
        <v>11</v>
      </c>
      <c r="AD12">
        <v>23</v>
      </c>
      <c r="AO12">
        <v>12</v>
      </c>
      <c r="AP12" s="29"/>
    </row>
    <row r="13" spans="1:53">
      <c r="K13">
        <v>15</v>
      </c>
      <c r="AD13">
        <v>29</v>
      </c>
    </row>
    <row r="14" spans="1:53">
      <c r="K14">
        <v>19</v>
      </c>
    </row>
    <row r="15" spans="1:53">
      <c r="M15" s="23"/>
    </row>
    <row r="16" spans="1:53">
      <c r="AG16" t="s">
        <v>2099</v>
      </c>
    </row>
    <row r="17" spans="1:52">
      <c r="J17" t="s">
        <v>2090</v>
      </c>
    </row>
    <row r="18" spans="1:52">
      <c r="H18" s="28">
        <v>46464</v>
      </c>
      <c r="J18">
        <v>0</v>
      </c>
      <c r="L18">
        <f>PERCENTILE(H18:H31,J18/100)</f>
        <v>1132</v>
      </c>
      <c r="M18">
        <f>QUARTILE(L18:L31,0)</f>
        <v>1132</v>
      </c>
      <c r="S18" s="26"/>
      <c r="AK18" t="e">
        <f>min</f>
        <v>#NAME?</v>
      </c>
    </row>
    <row r="19" spans="1:52">
      <c r="H19" s="28">
        <v>4554</v>
      </c>
      <c r="J19">
        <v>1</v>
      </c>
      <c r="L19">
        <f>PERCENTILE(H19:H33,J19/100)</f>
        <v>1154.68</v>
      </c>
      <c r="M19">
        <f>QUARTILE(L18:L31,1)</f>
        <v>1491.5049999999999</v>
      </c>
      <c r="S19" s="23"/>
      <c r="AO19">
        <v>89</v>
      </c>
      <c r="AP19">
        <v>11</v>
      </c>
      <c r="AQ19" s="44">
        <v>10</v>
      </c>
      <c r="AR19">
        <v>12</v>
      </c>
      <c r="AS19">
        <v>15</v>
      </c>
      <c r="AT19" s="44">
        <v>45</v>
      </c>
      <c r="AU19">
        <v>78</v>
      </c>
      <c r="AV19">
        <v>9</v>
      </c>
      <c r="AW19" s="44">
        <v>24</v>
      </c>
      <c r="AX19">
        <v>12</v>
      </c>
      <c r="AY19">
        <v>36</v>
      </c>
      <c r="AZ19" s="44">
        <v>48</v>
      </c>
    </row>
    <row r="20" spans="1:52">
      <c r="H20" s="28">
        <v>4654</v>
      </c>
      <c r="J20">
        <v>2</v>
      </c>
      <c r="L20">
        <f>PERCENTILE(H20:H34,J20/100)</f>
        <v>1173.58</v>
      </c>
      <c r="S20" s="23"/>
    </row>
    <row r="21" spans="1:52">
      <c r="H21" s="28">
        <v>1321</v>
      </c>
      <c r="J21">
        <v>3</v>
      </c>
      <c r="L21">
        <f>PERCENTILE(H21:H34,J21/100)</f>
        <v>1188.7</v>
      </c>
      <c r="Q21" s="23"/>
      <c r="R21" t="s">
        <v>2084</v>
      </c>
      <c r="AP21">
        <f>QUARTILE(AO19:AZ19,0)</f>
        <v>9</v>
      </c>
    </row>
    <row r="22" spans="1:52">
      <c r="H22" s="28">
        <v>1132</v>
      </c>
      <c r="J22">
        <v>4</v>
      </c>
      <c r="L22">
        <f>PERCENTILE(H22:H34,J22/100)</f>
        <v>2399.9199999999996</v>
      </c>
      <c r="S22" s="23"/>
      <c r="AP22">
        <f>MAX(AO19:AZ19)</f>
        <v>89</v>
      </c>
    </row>
    <row r="23" spans="1:52">
      <c r="B23">
        <f>36/6*3+2^2-(3+5)</f>
        <v>14</v>
      </c>
      <c r="H23" s="28">
        <v>1321321</v>
      </c>
      <c r="J23">
        <v>5</v>
      </c>
      <c r="L23">
        <f>PERCENTILE(H23:H34,J23/100)</f>
        <v>7717.5999999999995</v>
      </c>
      <c r="S23" s="23"/>
      <c r="AP23">
        <f>QUARTILE(AO19:AZ19,1)</f>
        <v>11.75</v>
      </c>
    </row>
    <row r="24" spans="1:52">
      <c r="B24" s="25"/>
      <c r="H24" s="28">
        <v>12313</v>
      </c>
      <c r="J24">
        <v>6</v>
      </c>
      <c r="L24">
        <f>PERCENTILE(H24:H34,J24/100)</f>
        <v>7870.7799999999988</v>
      </c>
      <c r="S24" s="23"/>
    </row>
    <row r="25" spans="1:52">
      <c r="B25" s="25"/>
      <c r="H25" s="28">
        <v>412313</v>
      </c>
      <c r="J25">
        <v>7</v>
      </c>
      <c r="L25">
        <f>PERCENTILE(H25:H34,J25/100)</f>
        <v>8210.56</v>
      </c>
      <c r="S25" s="23"/>
    </row>
    <row r="26" spans="1:52">
      <c r="B26" s="25"/>
      <c r="H26" s="28">
        <v>1231321</v>
      </c>
      <c r="J26">
        <v>8</v>
      </c>
      <c r="L26">
        <f>PERCENTILE(H26:H34,J26/100)</f>
        <v>8041.1999999999989</v>
      </c>
      <c r="S26" s="26"/>
    </row>
    <row r="27" spans="1:52">
      <c r="B27" s="25"/>
      <c r="H27" s="28">
        <v>2412313</v>
      </c>
      <c r="J27">
        <v>9</v>
      </c>
      <c r="L27">
        <f>PERCENTILE(H27:H34,J27/100)</f>
        <v>7702.48</v>
      </c>
    </row>
    <row r="28" spans="1:52">
      <c r="B28" s="25"/>
      <c r="H28" s="28">
        <v>13122</v>
      </c>
      <c r="J28">
        <v>10</v>
      </c>
      <c r="L28">
        <f>PERCENTILE(H28:H34,J28/100)</f>
        <v>7194.4000000000005</v>
      </c>
    </row>
    <row r="29" spans="1:52">
      <c r="B29" s="25"/>
      <c r="H29" s="28">
        <v>132113</v>
      </c>
      <c r="J29">
        <v>11</v>
      </c>
      <c r="L29">
        <f>PERCENTILE(H29:H34,J29/100)</f>
        <v>32694.979999999996</v>
      </c>
      <c r="M29" s="38"/>
    </row>
    <row r="30" spans="1:52" s="34" customFormat="1" ht="13.8">
      <c r="B30" s="35"/>
      <c r="H30" s="36">
        <v>4654</v>
      </c>
      <c r="J30" s="34">
        <v>12</v>
      </c>
      <c r="L30" s="34">
        <f>PERCENTILE(H30:H34,J30/100)</f>
        <v>5109573.0400000047</v>
      </c>
      <c r="M30" s="37"/>
      <c r="Q30" s="37" t="s">
        <v>2102</v>
      </c>
      <c r="R30" s="37"/>
      <c r="S30" s="37"/>
      <c r="T30" s="37"/>
      <c r="U30" s="37"/>
      <c r="V30" s="37"/>
      <c r="W30" s="37"/>
      <c r="X30" s="37"/>
    </row>
    <row r="31" spans="1:52" s="32" customFormat="1">
      <c r="H31" s="33">
        <v>42545646</v>
      </c>
      <c r="J31" s="32">
        <v>13</v>
      </c>
      <c r="L31" s="32">
        <f>PERCENTILE(H31:H34,J31/100)</f>
        <v>42545646</v>
      </c>
      <c r="M31" s="39"/>
    </row>
    <row r="32" spans="1:52" s="45" customFormat="1" ht="33.6">
      <c r="A32" s="51" t="s">
        <v>2112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42" s="31" customFormat="1">
      <c r="A33" s="31" t="s">
        <v>2070</v>
      </c>
      <c r="B33" s="30"/>
      <c r="E33" s="31" t="s">
        <v>2101</v>
      </c>
      <c r="G33" s="31" t="s">
        <v>2107</v>
      </c>
      <c r="N33" s="31" t="s">
        <v>2104</v>
      </c>
      <c r="R33" s="40"/>
      <c r="T33" s="31" t="s">
        <v>2091</v>
      </c>
      <c r="X33" s="31" t="s">
        <v>2093</v>
      </c>
      <c r="AB33" s="31" t="s">
        <v>2096</v>
      </c>
      <c r="AF33" s="31" t="s">
        <v>2098</v>
      </c>
      <c r="AI33" s="31" t="s">
        <v>2121</v>
      </c>
      <c r="AM33" s="31" t="s">
        <v>2126</v>
      </c>
    </row>
    <row r="34" spans="1:42" ht="15" thickBot="1">
      <c r="A34" t="s">
        <v>2071</v>
      </c>
      <c r="E34" t="s">
        <v>2103</v>
      </c>
      <c r="N34" t="s">
        <v>2071</v>
      </c>
      <c r="T34" t="s">
        <v>2071</v>
      </c>
      <c r="X34" t="s">
        <v>2110</v>
      </c>
      <c r="Z34">
        <v>12</v>
      </c>
      <c r="AB34" t="s">
        <v>2113</v>
      </c>
      <c r="AF34" t="s">
        <v>2059</v>
      </c>
      <c r="AI34" t="s">
        <v>2122</v>
      </c>
      <c r="AM34" s="29" t="s">
        <v>2071</v>
      </c>
    </row>
    <row r="35" spans="1:42" ht="15" thickBot="1">
      <c r="A35">
        <v>6</v>
      </c>
      <c r="B35">
        <f>AVERAGE(A35:A41)</f>
        <v>24</v>
      </c>
      <c r="C35" t="s">
        <v>2068</v>
      </c>
      <c r="G35" s="27" t="s">
        <v>2074</v>
      </c>
      <c r="H35" s="27"/>
      <c r="I35" s="27"/>
      <c r="J35" s="27"/>
      <c r="K35" s="27"/>
      <c r="M35">
        <f>N35-P38</f>
        <v>0.39999999999999991</v>
      </c>
      <c r="N35" s="41">
        <v>3</v>
      </c>
      <c r="O35" t="s">
        <v>2105</v>
      </c>
      <c r="P35">
        <f>VAR(N35:N39)</f>
        <v>2.3000000000000007</v>
      </c>
      <c r="R35">
        <f>VARP(N35:N39)</f>
        <v>1.84</v>
      </c>
      <c r="T35">
        <v>9</v>
      </c>
      <c r="U35" t="s">
        <v>2108</v>
      </c>
      <c r="V35">
        <f>AVERAGE(T35:T40)</f>
        <v>13.333333333333334</v>
      </c>
      <c r="X35" t="s">
        <v>2111</v>
      </c>
      <c r="Z35">
        <f>SQRT(Z34)</f>
        <v>3.4641016151377544</v>
      </c>
      <c r="AB35">
        <v>1</v>
      </c>
      <c r="AC35" t="s">
        <v>2114</v>
      </c>
      <c r="AD35">
        <f>AVERAGE(AB35:AB39)</f>
        <v>3</v>
      </c>
      <c r="AI35" t="s">
        <v>2123</v>
      </c>
      <c r="AM35" s="29">
        <v>6</v>
      </c>
      <c r="AN35" t="s">
        <v>2124</v>
      </c>
      <c r="AO35">
        <f>SUM(AM35:AM40)/6</f>
        <v>7.5</v>
      </c>
    </row>
    <row r="36" spans="1:42" ht="15" thickBot="1">
      <c r="A36">
        <v>12</v>
      </c>
      <c r="B36">
        <f>VAR(A35:A41)</f>
        <v>168</v>
      </c>
      <c r="C36" t="s">
        <v>2064</v>
      </c>
      <c r="G36" t="s">
        <v>2066</v>
      </c>
      <c r="H36" t="s">
        <v>2067</v>
      </c>
      <c r="J36" s="24">
        <f>31/7</f>
        <v>4.4285714285714288</v>
      </c>
      <c r="M36">
        <f>N36-P38</f>
        <v>-0.60000000000000009</v>
      </c>
      <c r="N36" s="42">
        <v>2</v>
      </c>
      <c r="O36" t="s">
        <v>2106</v>
      </c>
      <c r="P36">
        <f>SQRT(P35)</f>
        <v>1.5165750888103104</v>
      </c>
      <c r="Q36" t="s">
        <v>2100</v>
      </c>
      <c r="R36">
        <f>SQRT(R35)</f>
        <v>1.3564659966250536</v>
      </c>
      <c r="T36">
        <v>25</v>
      </c>
      <c r="U36" t="s">
        <v>2064</v>
      </c>
      <c r="V36">
        <f>VARP(T35:T40)</f>
        <v>28.888888888888889</v>
      </c>
      <c r="AB36">
        <v>2</v>
      </c>
      <c r="AC36" t="s">
        <v>2064</v>
      </c>
      <c r="AD36">
        <f>VARP(AB35:AB39)</f>
        <v>2</v>
      </c>
      <c r="AI36">
        <v>21</v>
      </c>
      <c r="AJ36" t="s">
        <v>2124</v>
      </c>
      <c r="AK36">
        <f>AVERAGE(AI36:AI40)</f>
        <v>25</v>
      </c>
      <c r="AM36" s="29">
        <v>7</v>
      </c>
      <c r="AN36" t="s">
        <v>2106</v>
      </c>
      <c r="AO36">
        <f>STDEVP(AM35:AM40)</f>
        <v>1.707825127659933</v>
      </c>
      <c r="AP36">
        <f>AVERAGE(AM35:AM40)</f>
        <v>7.5</v>
      </c>
    </row>
    <row r="37" spans="1:42" ht="15" thickBot="1">
      <c r="A37">
        <v>18</v>
      </c>
      <c r="B37">
        <f>SQRT(B36)</f>
        <v>12.961481396815721</v>
      </c>
      <c r="C37" t="s">
        <v>2100</v>
      </c>
      <c r="G37">
        <v>2</v>
      </c>
      <c r="H37" t="s">
        <v>2068</v>
      </c>
      <c r="I37">
        <f>AVERAGE(G37:G43)</f>
        <v>4.4285714285714288</v>
      </c>
      <c r="M37">
        <f>N37-P38</f>
        <v>-0.60000000000000009</v>
      </c>
      <c r="N37" s="42">
        <v>2</v>
      </c>
      <c r="T37">
        <v>10</v>
      </c>
      <c r="U37" t="s">
        <v>2106</v>
      </c>
      <c r="V37">
        <f>SQRT(V36)</f>
        <v>5.3748384988656994</v>
      </c>
      <c r="AB37">
        <v>3</v>
      </c>
      <c r="AC37" t="s">
        <v>2106</v>
      </c>
      <c r="AD37">
        <f>SQRT(AD36)</f>
        <v>1.4142135623730951</v>
      </c>
      <c r="AE37">
        <f>STDEV(AB35:AB39)</f>
        <v>1.5811388300841898</v>
      </c>
      <c r="AI37">
        <v>23</v>
      </c>
      <c r="AJ37" t="s">
        <v>2106</v>
      </c>
      <c r="AK37">
        <f>STDEVP(AI36:AI40)</f>
        <v>2.8284271247461903</v>
      </c>
      <c r="AM37" s="29">
        <v>5</v>
      </c>
      <c r="AN37" t="s">
        <v>2127</v>
      </c>
      <c r="AO37">
        <f>VARP(AM35:AM40)</f>
        <v>2.9166666666666665</v>
      </c>
    </row>
    <row r="38" spans="1:42" ht="15" thickBot="1">
      <c r="A38">
        <v>24</v>
      </c>
      <c r="G38">
        <v>10</v>
      </c>
      <c r="H38" t="s">
        <v>2064</v>
      </c>
      <c r="I38">
        <f>VAR(G37:G43)</f>
        <v>14.61904761904762</v>
      </c>
      <c r="J38">
        <f>2-4.43</f>
        <v>-2.4299999999999997</v>
      </c>
      <c r="K38" s="24">
        <f>POWER(J38,2)</f>
        <v>5.9048999999999987</v>
      </c>
      <c r="M38">
        <f>N38-P38</f>
        <v>2.4</v>
      </c>
      <c r="N38" s="42">
        <v>5</v>
      </c>
      <c r="P38">
        <f>AVERAGE(N35:N39)</f>
        <v>2.6</v>
      </c>
      <c r="T38">
        <v>11</v>
      </c>
      <c r="U38" t="s">
        <v>2109</v>
      </c>
      <c r="V38">
        <f>V37/V35</f>
        <v>0.40311288741492746</v>
      </c>
      <c r="AB38">
        <v>4</v>
      </c>
      <c r="AI38">
        <v>25</v>
      </c>
      <c r="AJ38" t="s">
        <v>2125</v>
      </c>
      <c r="AK38">
        <f>VARP(AI36:AI40)</f>
        <v>8</v>
      </c>
      <c r="AM38" s="29">
        <v>9</v>
      </c>
      <c r="AN38" t="s">
        <v>2128</v>
      </c>
      <c r="AO38">
        <f>SQRT(AO37)</f>
        <v>1.707825127659933</v>
      </c>
    </row>
    <row r="39" spans="1:42" ht="15" thickBot="1">
      <c r="A39">
        <v>30</v>
      </c>
      <c r="G39">
        <v>0</v>
      </c>
      <c r="H39" t="s">
        <v>2069</v>
      </c>
      <c r="I39">
        <f>SQRT(I38)</f>
        <v>3.8234863173611098</v>
      </c>
      <c r="J39">
        <f>10-4.43</f>
        <v>5.57</v>
      </c>
      <c r="K39" s="24">
        <f t="shared" ref="K39:K44" si="0">POWER(J39,2)</f>
        <v>31.024900000000002</v>
      </c>
      <c r="M39">
        <f>N39-P38</f>
        <v>-1.6</v>
      </c>
      <c r="N39" s="42">
        <v>1</v>
      </c>
      <c r="T39">
        <v>12</v>
      </c>
      <c r="AB39">
        <v>5</v>
      </c>
      <c r="AE39">
        <f>STDEVA(AB35:AB39)</f>
        <v>1.5811388300841898</v>
      </c>
      <c r="AI39">
        <v>27</v>
      </c>
      <c r="AJ39" t="s">
        <v>2111</v>
      </c>
      <c r="AK39">
        <f>SQRT(AK38)</f>
        <v>2.8284271247461903</v>
      </c>
      <c r="AM39" s="29">
        <v>8</v>
      </c>
    </row>
    <row r="40" spans="1:42">
      <c r="A40">
        <v>36</v>
      </c>
      <c r="G40">
        <v>7</v>
      </c>
      <c r="J40">
        <f>0-4.43</f>
        <v>-4.43</v>
      </c>
      <c r="K40" s="24">
        <f t="shared" si="0"/>
        <v>19.624899999999997</v>
      </c>
      <c r="T40">
        <v>13</v>
      </c>
      <c r="AE40">
        <f>STDEVP(AB35:AB39)</f>
        <v>1.4142135623730951</v>
      </c>
      <c r="AI40">
        <v>29</v>
      </c>
      <c r="AM40" s="29">
        <v>10</v>
      </c>
    </row>
    <row r="41" spans="1:42">
      <c r="A41">
        <v>42</v>
      </c>
      <c r="G41">
        <v>6</v>
      </c>
      <c r="J41">
        <f>7-4.43</f>
        <v>2.5700000000000003</v>
      </c>
      <c r="K41" s="24">
        <f t="shared" si="0"/>
        <v>6.6049000000000015</v>
      </c>
      <c r="AE41">
        <f>STDEVPA(AB35:AB39)</f>
        <v>1.4142135623730951</v>
      </c>
    </row>
    <row r="42" spans="1:42">
      <c r="G42">
        <v>6</v>
      </c>
      <c r="J42">
        <f>6-4.43</f>
        <v>1.5700000000000003</v>
      </c>
      <c r="K42" s="24">
        <f t="shared" si="0"/>
        <v>2.464900000000001</v>
      </c>
      <c r="AD42" t="e">
        <f>var</f>
        <v>#NAME?</v>
      </c>
    </row>
    <row r="43" spans="1:42">
      <c r="G43">
        <v>0</v>
      </c>
      <c r="J43">
        <f>6-4.43</f>
        <v>1.5700000000000003</v>
      </c>
      <c r="K43" s="24">
        <f t="shared" si="0"/>
        <v>2.464900000000001</v>
      </c>
    </row>
    <row r="44" spans="1:42">
      <c r="J44">
        <f>0-4.43</f>
        <v>-4.43</v>
      </c>
      <c r="K44" s="24">
        <f t="shared" si="0"/>
        <v>19.624899999999997</v>
      </c>
    </row>
    <row r="46" spans="1:42">
      <c r="K46" s="24">
        <f>SUM(K38:K44)</f>
        <v>87.714299999999994</v>
      </c>
    </row>
    <row r="47" spans="1:42">
      <c r="K47" s="24">
        <f>K46/6</f>
        <v>14.61905</v>
      </c>
    </row>
    <row r="49" spans="1:40">
      <c r="K49">
        <f>SQRT(K47)</f>
        <v>3.8234866287199174</v>
      </c>
    </row>
    <row r="50" spans="1:40">
      <c r="K50">
        <f>K49/J36</f>
        <v>0.86336794842062647</v>
      </c>
    </row>
    <row r="55" spans="1:40" s="46" customFormat="1" ht="33.6">
      <c r="A55" s="52" t="s">
        <v>2105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  <row r="56" spans="1:40" s="47" customFormat="1" ht="15" thickBot="1">
      <c r="A56" s="47" t="s">
        <v>2070</v>
      </c>
      <c r="F56" s="47" t="s">
        <v>2101</v>
      </c>
      <c r="J56" s="47" t="s">
        <v>2080</v>
      </c>
      <c r="N56" s="47" t="s">
        <v>2104</v>
      </c>
      <c r="S56" s="47" t="s">
        <v>2091</v>
      </c>
      <c r="W56" s="47" t="s">
        <v>2093</v>
      </c>
      <c r="AA56" s="47" t="s">
        <v>2096</v>
      </c>
      <c r="AE56" s="47" t="s">
        <v>2121</v>
      </c>
      <c r="AI56" s="47" t="s">
        <v>2136</v>
      </c>
      <c r="AL56" s="47" t="s">
        <v>2137</v>
      </c>
    </row>
    <row r="57" spans="1:40" ht="15" thickBot="1">
      <c r="A57" t="s">
        <v>2071</v>
      </c>
      <c r="F57" t="s">
        <v>2071</v>
      </c>
      <c r="J57" t="s">
        <v>2130</v>
      </c>
      <c r="N57" t="s">
        <v>2103</v>
      </c>
      <c r="P57" s="41">
        <v>2</v>
      </c>
      <c r="Q57">
        <f>AVERAGE(P57:P61)</f>
        <v>4</v>
      </c>
      <c r="S57" t="s">
        <v>2071</v>
      </c>
      <c r="W57" t="s">
        <v>2132</v>
      </c>
      <c r="AA57" t="s">
        <v>2133</v>
      </c>
      <c r="AE57" t="s">
        <v>2135</v>
      </c>
      <c r="AI57" t="s">
        <v>2111</v>
      </c>
      <c r="AJ57">
        <v>1.23E-2</v>
      </c>
      <c r="AL57" t="s">
        <v>2138</v>
      </c>
    </row>
    <row r="58" spans="1:40" ht="15" thickBot="1">
      <c r="A58">
        <v>0</v>
      </c>
      <c r="B58" t="s">
        <v>2125</v>
      </c>
      <c r="C58">
        <f>VARP(A58:A63)</f>
        <v>26.25</v>
      </c>
      <c r="F58" s="43">
        <v>48</v>
      </c>
      <c r="G58" t="s">
        <v>2129</v>
      </c>
      <c r="H58">
        <f>VARP(F58:F64)</f>
        <v>292.69387755102042</v>
      </c>
      <c r="J58">
        <v>3</v>
      </c>
      <c r="K58" t="s">
        <v>2131</v>
      </c>
      <c r="L58">
        <f>VARP(J58:J62)</f>
        <v>4.24</v>
      </c>
      <c r="P58" s="42">
        <v>3</v>
      </c>
      <c r="Q58">
        <f>VARP(P57:P61)</f>
        <v>2</v>
      </c>
      <c r="S58">
        <v>12</v>
      </c>
      <c r="T58" t="s">
        <v>2124</v>
      </c>
      <c r="U58">
        <f>AVERAGE(S58:S63)</f>
        <v>14.5</v>
      </c>
      <c r="W58">
        <v>1</v>
      </c>
      <c r="X58" t="s">
        <v>2068</v>
      </c>
      <c r="Y58">
        <f>AVERAGE(W58:W62)</f>
        <v>3</v>
      </c>
      <c r="AA58">
        <v>0</v>
      </c>
      <c r="AB58" t="s">
        <v>2068</v>
      </c>
      <c r="AC58">
        <f>AVERAGE(AA58:AA67)</f>
        <v>8.8000000000000007</v>
      </c>
      <c r="AE58">
        <v>1</v>
      </c>
      <c r="AF58" t="s">
        <v>2068</v>
      </c>
      <c r="AG58">
        <f>AVERAGE(AE58:AE67)</f>
        <v>10</v>
      </c>
      <c r="AI58" t="s">
        <v>2125</v>
      </c>
      <c r="AJ58">
        <f>AJ57^2</f>
        <v>1.5129E-4</v>
      </c>
      <c r="AL58" t="s">
        <v>2071</v>
      </c>
    </row>
    <row r="59" spans="1:40" ht="15" thickBot="1">
      <c r="A59">
        <v>3</v>
      </c>
      <c r="B59" t="s">
        <v>2068</v>
      </c>
      <c r="C59">
        <f>SUM(A58:A63)/6</f>
        <v>7.5</v>
      </c>
      <c r="D59">
        <f>AVERAGE(A58:A63)</f>
        <v>7.5</v>
      </c>
      <c r="F59" s="43">
        <v>52</v>
      </c>
      <c r="J59">
        <v>9</v>
      </c>
      <c r="K59" t="s">
        <v>2108</v>
      </c>
      <c r="L59">
        <f>AVERAGE(J58:J62)</f>
        <v>5.4</v>
      </c>
      <c r="P59" s="42">
        <v>4</v>
      </c>
      <c r="S59">
        <v>13</v>
      </c>
      <c r="T59">
        <f>VARP(S58:S63)</f>
        <v>2.9166666666666665</v>
      </c>
      <c r="W59">
        <v>2</v>
      </c>
      <c r="X59" t="s">
        <v>2131</v>
      </c>
      <c r="Y59">
        <f>VARP(W58:W62)</f>
        <v>2</v>
      </c>
      <c r="AA59">
        <v>1</v>
      </c>
      <c r="AB59" t="s">
        <v>2134</v>
      </c>
      <c r="AC59">
        <f>VARP(AA58:AA67)</f>
        <v>109.56</v>
      </c>
      <c r="AE59">
        <v>3</v>
      </c>
      <c r="AF59" t="s">
        <v>2134</v>
      </c>
      <c r="AG59">
        <f>VARP(AE58:AE67)</f>
        <v>33</v>
      </c>
      <c r="AL59">
        <v>40</v>
      </c>
      <c r="AM59" t="s">
        <v>2124</v>
      </c>
      <c r="AN59">
        <f>AVERAGE(AL59:AL68)</f>
        <v>54.9</v>
      </c>
    </row>
    <row r="60" spans="1:40" ht="15" thickBot="1">
      <c r="A60">
        <v>6</v>
      </c>
      <c r="B60" t="s">
        <v>2100</v>
      </c>
      <c r="C60">
        <f>STDEVP(A58:A63)</f>
        <v>5.123475382979799</v>
      </c>
      <c r="F60" s="43">
        <v>73</v>
      </c>
      <c r="J60">
        <v>4</v>
      </c>
      <c r="O60" s="48"/>
      <c r="P60" s="42">
        <v>5</v>
      </c>
      <c r="S60">
        <v>14</v>
      </c>
      <c r="W60">
        <v>3</v>
      </c>
      <c r="X60" t="s">
        <v>2100</v>
      </c>
      <c r="Y60">
        <f>STDEVP(W58:W62)</f>
        <v>1.4142135623730951</v>
      </c>
      <c r="AA60">
        <v>1</v>
      </c>
      <c r="AB60" t="s">
        <v>2100</v>
      </c>
      <c r="AC60">
        <f>STDEVP(AA58:AA67)</f>
        <v>10.467091286503619</v>
      </c>
      <c r="AE60">
        <v>5</v>
      </c>
      <c r="AF60" t="s">
        <v>2100</v>
      </c>
      <c r="AG60">
        <f>STDEVP(AE58:AE67)</f>
        <v>5.7445626465380286</v>
      </c>
      <c r="AJ60">
        <f>POWER(AJ57,2)</f>
        <v>1.5129E-4</v>
      </c>
      <c r="AL60">
        <v>70</v>
      </c>
      <c r="AM60" t="s">
        <v>2129</v>
      </c>
      <c r="AN60">
        <f>VARP(AL59:AL68)</f>
        <v>115.29</v>
      </c>
    </row>
    <row r="61" spans="1:40" ht="15" thickBot="1">
      <c r="A61">
        <v>9</v>
      </c>
      <c r="F61" s="43">
        <v>36</v>
      </c>
      <c r="J61">
        <v>6</v>
      </c>
      <c r="P61" s="42">
        <v>6</v>
      </c>
      <c r="Q61">
        <f>VARP(P57:P61)</f>
        <v>2</v>
      </c>
      <c r="S61">
        <v>15</v>
      </c>
      <c r="W61">
        <v>4</v>
      </c>
      <c r="Y61">
        <f>SQRT(Y59)</f>
        <v>1.4142135623730951</v>
      </c>
      <c r="AA61">
        <v>2</v>
      </c>
      <c r="AB61" t="s">
        <v>2100</v>
      </c>
      <c r="AC61">
        <f>SQRT(AC59)</f>
        <v>10.467091286503619</v>
      </c>
      <c r="AE61">
        <v>7</v>
      </c>
      <c r="AF61" t="s">
        <v>2100</v>
      </c>
      <c r="AG61">
        <f>SQRT(33)</f>
        <v>5.7445626465380286</v>
      </c>
      <c r="AL61">
        <v>50</v>
      </c>
      <c r="AM61" t="s">
        <v>2106</v>
      </c>
      <c r="AN61">
        <f>SQRT(AN60)</f>
        <v>10.737318100903968</v>
      </c>
    </row>
    <row r="62" spans="1:40">
      <c r="A62">
        <v>12</v>
      </c>
      <c r="F62" s="43">
        <v>66</v>
      </c>
      <c r="J62">
        <v>5</v>
      </c>
      <c r="Q62">
        <f>SQRT(Q61)</f>
        <v>1.4142135623730951</v>
      </c>
      <c r="S62">
        <v>16</v>
      </c>
      <c r="W62">
        <v>5</v>
      </c>
      <c r="AA62">
        <v>3</v>
      </c>
      <c r="AE62">
        <v>9</v>
      </c>
      <c r="AL62">
        <v>66</v>
      </c>
      <c r="AM62" t="s">
        <v>2106</v>
      </c>
      <c r="AN62">
        <f>STDEVP(AL59:AL68)</f>
        <v>10.737318100903968</v>
      </c>
    </row>
    <row r="63" spans="1:40">
      <c r="A63">
        <v>15</v>
      </c>
      <c r="F63" s="43">
        <v>71</v>
      </c>
      <c r="S63">
        <v>17</v>
      </c>
      <c r="AA63">
        <v>5</v>
      </c>
      <c r="AE63">
        <v>11</v>
      </c>
      <c r="AL63">
        <v>62</v>
      </c>
    </row>
    <row r="64" spans="1:40">
      <c r="F64" s="43">
        <v>24</v>
      </c>
      <c r="N64" s="17"/>
      <c r="Q64">
        <f>VARP(P57,P58,P59,P60,P61,)</f>
        <v>3.8888888888888888</v>
      </c>
      <c r="AA64">
        <v>8</v>
      </c>
      <c r="AE64">
        <v>13</v>
      </c>
      <c r="AL64">
        <v>55</v>
      </c>
    </row>
    <row r="65" spans="14:38">
      <c r="N65" s="17"/>
      <c r="AA65">
        <v>13</v>
      </c>
      <c r="AE65">
        <v>15</v>
      </c>
      <c r="AL65">
        <v>45</v>
      </c>
    </row>
    <row r="66" spans="14:38" ht="15" thickBot="1">
      <c r="N66" s="17"/>
      <c r="AA66">
        <v>21</v>
      </c>
      <c r="AE66">
        <v>17</v>
      </c>
      <c r="AL66">
        <v>41</v>
      </c>
    </row>
    <row r="67" spans="14:38" ht="15" thickBot="1">
      <c r="N67" s="17"/>
      <c r="Q67" s="41"/>
      <c r="AA67">
        <v>34</v>
      </c>
      <c r="AE67">
        <v>19</v>
      </c>
      <c r="AL67">
        <v>69</v>
      </c>
    </row>
    <row r="68" spans="14:38" ht="15" thickBot="1">
      <c r="N68" s="17"/>
      <c r="Q68" s="49"/>
      <c r="AL68">
        <v>51</v>
      </c>
    </row>
    <row r="69" spans="14:38" ht="15" thickBot="1">
      <c r="Q69" s="42"/>
    </row>
    <row r="70" spans="14:38" ht="15" thickBot="1">
      <c r="Q70" s="42"/>
    </row>
    <row r="71" spans="14:38" ht="15" thickBot="1">
      <c r="Q71" s="42"/>
    </row>
  </sheetData>
  <mergeCells count="3">
    <mergeCell ref="A32:T32"/>
    <mergeCell ref="A55:P55"/>
    <mergeCell ref="A1:L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1"/>
  <sheetViews>
    <sheetView topLeftCell="D1" workbookViewId="0">
      <selection sqref="A1:Q1048576"/>
    </sheetView>
  </sheetViews>
  <sheetFormatPr defaultRowHeight="14.4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27.88671875" style="6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20" style="6" customWidth="1"/>
    <col min="15" max="15" width="13" bestFit="1" customWidth="1"/>
    <col min="17" max="17" width="14.44140625" bestFit="1" customWidth="1"/>
  </cols>
  <sheetData>
    <row r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3" t="s">
        <v>2141</v>
      </c>
      <c r="P1" s="3" t="s">
        <v>2140</v>
      </c>
      <c r="Q1" s="3" t="s">
        <v>2139</v>
      </c>
    </row>
    <row r="2" spans="1:17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6">
        <v>42468</v>
      </c>
      <c r="J2" s="54">
        <v>141604</v>
      </c>
      <c r="K2" s="1">
        <v>0.15</v>
      </c>
      <c r="L2" t="s">
        <v>19</v>
      </c>
      <c r="M2" t="s">
        <v>63</v>
      </c>
      <c r="N2" s="6">
        <v>44485</v>
      </c>
      <c r="O2" s="54">
        <f>TBL_Employees3[[#This Row],[Annual Salary]]+TBL_Employees3[[#This Row],[Bonus %]]*TBL_Employees3[[#This Row],[Annual Salary]]</f>
        <v>162844.6</v>
      </c>
      <c r="P2" t="str">
        <f>IF(AND(TBL_Employees3[[#This Row],[Department]]="IT",TBL_Employees3[[#This Row],[Gender]]="Female"),"Yes","No")</f>
        <v>Yes</v>
      </c>
      <c r="Q2" t="str">
        <f>IF(AND(TBL_Employees3[[#This Row],[Gender]]="Female",TBL_Employees3[[#This Row],[Ethnicity]]="Black"), "Female_Black", "Others")</f>
        <v>Female_Black</v>
      </c>
    </row>
    <row r="3" spans="1:17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6">
        <v>35763</v>
      </c>
      <c r="J3" s="54">
        <v>99975</v>
      </c>
      <c r="K3" s="1">
        <v>0</v>
      </c>
      <c r="L3" t="s">
        <v>33</v>
      </c>
      <c r="M3" t="s">
        <v>80</v>
      </c>
      <c r="N3" s="6" t="s">
        <v>21</v>
      </c>
      <c r="O3" s="54">
        <f>TBL_Employees3[[#This Row],[Annual Salary]]+TBL_Employees3[[#This Row],[Bonus %]]*TBL_Employees3[[#This Row],[Annual Salary]]</f>
        <v>99975</v>
      </c>
      <c r="P3" t="str">
        <f>IF(AND(TBL_Employees3[[#This Row],[Department]]="IT",TBL_Employees3[[#This Row],[Gender]]="Female"),"Yes","No")</f>
        <v>No</v>
      </c>
      <c r="Q3" t="str">
        <f>IF(AND(TBL_Employees3[[#This Row],[Gender]]="Female",TBL_Employees3[[#This Row],[Ethnicity]]="Black"), "Female_Black", "Others")</f>
        <v>Others</v>
      </c>
    </row>
    <row r="4" spans="1:17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6">
        <v>39016</v>
      </c>
      <c r="J4" s="54">
        <v>163099</v>
      </c>
      <c r="K4" s="1">
        <v>0.2</v>
      </c>
      <c r="L4" t="s">
        <v>19</v>
      </c>
      <c r="M4" t="s">
        <v>20</v>
      </c>
      <c r="N4" s="6" t="s">
        <v>21</v>
      </c>
      <c r="O4" s="54">
        <f>TBL_Employees3[[#This Row],[Annual Salary]]+TBL_Employees3[[#This Row],[Bonus %]]*TBL_Employees3[[#This Row],[Annual Salary]]</f>
        <v>195718.8</v>
      </c>
      <c r="P4" t="str">
        <f>IF(AND(TBL_Employees3[[#This Row],[Department]]="IT",TBL_Employees3[[#This Row],[Gender]]="Female"),"Yes","No")</f>
        <v>No</v>
      </c>
      <c r="Q4" t="str">
        <f>IF(AND(TBL_Employees3[[#This Row],[Gender]]="Female",TBL_Employees3[[#This Row],[Ethnicity]]="Black"), "Female_Black", "Others")</f>
        <v>Others</v>
      </c>
    </row>
    <row r="5" spans="1:17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6">
        <v>43735</v>
      </c>
      <c r="J5" s="54">
        <v>84913</v>
      </c>
      <c r="K5" s="1">
        <v>7.0000000000000007E-2</v>
      </c>
      <c r="L5" t="s">
        <v>19</v>
      </c>
      <c r="M5" t="s">
        <v>20</v>
      </c>
      <c r="N5" s="6" t="s">
        <v>21</v>
      </c>
      <c r="O5" s="54">
        <f>TBL_Employees3[[#This Row],[Annual Salary]]+TBL_Employees3[[#This Row],[Bonus %]]*TBL_Employees3[[#This Row],[Annual Salary]]</f>
        <v>90856.91</v>
      </c>
      <c r="P5" t="str">
        <f>IF(AND(TBL_Employees3[[#This Row],[Department]]="IT",TBL_Employees3[[#This Row],[Gender]]="Female"),"Yes","No")</f>
        <v>Yes</v>
      </c>
      <c r="Q5" t="str">
        <f>IF(AND(TBL_Employees3[[#This Row],[Gender]]="Female",TBL_Employees3[[#This Row],[Ethnicity]]="Black"), "Female_Black", "Others")</f>
        <v>Others</v>
      </c>
    </row>
    <row r="6" spans="1:17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6">
        <v>35023</v>
      </c>
      <c r="J6" s="54">
        <v>95409</v>
      </c>
      <c r="K6" s="1">
        <v>0</v>
      </c>
      <c r="L6" t="s">
        <v>19</v>
      </c>
      <c r="M6" t="s">
        <v>39</v>
      </c>
      <c r="N6" s="6" t="s">
        <v>21</v>
      </c>
      <c r="O6" s="54">
        <f>TBL_Employees3[[#This Row],[Annual Salary]]+TBL_Employees3[[#This Row],[Bonus %]]*TBL_Employees3[[#This Row],[Annual Salary]]</f>
        <v>95409</v>
      </c>
      <c r="P6" t="str">
        <f>IF(AND(TBL_Employees3[[#This Row],[Department]]="IT",TBL_Employees3[[#This Row],[Gender]]="Female"),"Yes","No")</f>
        <v>No</v>
      </c>
      <c r="Q6" t="str">
        <f>IF(AND(TBL_Employees3[[#This Row],[Gender]]="Female",TBL_Employees3[[#This Row],[Ethnicity]]="Black"), "Female_Black", "Others")</f>
        <v>Others</v>
      </c>
    </row>
    <row r="7" spans="1:17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6">
        <v>42759</v>
      </c>
      <c r="J7" s="54">
        <v>50994</v>
      </c>
      <c r="K7" s="1">
        <v>0</v>
      </c>
      <c r="L7" t="s">
        <v>33</v>
      </c>
      <c r="M7" t="s">
        <v>80</v>
      </c>
      <c r="N7" s="6" t="s">
        <v>21</v>
      </c>
      <c r="O7" s="54">
        <f>TBL_Employees3[[#This Row],[Annual Salary]]+TBL_Employees3[[#This Row],[Bonus %]]*TBL_Employees3[[#This Row],[Annual Salary]]</f>
        <v>50994</v>
      </c>
      <c r="P7" t="str">
        <f>IF(AND(TBL_Employees3[[#This Row],[Department]]="IT",TBL_Employees3[[#This Row],[Gender]]="Female"),"Yes","No")</f>
        <v>No</v>
      </c>
      <c r="Q7" t="str">
        <f>IF(AND(TBL_Employees3[[#This Row],[Gender]]="Female",TBL_Employees3[[#This Row],[Ethnicity]]="Black"), "Female_Black", "Others")</f>
        <v>Others</v>
      </c>
    </row>
    <row r="8" spans="1:17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6">
        <v>44013</v>
      </c>
      <c r="J8" s="54">
        <v>119746</v>
      </c>
      <c r="K8" s="1">
        <v>0.1</v>
      </c>
      <c r="L8" t="s">
        <v>19</v>
      </c>
      <c r="M8" t="s">
        <v>39</v>
      </c>
      <c r="N8" s="6" t="s">
        <v>21</v>
      </c>
      <c r="O8" s="54">
        <f>TBL_Employees3[[#This Row],[Annual Salary]]+TBL_Employees3[[#This Row],[Bonus %]]*TBL_Employees3[[#This Row],[Annual Salary]]</f>
        <v>131720.6</v>
      </c>
      <c r="P8" t="str">
        <f>IF(AND(TBL_Employees3[[#This Row],[Department]]="IT",TBL_Employees3[[#This Row],[Gender]]="Female"),"Yes","No")</f>
        <v>Yes</v>
      </c>
      <c r="Q8" t="str">
        <f>IF(AND(TBL_Employees3[[#This Row],[Gender]]="Female",TBL_Employees3[[#This Row],[Ethnicity]]="Black"), "Female_Black", "Others")</f>
        <v>Others</v>
      </c>
    </row>
    <row r="9" spans="1:17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6">
        <v>43967</v>
      </c>
      <c r="J9" s="54">
        <v>41336</v>
      </c>
      <c r="K9" s="1">
        <v>0</v>
      </c>
      <c r="L9" t="s">
        <v>19</v>
      </c>
      <c r="M9" t="s">
        <v>45</v>
      </c>
      <c r="N9" s="6">
        <v>44336</v>
      </c>
      <c r="O9" s="54">
        <f>TBL_Employees3[[#This Row],[Annual Salary]]+TBL_Employees3[[#This Row],[Bonus %]]*TBL_Employees3[[#This Row],[Annual Salary]]</f>
        <v>41336</v>
      </c>
      <c r="P9" t="str">
        <f>IF(AND(TBL_Employees3[[#This Row],[Department]]="IT",TBL_Employees3[[#This Row],[Gender]]="Female"),"Yes","No")</f>
        <v>No</v>
      </c>
      <c r="Q9" t="str">
        <f>IF(AND(TBL_Employees3[[#This Row],[Gender]]="Female",TBL_Employees3[[#This Row],[Ethnicity]]="Black"), "Female_Black", "Others")</f>
        <v>Others</v>
      </c>
    </row>
    <row r="10" spans="1:17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6">
        <v>43490</v>
      </c>
      <c r="J10" s="54">
        <v>113527</v>
      </c>
      <c r="K10" s="1">
        <v>0.06</v>
      </c>
      <c r="L10" t="s">
        <v>19</v>
      </c>
      <c r="M10" t="s">
        <v>25</v>
      </c>
      <c r="N10" s="6" t="s">
        <v>21</v>
      </c>
      <c r="O10" s="54">
        <f>TBL_Employees3[[#This Row],[Annual Salary]]+TBL_Employees3[[#This Row],[Bonus %]]*TBL_Employees3[[#This Row],[Annual Salary]]</f>
        <v>120338.62</v>
      </c>
      <c r="P10" t="str">
        <f>IF(AND(TBL_Employees3[[#This Row],[Department]]="IT",TBL_Employees3[[#This Row],[Gender]]="Female"),"Yes","No")</f>
        <v>No</v>
      </c>
      <c r="Q10" t="str">
        <f>IF(AND(TBL_Employees3[[#This Row],[Gender]]="Female",TBL_Employees3[[#This Row],[Ethnicity]]="Black"), "Female_Black", "Others")</f>
        <v>Others</v>
      </c>
    </row>
    <row r="11" spans="1:17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6">
        <v>43264</v>
      </c>
      <c r="J11" s="54">
        <v>77203</v>
      </c>
      <c r="K11" s="1">
        <v>0</v>
      </c>
      <c r="L11" t="s">
        <v>19</v>
      </c>
      <c r="M11" t="s">
        <v>20</v>
      </c>
      <c r="N11" s="6" t="s">
        <v>21</v>
      </c>
      <c r="O11" s="54">
        <f>TBL_Employees3[[#This Row],[Annual Salary]]+TBL_Employees3[[#This Row],[Bonus %]]*TBL_Employees3[[#This Row],[Annual Salary]]</f>
        <v>77203</v>
      </c>
      <c r="P11" t="str">
        <f>IF(AND(TBL_Employees3[[#This Row],[Department]]="IT",TBL_Employees3[[#This Row],[Gender]]="Female"),"Yes","No")</f>
        <v>No</v>
      </c>
      <c r="Q11" t="str">
        <f>IF(AND(TBL_Employees3[[#This Row],[Gender]]="Female",TBL_Employees3[[#This Row],[Ethnicity]]="Black"), "Female_Black", "Others")</f>
        <v>Others</v>
      </c>
    </row>
    <row r="12" spans="1:17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6">
        <v>39855</v>
      </c>
      <c r="J12" s="54">
        <v>157333</v>
      </c>
      <c r="K12" s="1">
        <v>0.15</v>
      </c>
      <c r="L12" t="s">
        <v>19</v>
      </c>
      <c r="M12" t="s">
        <v>45</v>
      </c>
      <c r="N12" s="6" t="s">
        <v>21</v>
      </c>
      <c r="O12" s="54">
        <f>TBL_Employees3[[#This Row],[Annual Salary]]+TBL_Employees3[[#This Row],[Bonus %]]*TBL_Employees3[[#This Row],[Annual Salary]]</f>
        <v>180932.95</v>
      </c>
      <c r="P12" t="str">
        <f>IF(AND(TBL_Employees3[[#This Row],[Department]]="IT",TBL_Employees3[[#This Row],[Gender]]="Female"),"Yes","No")</f>
        <v>No</v>
      </c>
      <c r="Q12" t="str">
        <f>IF(AND(TBL_Employees3[[#This Row],[Gender]]="Female",TBL_Employees3[[#This Row],[Ethnicity]]="Black"), "Female_Black", "Others")</f>
        <v>Others</v>
      </c>
    </row>
    <row r="13" spans="1:17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6">
        <v>44490</v>
      </c>
      <c r="J13" s="54">
        <v>109851</v>
      </c>
      <c r="K13" s="1">
        <v>0</v>
      </c>
      <c r="L13" t="s">
        <v>19</v>
      </c>
      <c r="M13" t="s">
        <v>63</v>
      </c>
      <c r="N13" s="6" t="s">
        <v>21</v>
      </c>
      <c r="O13" s="54">
        <f>TBL_Employees3[[#This Row],[Annual Salary]]+TBL_Employees3[[#This Row],[Bonus %]]*TBL_Employees3[[#This Row],[Annual Salary]]</f>
        <v>109851</v>
      </c>
      <c r="P13" t="str">
        <f>IF(AND(TBL_Employees3[[#This Row],[Department]]="IT",TBL_Employees3[[#This Row],[Gender]]="Female"),"Yes","No")</f>
        <v>No</v>
      </c>
      <c r="Q13" t="str">
        <f>IF(AND(TBL_Employees3[[#This Row],[Gender]]="Female",TBL_Employees3[[#This Row],[Ethnicity]]="Black"), "Female_Black", "Others")</f>
        <v>Others</v>
      </c>
    </row>
    <row r="14" spans="1:17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6">
        <v>36233</v>
      </c>
      <c r="J14" s="54">
        <v>105086</v>
      </c>
      <c r="K14" s="1">
        <v>0.09</v>
      </c>
      <c r="L14" t="s">
        <v>19</v>
      </c>
      <c r="M14" t="s">
        <v>25</v>
      </c>
      <c r="N14" s="6" t="s">
        <v>21</v>
      </c>
      <c r="O14" s="54">
        <f>TBL_Employees3[[#This Row],[Annual Salary]]+TBL_Employees3[[#This Row],[Bonus %]]*TBL_Employees3[[#This Row],[Annual Salary]]</f>
        <v>114543.74</v>
      </c>
      <c r="P14" t="str">
        <f>IF(AND(TBL_Employees3[[#This Row],[Department]]="IT",TBL_Employees3[[#This Row],[Gender]]="Female"),"Yes","No")</f>
        <v>No</v>
      </c>
      <c r="Q14" t="str">
        <f>IF(AND(TBL_Employees3[[#This Row],[Gender]]="Female",TBL_Employees3[[#This Row],[Ethnicity]]="Black"), "Female_Black", "Others")</f>
        <v>Others</v>
      </c>
    </row>
    <row r="15" spans="1:17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6">
        <v>44357</v>
      </c>
      <c r="J15" s="54">
        <v>146742</v>
      </c>
      <c r="K15" s="1">
        <v>0.1</v>
      </c>
      <c r="L15" t="s">
        <v>33</v>
      </c>
      <c r="M15" t="s">
        <v>74</v>
      </c>
      <c r="N15" s="6" t="s">
        <v>21</v>
      </c>
      <c r="O15" s="54">
        <f>TBL_Employees3[[#This Row],[Annual Salary]]+TBL_Employees3[[#This Row],[Bonus %]]*TBL_Employees3[[#This Row],[Annual Salary]]</f>
        <v>161416.20000000001</v>
      </c>
      <c r="P15" t="str">
        <f>IF(AND(TBL_Employees3[[#This Row],[Department]]="IT",TBL_Employees3[[#This Row],[Gender]]="Female"),"Yes","No")</f>
        <v>No</v>
      </c>
      <c r="Q15" t="str">
        <f>IF(AND(TBL_Employees3[[#This Row],[Gender]]="Female",TBL_Employees3[[#This Row],[Ethnicity]]="Black"), "Female_Black", "Others")</f>
        <v>Others</v>
      </c>
    </row>
    <row r="16" spans="1:17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6">
        <v>43043</v>
      </c>
      <c r="J16" s="54">
        <v>97078</v>
      </c>
      <c r="K16" s="1">
        <v>0</v>
      </c>
      <c r="L16" t="s">
        <v>19</v>
      </c>
      <c r="M16" t="s">
        <v>25</v>
      </c>
      <c r="N16" s="6">
        <v>43899</v>
      </c>
      <c r="O16" s="54">
        <f>TBL_Employees3[[#This Row],[Annual Salary]]+TBL_Employees3[[#This Row],[Bonus %]]*TBL_Employees3[[#This Row],[Annual Salary]]</f>
        <v>97078</v>
      </c>
      <c r="P16" t="str">
        <f>IF(AND(TBL_Employees3[[#This Row],[Department]]="IT",TBL_Employees3[[#This Row],[Gender]]="Female"),"Yes","No")</f>
        <v>No</v>
      </c>
      <c r="Q16" t="str">
        <f>IF(AND(TBL_Employees3[[#This Row],[Gender]]="Female",TBL_Employees3[[#This Row],[Ethnicity]]="Black"), "Female_Black", "Others")</f>
        <v>Others</v>
      </c>
    </row>
    <row r="17" spans="1:17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6">
        <v>41346</v>
      </c>
      <c r="J17" s="54">
        <v>249270</v>
      </c>
      <c r="K17" s="1">
        <v>0.3</v>
      </c>
      <c r="L17" t="s">
        <v>19</v>
      </c>
      <c r="M17" t="s">
        <v>63</v>
      </c>
      <c r="N17" s="6" t="s">
        <v>21</v>
      </c>
      <c r="O17" s="54">
        <f>TBL_Employees3[[#This Row],[Annual Salary]]+TBL_Employees3[[#This Row],[Bonus %]]*TBL_Employees3[[#This Row],[Annual Salary]]</f>
        <v>324051</v>
      </c>
      <c r="P17" t="str">
        <f>IF(AND(TBL_Employees3[[#This Row],[Department]]="IT",TBL_Employees3[[#This Row],[Gender]]="Female"),"Yes","No")</f>
        <v>No</v>
      </c>
      <c r="Q17" t="str">
        <f>IF(AND(TBL_Employees3[[#This Row],[Gender]]="Female",TBL_Employees3[[#This Row],[Ethnicity]]="Black"), "Female_Black", "Others")</f>
        <v>Others</v>
      </c>
    </row>
    <row r="18" spans="1:17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6">
        <v>37319</v>
      </c>
      <c r="J18" s="54">
        <v>175837</v>
      </c>
      <c r="K18" s="1">
        <v>0.2</v>
      </c>
      <c r="L18" t="s">
        <v>19</v>
      </c>
      <c r="M18" t="s">
        <v>39</v>
      </c>
      <c r="N18" s="6" t="s">
        <v>21</v>
      </c>
      <c r="O18" s="54">
        <f>TBL_Employees3[[#This Row],[Annual Salary]]+TBL_Employees3[[#This Row],[Bonus %]]*TBL_Employees3[[#This Row],[Annual Salary]]</f>
        <v>211004.4</v>
      </c>
      <c r="P18" t="str">
        <f>IF(AND(TBL_Employees3[[#This Row],[Department]]="IT",TBL_Employees3[[#This Row],[Gender]]="Female"),"Yes","No")</f>
        <v>No</v>
      </c>
      <c r="Q18" t="str">
        <f>IF(AND(TBL_Employees3[[#This Row],[Gender]]="Female",TBL_Employees3[[#This Row],[Ethnicity]]="Black"), "Female_Black", "Others")</f>
        <v>Female_Black</v>
      </c>
    </row>
    <row r="19" spans="1:17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6">
        <v>37956</v>
      </c>
      <c r="J19" s="54">
        <v>154828</v>
      </c>
      <c r="K19" s="1">
        <v>0.13</v>
      </c>
      <c r="L19" t="s">
        <v>19</v>
      </c>
      <c r="M19" t="s">
        <v>63</v>
      </c>
      <c r="N19" s="6" t="s">
        <v>21</v>
      </c>
      <c r="O19" s="54">
        <f>TBL_Employees3[[#This Row],[Annual Salary]]+TBL_Employees3[[#This Row],[Bonus %]]*TBL_Employees3[[#This Row],[Annual Salary]]</f>
        <v>174955.64</v>
      </c>
      <c r="P19" t="str">
        <f>IF(AND(TBL_Employees3[[#This Row],[Department]]="IT",TBL_Employees3[[#This Row],[Gender]]="Female"),"Yes","No")</f>
        <v>No</v>
      </c>
      <c r="Q19" t="str">
        <f>IF(AND(TBL_Employees3[[#This Row],[Gender]]="Female",TBL_Employees3[[#This Row],[Ethnicity]]="Black"), "Female_Black", "Others")</f>
        <v>Others</v>
      </c>
    </row>
    <row r="20" spans="1:17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6">
        <v>41581</v>
      </c>
      <c r="J20" s="54">
        <v>186503</v>
      </c>
      <c r="K20" s="1">
        <v>0.24</v>
      </c>
      <c r="L20" t="s">
        <v>19</v>
      </c>
      <c r="M20" t="s">
        <v>29</v>
      </c>
      <c r="N20" s="6" t="s">
        <v>21</v>
      </c>
      <c r="O20" s="54">
        <f>TBL_Employees3[[#This Row],[Annual Salary]]+TBL_Employees3[[#This Row],[Bonus %]]*TBL_Employees3[[#This Row],[Annual Salary]]</f>
        <v>231263.72</v>
      </c>
      <c r="P20" t="str">
        <f>IF(AND(TBL_Employees3[[#This Row],[Department]]="IT",TBL_Employees3[[#This Row],[Gender]]="Female"),"Yes","No")</f>
        <v>No</v>
      </c>
      <c r="Q20" t="str">
        <f>IF(AND(TBL_Employees3[[#This Row],[Gender]]="Female",TBL_Employees3[[#This Row],[Ethnicity]]="Black"), "Female_Black", "Others")</f>
        <v>Others</v>
      </c>
    </row>
    <row r="21" spans="1:17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6">
        <v>37446</v>
      </c>
      <c r="J21" s="54">
        <v>166331</v>
      </c>
      <c r="K21" s="1">
        <v>0.18</v>
      </c>
      <c r="L21" t="s">
        <v>33</v>
      </c>
      <c r="M21" t="s">
        <v>80</v>
      </c>
      <c r="N21" s="6" t="s">
        <v>21</v>
      </c>
      <c r="O21" s="54">
        <f>TBL_Employees3[[#This Row],[Annual Salary]]+TBL_Employees3[[#This Row],[Bonus %]]*TBL_Employees3[[#This Row],[Annual Salary]]</f>
        <v>196270.58</v>
      </c>
      <c r="P21" t="str">
        <f>IF(AND(TBL_Employees3[[#This Row],[Department]]="IT",TBL_Employees3[[#This Row],[Gender]]="Female"),"Yes","No")</f>
        <v>No</v>
      </c>
      <c r="Q21" t="str">
        <f>IF(AND(TBL_Employees3[[#This Row],[Gender]]="Female",TBL_Employees3[[#This Row],[Ethnicity]]="Black"), "Female_Black", "Others")</f>
        <v>Others</v>
      </c>
    </row>
    <row r="22" spans="1:17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6">
        <v>40917</v>
      </c>
      <c r="J22" s="54">
        <v>146140</v>
      </c>
      <c r="K22" s="1">
        <v>0.1</v>
      </c>
      <c r="L22" t="s">
        <v>52</v>
      </c>
      <c r="M22" t="s">
        <v>81</v>
      </c>
      <c r="N22" s="6" t="s">
        <v>21</v>
      </c>
      <c r="O22" s="54">
        <f>TBL_Employees3[[#This Row],[Annual Salary]]+TBL_Employees3[[#This Row],[Bonus %]]*TBL_Employees3[[#This Row],[Annual Salary]]</f>
        <v>160754</v>
      </c>
      <c r="P22" t="str">
        <f>IF(AND(TBL_Employees3[[#This Row],[Department]]="IT",TBL_Employees3[[#This Row],[Gender]]="Female"),"Yes","No")</f>
        <v>No</v>
      </c>
      <c r="Q22" t="str">
        <f>IF(AND(TBL_Employees3[[#This Row],[Gender]]="Female",TBL_Employees3[[#This Row],[Ethnicity]]="Black"), "Female_Black", "Others")</f>
        <v>Others</v>
      </c>
    </row>
    <row r="23" spans="1:17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6">
        <v>44288</v>
      </c>
      <c r="J23" s="54">
        <v>151703</v>
      </c>
      <c r="K23" s="1">
        <v>0.21</v>
      </c>
      <c r="L23" t="s">
        <v>19</v>
      </c>
      <c r="M23" t="s">
        <v>45</v>
      </c>
      <c r="N23" s="6" t="s">
        <v>21</v>
      </c>
      <c r="O23" s="54">
        <f>TBL_Employees3[[#This Row],[Annual Salary]]+TBL_Employees3[[#This Row],[Bonus %]]*TBL_Employees3[[#This Row],[Annual Salary]]</f>
        <v>183560.63</v>
      </c>
      <c r="P23" t="str">
        <f>IF(AND(TBL_Employees3[[#This Row],[Department]]="IT",TBL_Employees3[[#This Row],[Gender]]="Female"),"Yes","No")</f>
        <v>No</v>
      </c>
      <c r="Q23" t="str">
        <f>IF(AND(TBL_Employees3[[#This Row],[Gender]]="Female",TBL_Employees3[[#This Row],[Ethnicity]]="Black"), "Female_Black", "Others")</f>
        <v>Others</v>
      </c>
    </row>
    <row r="24" spans="1:17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6">
        <v>37400</v>
      </c>
      <c r="J24" s="54">
        <v>172787</v>
      </c>
      <c r="K24" s="1">
        <v>0.28000000000000003</v>
      </c>
      <c r="L24" t="s">
        <v>52</v>
      </c>
      <c r="M24" t="s">
        <v>66</v>
      </c>
      <c r="N24" s="6" t="s">
        <v>21</v>
      </c>
      <c r="O24" s="54">
        <f>TBL_Employees3[[#This Row],[Annual Salary]]+TBL_Employees3[[#This Row],[Bonus %]]*TBL_Employees3[[#This Row],[Annual Salary]]</f>
        <v>221167.36000000002</v>
      </c>
      <c r="P24" t="str">
        <f>IF(AND(TBL_Employees3[[#This Row],[Department]]="IT",TBL_Employees3[[#This Row],[Gender]]="Female"),"Yes","No")</f>
        <v>No</v>
      </c>
      <c r="Q24" t="str">
        <f>IF(AND(TBL_Employees3[[#This Row],[Gender]]="Female",TBL_Employees3[[#This Row],[Ethnicity]]="Black"), "Female_Black", "Others")</f>
        <v>Others</v>
      </c>
    </row>
    <row r="25" spans="1:17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6">
        <v>43713</v>
      </c>
      <c r="J25" s="54">
        <v>49998</v>
      </c>
      <c r="K25" s="1">
        <v>0</v>
      </c>
      <c r="L25" t="s">
        <v>19</v>
      </c>
      <c r="M25" t="s">
        <v>63</v>
      </c>
      <c r="N25" s="6" t="s">
        <v>21</v>
      </c>
      <c r="O25" s="54">
        <f>TBL_Employees3[[#This Row],[Annual Salary]]+TBL_Employees3[[#This Row],[Bonus %]]*TBL_Employees3[[#This Row],[Annual Salary]]</f>
        <v>49998</v>
      </c>
      <c r="P25" t="str">
        <f>IF(AND(TBL_Employees3[[#This Row],[Department]]="IT",TBL_Employees3[[#This Row],[Gender]]="Female"),"Yes","No")</f>
        <v>No</v>
      </c>
      <c r="Q25" t="str">
        <f>IF(AND(TBL_Employees3[[#This Row],[Gender]]="Female",TBL_Employees3[[#This Row],[Ethnicity]]="Black"), "Female_Black", "Others")</f>
        <v>Others</v>
      </c>
    </row>
    <row r="26" spans="1:17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6">
        <v>41700</v>
      </c>
      <c r="J26" s="54">
        <v>207172</v>
      </c>
      <c r="K26" s="1">
        <v>0.31</v>
      </c>
      <c r="L26" t="s">
        <v>33</v>
      </c>
      <c r="M26" t="s">
        <v>80</v>
      </c>
      <c r="N26" s="6" t="s">
        <v>21</v>
      </c>
      <c r="O26" s="54">
        <f>TBL_Employees3[[#This Row],[Annual Salary]]+TBL_Employees3[[#This Row],[Bonus %]]*TBL_Employees3[[#This Row],[Annual Salary]]</f>
        <v>271395.32</v>
      </c>
      <c r="P26" t="str">
        <f>IF(AND(TBL_Employees3[[#This Row],[Department]]="IT",TBL_Employees3[[#This Row],[Gender]]="Female"),"Yes","No")</f>
        <v>No</v>
      </c>
      <c r="Q26" t="str">
        <f>IF(AND(TBL_Employees3[[#This Row],[Gender]]="Female",TBL_Employees3[[#This Row],[Ethnicity]]="Black"), "Female_Black", "Others")</f>
        <v>Others</v>
      </c>
    </row>
    <row r="27" spans="1:17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6">
        <v>42111</v>
      </c>
      <c r="J27" s="54">
        <v>152239</v>
      </c>
      <c r="K27" s="1">
        <v>0.23</v>
      </c>
      <c r="L27" t="s">
        <v>19</v>
      </c>
      <c r="M27" t="s">
        <v>29</v>
      </c>
      <c r="N27" s="6" t="s">
        <v>21</v>
      </c>
      <c r="O27" s="54">
        <f>TBL_Employees3[[#This Row],[Annual Salary]]+TBL_Employees3[[#This Row],[Bonus %]]*TBL_Employees3[[#This Row],[Annual Salary]]</f>
        <v>187253.97</v>
      </c>
      <c r="P27" t="str">
        <f>IF(AND(TBL_Employees3[[#This Row],[Department]]="IT",TBL_Employees3[[#This Row],[Gender]]="Female"),"Yes","No")</f>
        <v>No</v>
      </c>
      <c r="Q27" t="str">
        <f>IF(AND(TBL_Employees3[[#This Row],[Gender]]="Female",TBL_Employees3[[#This Row],[Ethnicity]]="Black"), "Female_Black", "Others")</f>
        <v>Others</v>
      </c>
    </row>
    <row r="28" spans="1:17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6">
        <v>38388</v>
      </c>
      <c r="J28" s="54">
        <v>98581</v>
      </c>
      <c r="K28" s="1">
        <v>0</v>
      </c>
      <c r="L28" t="s">
        <v>52</v>
      </c>
      <c r="M28" t="s">
        <v>66</v>
      </c>
      <c r="N28" s="6" t="s">
        <v>21</v>
      </c>
      <c r="O28" s="54">
        <f>TBL_Employees3[[#This Row],[Annual Salary]]+TBL_Employees3[[#This Row],[Bonus %]]*TBL_Employees3[[#This Row],[Annual Salary]]</f>
        <v>98581</v>
      </c>
      <c r="P28" t="str">
        <f>IF(AND(TBL_Employees3[[#This Row],[Department]]="IT",TBL_Employees3[[#This Row],[Gender]]="Female"),"Yes","No")</f>
        <v>No</v>
      </c>
      <c r="Q28" t="str">
        <f>IF(AND(TBL_Employees3[[#This Row],[Gender]]="Female",TBL_Employees3[[#This Row],[Ethnicity]]="Black"), "Female_Black", "Others")</f>
        <v>Others</v>
      </c>
    </row>
    <row r="29" spans="1:17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6">
        <v>38145</v>
      </c>
      <c r="J29" s="54">
        <v>246231</v>
      </c>
      <c r="K29" s="1">
        <v>0.31</v>
      </c>
      <c r="L29" t="s">
        <v>19</v>
      </c>
      <c r="M29" t="s">
        <v>63</v>
      </c>
      <c r="N29" s="6" t="s">
        <v>21</v>
      </c>
      <c r="O29" s="54">
        <f>TBL_Employees3[[#This Row],[Annual Salary]]+TBL_Employees3[[#This Row],[Bonus %]]*TBL_Employees3[[#This Row],[Annual Salary]]</f>
        <v>322562.61</v>
      </c>
      <c r="P29" t="str">
        <f>IF(AND(TBL_Employees3[[#This Row],[Department]]="IT",TBL_Employees3[[#This Row],[Gender]]="Female"),"Yes","No")</f>
        <v>No</v>
      </c>
      <c r="Q29" t="str">
        <f>IF(AND(TBL_Employees3[[#This Row],[Gender]]="Female",TBL_Employees3[[#This Row],[Ethnicity]]="Black"), "Female_Black", "Others")</f>
        <v>Others</v>
      </c>
    </row>
    <row r="30" spans="1:17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6">
        <v>35403</v>
      </c>
      <c r="J30" s="54">
        <v>99354</v>
      </c>
      <c r="K30" s="1">
        <v>0.12</v>
      </c>
      <c r="L30" t="s">
        <v>33</v>
      </c>
      <c r="M30" t="s">
        <v>60</v>
      </c>
      <c r="N30" s="6" t="s">
        <v>21</v>
      </c>
      <c r="O30" s="54">
        <f>TBL_Employees3[[#This Row],[Annual Salary]]+TBL_Employees3[[#This Row],[Bonus %]]*TBL_Employees3[[#This Row],[Annual Salary]]</f>
        <v>111276.48</v>
      </c>
      <c r="P30" t="str">
        <f>IF(AND(TBL_Employees3[[#This Row],[Department]]="IT",TBL_Employees3[[#This Row],[Gender]]="Female"),"Yes","No")</f>
        <v>No</v>
      </c>
      <c r="Q30" t="str">
        <f>IF(AND(TBL_Employees3[[#This Row],[Gender]]="Female",TBL_Employees3[[#This Row],[Ethnicity]]="Black"), "Female_Black", "Others")</f>
        <v>Others</v>
      </c>
    </row>
    <row r="31" spans="1:17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6">
        <v>41040</v>
      </c>
      <c r="J31" s="54">
        <v>231141</v>
      </c>
      <c r="K31" s="1">
        <v>0.34</v>
      </c>
      <c r="L31" t="s">
        <v>33</v>
      </c>
      <c r="M31" t="s">
        <v>60</v>
      </c>
      <c r="N31" s="6" t="s">
        <v>21</v>
      </c>
      <c r="O31" s="54">
        <f>TBL_Employees3[[#This Row],[Annual Salary]]+TBL_Employees3[[#This Row],[Bonus %]]*TBL_Employees3[[#This Row],[Annual Salary]]</f>
        <v>309728.94</v>
      </c>
      <c r="P31" t="str">
        <f>IF(AND(TBL_Employees3[[#This Row],[Department]]="IT",TBL_Employees3[[#This Row],[Gender]]="Female"),"Yes","No")</f>
        <v>No</v>
      </c>
      <c r="Q31" t="str">
        <f>IF(AND(TBL_Employees3[[#This Row],[Gender]]="Female",TBL_Employees3[[#This Row],[Ethnicity]]="Black"), "Female_Black", "Others")</f>
        <v>Others</v>
      </c>
    </row>
    <row r="32" spans="1:17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6">
        <v>42911</v>
      </c>
      <c r="J32" s="54">
        <v>54775</v>
      </c>
      <c r="K32" s="1">
        <v>0</v>
      </c>
      <c r="L32" t="s">
        <v>19</v>
      </c>
      <c r="M32" t="s">
        <v>29</v>
      </c>
      <c r="N32" s="6" t="s">
        <v>21</v>
      </c>
      <c r="O32" s="54">
        <f>TBL_Employees3[[#This Row],[Annual Salary]]+TBL_Employees3[[#This Row],[Bonus %]]*TBL_Employees3[[#This Row],[Annual Salary]]</f>
        <v>54775</v>
      </c>
      <c r="P32" t="str">
        <f>IF(AND(TBL_Employees3[[#This Row],[Department]]="IT",TBL_Employees3[[#This Row],[Gender]]="Female"),"Yes","No")</f>
        <v>No</v>
      </c>
      <c r="Q32" t="str">
        <f>IF(AND(TBL_Employees3[[#This Row],[Gender]]="Female",TBL_Employees3[[#This Row],[Ethnicity]]="Black"), "Female_Black", "Others")</f>
        <v>Others</v>
      </c>
    </row>
    <row r="33" spans="1:17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6">
        <v>38123</v>
      </c>
      <c r="J33" s="54">
        <v>55499</v>
      </c>
      <c r="K33" s="1">
        <v>0</v>
      </c>
      <c r="L33" t="s">
        <v>52</v>
      </c>
      <c r="M33" t="s">
        <v>81</v>
      </c>
      <c r="N33" s="6" t="s">
        <v>21</v>
      </c>
      <c r="O33" s="54">
        <f>TBL_Employees3[[#This Row],[Annual Salary]]+TBL_Employees3[[#This Row],[Bonus %]]*TBL_Employees3[[#This Row],[Annual Salary]]</f>
        <v>55499</v>
      </c>
      <c r="P33" t="str">
        <f>IF(AND(TBL_Employees3[[#This Row],[Department]]="IT",TBL_Employees3[[#This Row],[Gender]]="Female"),"Yes","No")</f>
        <v>No</v>
      </c>
      <c r="Q33" t="str">
        <f>IF(AND(TBL_Employees3[[#This Row],[Gender]]="Female",TBL_Employees3[[#This Row],[Ethnicity]]="Black"), "Female_Black", "Others")</f>
        <v>Others</v>
      </c>
    </row>
    <row r="34" spans="1:17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6">
        <v>39640</v>
      </c>
      <c r="J34" s="54">
        <v>66521</v>
      </c>
      <c r="K34" s="1">
        <v>0</v>
      </c>
      <c r="L34" t="s">
        <v>19</v>
      </c>
      <c r="M34" t="s">
        <v>63</v>
      </c>
      <c r="N34" s="6" t="s">
        <v>21</v>
      </c>
      <c r="O34" s="54">
        <f>TBL_Employees3[[#This Row],[Annual Salary]]+TBL_Employees3[[#This Row],[Bonus %]]*TBL_Employees3[[#This Row],[Annual Salary]]</f>
        <v>66521</v>
      </c>
      <c r="P34" t="str">
        <f>IF(AND(TBL_Employees3[[#This Row],[Department]]="IT",TBL_Employees3[[#This Row],[Gender]]="Female"),"Yes","No")</f>
        <v>No</v>
      </c>
      <c r="Q34" t="str">
        <f>IF(AND(TBL_Employees3[[#This Row],[Gender]]="Female",TBL_Employees3[[#This Row],[Ethnicity]]="Black"), "Female_Black", "Others")</f>
        <v>Others</v>
      </c>
    </row>
    <row r="35" spans="1:17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6">
        <v>42642</v>
      </c>
      <c r="J35" s="54">
        <v>59100</v>
      </c>
      <c r="K35" s="1">
        <v>0</v>
      </c>
      <c r="L35" t="s">
        <v>33</v>
      </c>
      <c r="M35" t="s">
        <v>80</v>
      </c>
      <c r="N35" s="6" t="s">
        <v>21</v>
      </c>
      <c r="O35" s="54">
        <f>TBL_Employees3[[#This Row],[Annual Salary]]+TBL_Employees3[[#This Row],[Bonus %]]*TBL_Employees3[[#This Row],[Annual Salary]]</f>
        <v>59100</v>
      </c>
      <c r="P35" t="str">
        <f>IF(AND(TBL_Employees3[[#This Row],[Department]]="IT",TBL_Employees3[[#This Row],[Gender]]="Female"),"Yes","No")</f>
        <v>No</v>
      </c>
      <c r="Q35" t="str">
        <f>IF(AND(TBL_Employees3[[#This Row],[Gender]]="Female",TBL_Employees3[[#This Row],[Ethnicity]]="Black"), "Female_Black", "Others")</f>
        <v>Others</v>
      </c>
    </row>
    <row r="36" spans="1:17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6">
        <v>43226</v>
      </c>
      <c r="J36" s="54">
        <v>49011</v>
      </c>
      <c r="K36" s="1">
        <v>0</v>
      </c>
      <c r="L36" t="s">
        <v>19</v>
      </c>
      <c r="M36" t="s">
        <v>20</v>
      </c>
      <c r="N36" s="6" t="s">
        <v>21</v>
      </c>
      <c r="O36" s="54">
        <f>TBL_Employees3[[#This Row],[Annual Salary]]+TBL_Employees3[[#This Row],[Bonus %]]*TBL_Employees3[[#This Row],[Annual Salary]]</f>
        <v>49011</v>
      </c>
      <c r="P36" t="str">
        <f>IF(AND(TBL_Employees3[[#This Row],[Department]]="IT",TBL_Employees3[[#This Row],[Gender]]="Female"),"Yes","No")</f>
        <v>No</v>
      </c>
      <c r="Q36" t="str">
        <f>IF(AND(TBL_Employees3[[#This Row],[Gender]]="Female",TBL_Employees3[[#This Row],[Ethnicity]]="Black"), "Female_Black", "Others")</f>
        <v>Others</v>
      </c>
    </row>
    <row r="37" spans="1:17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6">
        <v>41681</v>
      </c>
      <c r="J37" s="54">
        <v>99575</v>
      </c>
      <c r="K37" s="1">
        <v>0</v>
      </c>
      <c r="L37" t="s">
        <v>19</v>
      </c>
      <c r="M37" t="s">
        <v>25</v>
      </c>
      <c r="N37" s="6" t="s">
        <v>21</v>
      </c>
      <c r="O37" s="54">
        <f>TBL_Employees3[[#This Row],[Annual Salary]]+TBL_Employees3[[#This Row],[Bonus %]]*TBL_Employees3[[#This Row],[Annual Salary]]</f>
        <v>99575</v>
      </c>
      <c r="P37" t="str">
        <f>IF(AND(TBL_Employees3[[#This Row],[Department]]="IT",TBL_Employees3[[#This Row],[Gender]]="Female"),"Yes","No")</f>
        <v>Yes</v>
      </c>
      <c r="Q37" t="str">
        <f>IF(AND(TBL_Employees3[[#This Row],[Gender]]="Female",TBL_Employees3[[#This Row],[Ethnicity]]="Black"), "Female_Black", "Others")</f>
        <v>Others</v>
      </c>
    </row>
    <row r="38" spans="1:17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6">
        <v>43815</v>
      </c>
      <c r="J38" s="54">
        <v>99989</v>
      </c>
      <c r="K38" s="1">
        <v>0</v>
      </c>
      <c r="L38" t="s">
        <v>33</v>
      </c>
      <c r="M38" t="s">
        <v>34</v>
      </c>
      <c r="N38" s="6" t="s">
        <v>21</v>
      </c>
      <c r="O38" s="54">
        <f>TBL_Employees3[[#This Row],[Annual Salary]]+TBL_Employees3[[#This Row],[Bonus %]]*TBL_Employees3[[#This Row],[Annual Salary]]</f>
        <v>99989</v>
      </c>
      <c r="P38" t="str">
        <f>IF(AND(TBL_Employees3[[#This Row],[Department]]="IT",TBL_Employees3[[#This Row],[Gender]]="Female"),"Yes","No")</f>
        <v>No</v>
      </c>
      <c r="Q38" t="str">
        <f>IF(AND(TBL_Employees3[[#This Row],[Gender]]="Female",TBL_Employees3[[#This Row],[Ethnicity]]="Black"), "Female_Black", "Others")</f>
        <v>Others</v>
      </c>
    </row>
    <row r="39" spans="1:17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6">
        <v>43758</v>
      </c>
      <c r="J39" s="54">
        <v>256420</v>
      </c>
      <c r="K39" s="1">
        <v>0.3</v>
      </c>
      <c r="L39" t="s">
        <v>19</v>
      </c>
      <c r="M39" t="s">
        <v>39</v>
      </c>
      <c r="N39" s="6" t="s">
        <v>21</v>
      </c>
      <c r="O39" s="54">
        <f>TBL_Employees3[[#This Row],[Annual Salary]]+TBL_Employees3[[#This Row],[Bonus %]]*TBL_Employees3[[#This Row],[Annual Salary]]</f>
        <v>333346</v>
      </c>
      <c r="P39" t="str">
        <f>IF(AND(TBL_Employees3[[#This Row],[Department]]="IT",TBL_Employees3[[#This Row],[Gender]]="Female"),"Yes","No")</f>
        <v>No</v>
      </c>
      <c r="Q39" t="str">
        <f>IF(AND(TBL_Employees3[[#This Row],[Gender]]="Female",TBL_Employees3[[#This Row],[Ethnicity]]="Black"), "Female_Black", "Others")</f>
        <v>Others</v>
      </c>
    </row>
    <row r="40" spans="1:17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6">
        <v>41409</v>
      </c>
      <c r="J40" s="54">
        <v>78940</v>
      </c>
      <c r="K40" s="1">
        <v>0</v>
      </c>
      <c r="L40" t="s">
        <v>19</v>
      </c>
      <c r="M40" t="s">
        <v>45</v>
      </c>
      <c r="N40" s="6" t="s">
        <v>21</v>
      </c>
      <c r="O40" s="54">
        <f>TBL_Employees3[[#This Row],[Annual Salary]]+TBL_Employees3[[#This Row],[Bonus %]]*TBL_Employees3[[#This Row],[Annual Salary]]</f>
        <v>78940</v>
      </c>
      <c r="P40" t="str">
        <f>IF(AND(TBL_Employees3[[#This Row],[Department]]="IT",TBL_Employees3[[#This Row],[Gender]]="Female"),"Yes","No")</f>
        <v>Yes</v>
      </c>
      <c r="Q40" t="str">
        <f>IF(AND(TBL_Employees3[[#This Row],[Gender]]="Female",TBL_Employees3[[#This Row],[Ethnicity]]="Black"), "Female_Black", "Others")</f>
        <v>Others</v>
      </c>
    </row>
    <row r="41" spans="1:17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6">
        <v>34337</v>
      </c>
      <c r="J41" s="54">
        <v>82872</v>
      </c>
      <c r="K41" s="1">
        <v>0</v>
      </c>
      <c r="L41" t="s">
        <v>52</v>
      </c>
      <c r="M41" t="s">
        <v>81</v>
      </c>
      <c r="N41" s="6" t="s">
        <v>21</v>
      </c>
      <c r="O41" s="54">
        <f>TBL_Employees3[[#This Row],[Annual Salary]]+TBL_Employees3[[#This Row],[Bonus %]]*TBL_Employees3[[#This Row],[Annual Salary]]</f>
        <v>82872</v>
      </c>
      <c r="P41" t="str">
        <f>IF(AND(TBL_Employees3[[#This Row],[Department]]="IT",TBL_Employees3[[#This Row],[Gender]]="Female"),"Yes","No")</f>
        <v>Yes</v>
      </c>
      <c r="Q41" t="str">
        <f>IF(AND(TBL_Employees3[[#This Row],[Gender]]="Female",TBL_Employees3[[#This Row],[Ethnicity]]="Black"), "Female_Black", "Others")</f>
        <v>Others</v>
      </c>
    </row>
    <row r="42" spans="1:17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6">
        <v>42884</v>
      </c>
      <c r="J42" s="54">
        <v>86317</v>
      </c>
      <c r="K42" s="1">
        <v>0</v>
      </c>
      <c r="L42" t="s">
        <v>33</v>
      </c>
      <c r="M42" t="s">
        <v>34</v>
      </c>
      <c r="N42" s="6">
        <v>42932</v>
      </c>
      <c r="O42" s="54">
        <f>TBL_Employees3[[#This Row],[Annual Salary]]+TBL_Employees3[[#This Row],[Bonus %]]*TBL_Employees3[[#This Row],[Annual Salary]]</f>
        <v>86317</v>
      </c>
      <c r="P42" t="str">
        <f>IF(AND(TBL_Employees3[[#This Row],[Department]]="IT",TBL_Employees3[[#This Row],[Gender]]="Female"),"Yes","No")</f>
        <v>No</v>
      </c>
      <c r="Q42" t="str">
        <f>IF(AND(TBL_Employees3[[#This Row],[Gender]]="Female",TBL_Employees3[[#This Row],[Ethnicity]]="Black"), "Female_Black", "Others")</f>
        <v>Others</v>
      </c>
    </row>
    <row r="43" spans="1:17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6">
        <v>41601</v>
      </c>
      <c r="J43" s="54">
        <v>113135</v>
      </c>
      <c r="K43" s="1">
        <v>0.05</v>
      </c>
      <c r="L43" t="s">
        <v>19</v>
      </c>
      <c r="M43" t="s">
        <v>25</v>
      </c>
      <c r="N43" s="6" t="s">
        <v>21</v>
      </c>
      <c r="O43" s="54">
        <f>TBL_Employees3[[#This Row],[Annual Salary]]+TBL_Employees3[[#This Row],[Bonus %]]*TBL_Employees3[[#This Row],[Annual Salary]]</f>
        <v>118791.75</v>
      </c>
      <c r="P43" t="str">
        <f>IF(AND(TBL_Employees3[[#This Row],[Department]]="IT",TBL_Employees3[[#This Row],[Gender]]="Female"),"Yes","No")</f>
        <v>No</v>
      </c>
      <c r="Q43" t="str">
        <f>IF(AND(TBL_Employees3[[#This Row],[Gender]]="Female",TBL_Employees3[[#This Row],[Ethnicity]]="Black"), "Female_Black", "Others")</f>
        <v>Others</v>
      </c>
    </row>
    <row r="44" spans="1:17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6">
        <v>38664</v>
      </c>
      <c r="J44" s="54">
        <v>199808</v>
      </c>
      <c r="K44" s="1">
        <v>0.32</v>
      </c>
      <c r="L44" t="s">
        <v>19</v>
      </c>
      <c r="M44" t="s">
        <v>63</v>
      </c>
      <c r="N44" s="6" t="s">
        <v>21</v>
      </c>
      <c r="O44" s="54">
        <f>TBL_Employees3[[#This Row],[Annual Salary]]+TBL_Employees3[[#This Row],[Bonus %]]*TBL_Employees3[[#This Row],[Annual Salary]]</f>
        <v>263746.56</v>
      </c>
      <c r="P44" t="str">
        <f>IF(AND(TBL_Employees3[[#This Row],[Department]]="IT",TBL_Employees3[[#This Row],[Gender]]="Female"),"Yes","No")</f>
        <v>No</v>
      </c>
      <c r="Q44" t="str">
        <f>IF(AND(TBL_Employees3[[#This Row],[Gender]]="Female",TBL_Employees3[[#This Row],[Ethnicity]]="Black"), "Female_Black", "Others")</f>
        <v>Others</v>
      </c>
    </row>
    <row r="45" spans="1:17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6">
        <v>41592</v>
      </c>
      <c r="J45" s="54">
        <v>56037</v>
      </c>
      <c r="K45" s="1">
        <v>0</v>
      </c>
      <c r="L45" t="s">
        <v>33</v>
      </c>
      <c r="M45" t="s">
        <v>74</v>
      </c>
      <c r="N45" s="6" t="s">
        <v>21</v>
      </c>
      <c r="O45" s="54">
        <f>TBL_Employees3[[#This Row],[Annual Salary]]+TBL_Employees3[[#This Row],[Bonus %]]*TBL_Employees3[[#This Row],[Annual Salary]]</f>
        <v>56037</v>
      </c>
      <c r="P45" t="str">
        <f>IF(AND(TBL_Employees3[[#This Row],[Department]]="IT",TBL_Employees3[[#This Row],[Gender]]="Female"),"Yes","No")</f>
        <v>No</v>
      </c>
      <c r="Q45" t="str">
        <f>IF(AND(TBL_Employees3[[#This Row],[Gender]]="Female",TBL_Employees3[[#This Row],[Ethnicity]]="Black"), "Female_Black", "Others")</f>
        <v>Others</v>
      </c>
    </row>
    <row r="46" spans="1:17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6">
        <v>43609</v>
      </c>
      <c r="J46" s="54">
        <v>122350</v>
      </c>
      <c r="K46" s="1">
        <v>0.12</v>
      </c>
      <c r="L46" t="s">
        <v>19</v>
      </c>
      <c r="M46" t="s">
        <v>39</v>
      </c>
      <c r="N46" s="6" t="s">
        <v>21</v>
      </c>
      <c r="O46" s="54">
        <f>TBL_Employees3[[#This Row],[Annual Salary]]+TBL_Employees3[[#This Row],[Bonus %]]*TBL_Employees3[[#This Row],[Annual Salary]]</f>
        <v>137032</v>
      </c>
      <c r="P46" t="str">
        <f>IF(AND(TBL_Employees3[[#This Row],[Department]]="IT",TBL_Employees3[[#This Row],[Gender]]="Female"),"Yes","No")</f>
        <v>No</v>
      </c>
      <c r="Q46" t="str">
        <f>IF(AND(TBL_Employees3[[#This Row],[Gender]]="Female",TBL_Employees3[[#This Row],[Ethnicity]]="Black"), "Female_Black", "Others")</f>
        <v>Others</v>
      </c>
    </row>
    <row r="47" spans="1:17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6">
        <v>40486</v>
      </c>
      <c r="J47" s="54">
        <v>92952</v>
      </c>
      <c r="K47" s="1">
        <v>0</v>
      </c>
      <c r="L47" t="s">
        <v>19</v>
      </c>
      <c r="M47" t="s">
        <v>63</v>
      </c>
      <c r="N47" s="6" t="s">
        <v>21</v>
      </c>
      <c r="O47" s="54">
        <f>TBL_Employees3[[#This Row],[Annual Salary]]+TBL_Employees3[[#This Row],[Bonus %]]*TBL_Employees3[[#This Row],[Annual Salary]]</f>
        <v>92952</v>
      </c>
      <c r="P47" t="str">
        <f>IF(AND(TBL_Employees3[[#This Row],[Department]]="IT",TBL_Employees3[[#This Row],[Gender]]="Female"),"Yes","No")</f>
        <v>No</v>
      </c>
      <c r="Q47" t="str">
        <f>IF(AND(TBL_Employees3[[#This Row],[Gender]]="Female",TBL_Employees3[[#This Row],[Ethnicity]]="Black"), "Female_Black", "Others")</f>
        <v>Others</v>
      </c>
    </row>
    <row r="48" spans="1:17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6">
        <v>41353</v>
      </c>
      <c r="J48" s="54">
        <v>79921</v>
      </c>
      <c r="K48" s="1">
        <v>0.05</v>
      </c>
      <c r="L48" t="s">
        <v>19</v>
      </c>
      <c r="M48" t="s">
        <v>25</v>
      </c>
      <c r="N48" s="6" t="s">
        <v>21</v>
      </c>
      <c r="O48" s="54">
        <f>TBL_Employees3[[#This Row],[Annual Salary]]+TBL_Employees3[[#This Row],[Bonus %]]*TBL_Employees3[[#This Row],[Annual Salary]]</f>
        <v>83917.05</v>
      </c>
      <c r="P48" t="str">
        <f>IF(AND(TBL_Employees3[[#This Row],[Department]]="IT",TBL_Employees3[[#This Row],[Gender]]="Female"),"Yes","No")</f>
        <v>No</v>
      </c>
      <c r="Q48" t="str">
        <f>IF(AND(TBL_Employees3[[#This Row],[Gender]]="Female",TBL_Employees3[[#This Row],[Ethnicity]]="Black"), "Female_Black", "Others")</f>
        <v>Others</v>
      </c>
    </row>
    <row r="49" spans="1:17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6">
        <v>40076</v>
      </c>
      <c r="J49" s="54">
        <v>167199</v>
      </c>
      <c r="K49" s="1">
        <v>0.2</v>
      </c>
      <c r="L49" t="s">
        <v>19</v>
      </c>
      <c r="M49" t="s">
        <v>63</v>
      </c>
      <c r="N49" s="6" t="s">
        <v>21</v>
      </c>
      <c r="O49" s="54">
        <f>TBL_Employees3[[#This Row],[Annual Salary]]+TBL_Employees3[[#This Row],[Bonus %]]*TBL_Employees3[[#This Row],[Annual Salary]]</f>
        <v>200638.8</v>
      </c>
      <c r="P49" t="str">
        <f>IF(AND(TBL_Employees3[[#This Row],[Department]]="IT",TBL_Employees3[[#This Row],[Gender]]="Female"),"Yes","No")</f>
        <v>Yes</v>
      </c>
      <c r="Q49" t="str">
        <f>IF(AND(TBL_Employees3[[#This Row],[Gender]]="Female",TBL_Employees3[[#This Row],[Ethnicity]]="Black"), "Female_Black", "Others")</f>
        <v>Female_Black</v>
      </c>
    </row>
    <row r="50" spans="1:17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6">
        <v>41199</v>
      </c>
      <c r="J50" s="54">
        <v>71476</v>
      </c>
      <c r="K50" s="1">
        <v>0</v>
      </c>
      <c r="L50" t="s">
        <v>19</v>
      </c>
      <c r="M50" t="s">
        <v>39</v>
      </c>
      <c r="N50" s="6" t="s">
        <v>21</v>
      </c>
      <c r="O50" s="54">
        <f>TBL_Employees3[[#This Row],[Annual Salary]]+TBL_Employees3[[#This Row],[Bonus %]]*TBL_Employees3[[#This Row],[Annual Salary]]</f>
        <v>71476</v>
      </c>
      <c r="P50" t="str">
        <f>IF(AND(TBL_Employees3[[#This Row],[Department]]="IT",TBL_Employees3[[#This Row],[Gender]]="Female"),"Yes","No")</f>
        <v>No</v>
      </c>
      <c r="Q50" t="str">
        <f>IF(AND(TBL_Employees3[[#This Row],[Gender]]="Female",TBL_Employees3[[#This Row],[Ethnicity]]="Black"), "Female_Black", "Others")</f>
        <v>Others</v>
      </c>
    </row>
    <row r="51" spans="1:17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6">
        <v>41941</v>
      </c>
      <c r="J51" s="54">
        <v>189420</v>
      </c>
      <c r="K51" s="1">
        <v>0.2</v>
      </c>
      <c r="L51" t="s">
        <v>19</v>
      </c>
      <c r="M51" t="s">
        <v>63</v>
      </c>
      <c r="N51" s="6" t="s">
        <v>21</v>
      </c>
      <c r="O51" s="54">
        <f>TBL_Employees3[[#This Row],[Annual Salary]]+TBL_Employees3[[#This Row],[Bonus %]]*TBL_Employees3[[#This Row],[Annual Salary]]</f>
        <v>227304</v>
      </c>
      <c r="P51" t="str">
        <f>IF(AND(TBL_Employees3[[#This Row],[Department]]="IT",TBL_Employees3[[#This Row],[Gender]]="Female"),"Yes","No")</f>
        <v>No</v>
      </c>
      <c r="Q51" t="str">
        <f>IF(AND(TBL_Employees3[[#This Row],[Gender]]="Female",TBL_Employees3[[#This Row],[Ethnicity]]="Black"), "Female_Black", "Others")</f>
        <v>Others</v>
      </c>
    </row>
    <row r="52" spans="1:17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6">
        <v>37184</v>
      </c>
      <c r="J52" s="54">
        <v>64057</v>
      </c>
      <c r="K52" s="1">
        <v>0</v>
      </c>
      <c r="L52" t="s">
        <v>19</v>
      </c>
      <c r="M52" t="s">
        <v>39</v>
      </c>
      <c r="N52" s="6" t="s">
        <v>21</v>
      </c>
      <c r="O52" s="54">
        <f>TBL_Employees3[[#This Row],[Annual Salary]]+TBL_Employees3[[#This Row],[Bonus %]]*TBL_Employees3[[#This Row],[Annual Salary]]</f>
        <v>64057</v>
      </c>
      <c r="P52" t="str">
        <f>IF(AND(TBL_Employees3[[#This Row],[Department]]="IT",TBL_Employees3[[#This Row],[Gender]]="Female"),"Yes","No")</f>
        <v>No</v>
      </c>
      <c r="Q52" t="str">
        <f>IF(AND(TBL_Employees3[[#This Row],[Gender]]="Female",TBL_Employees3[[#This Row],[Ethnicity]]="Black"), "Female_Black", "Others")</f>
        <v>Others</v>
      </c>
    </row>
    <row r="53" spans="1:17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6">
        <v>44460</v>
      </c>
      <c r="J53" s="54">
        <v>68728</v>
      </c>
      <c r="K53" s="1">
        <v>0</v>
      </c>
      <c r="L53" t="s">
        <v>19</v>
      </c>
      <c r="M53" t="s">
        <v>39</v>
      </c>
      <c r="N53" s="6" t="s">
        <v>21</v>
      </c>
      <c r="O53" s="54">
        <f>TBL_Employees3[[#This Row],[Annual Salary]]+TBL_Employees3[[#This Row],[Bonus %]]*TBL_Employees3[[#This Row],[Annual Salary]]</f>
        <v>68728</v>
      </c>
      <c r="P53" t="str">
        <f>IF(AND(TBL_Employees3[[#This Row],[Department]]="IT",TBL_Employees3[[#This Row],[Gender]]="Female"),"Yes","No")</f>
        <v>No</v>
      </c>
      <c r="Q53" t="str">
        <f>IF(AND(TBL_Employees3[[#This Row],[Gender]]="Female",TBL_Employees3[[#This Row],[Ethnicity]]="Black"), "Female_Black", "Others")</f>
        <v>Female_Black</v>
      </c>
    </row>
    <row r="54" spans="1:17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6">
        <v>44379</v>
      </c>
      <c r="J54" s="54">
        <v>125633</v>
      </c>
      <c r="K54" s="1">
        <v>0.11</v>
      </c>
      <c r="L54" t="s">
        <v>33</v>
      </c>
      <c r="M54" t="s">
        <v>60</v>
      </c>
      <c r="N54" s="6" t="s">
        <v>21</v>
      </c>
      <c r="O54" s="54">
        <f>TBL_Employees3[[#This Row],[Annual Salary]]+TBL_Employees3[[#This Row],[Bonus %]]*TBL_Employees3[[#This Row],[Annual Salary]]</f>
        <v>139452.63</v>
      </c>
      <c r="P54" t="str">
        <f>IF(AND(TBL_Employees3[[#This Row],[Department]]="IT",TBL_Employees3[[#This Row],[Gender]]="Female"),"Yes","No")</f>
        <v>Yes</v>
      </c>
      <c r="Q54" t="str">
        <f>IF(AND(TBL_Employees3[[#This Row],[Gender]]="Female",TBL_Employees3[[#This Row],[Ethnicity]]="Black"), "Female_Black", "Others")</f>
        <v>Others</v>
      </c>
    </row>
    <row r="55" spans="1:17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6">
        <v>40678</v>
      </c>
      <c r="J55" s="54">
        <v>66889</v>
      </c>
      <c r="K55" s="1">
        <v>0</v>
      </c>
      <c r="L55" t="s">
        <v>19</v>
      </c>
      <c r="M55" t="s">
        <v>29</v>
      </c>
      <c r="N55" s="6" t="s">
        <v>21</v>
      </c>
      <c r="O55" s="54">
        <f>TBL_Employees3[[#This Row],[Annual Salary]]+TBL_Employees3[[#This Row],[Bonus %]]*TBL_Employees3[[#This Row],[Annual Salary]]</f>
        <v>66889</v>
      </c>
      <c r="P55" t="str">
        <f>IF(AND(TBL_Employees3[[#This Row],[Department]]="IT",TBL_Employees3[[#This Row],[Gender]]="Female"),"Yes","No")</f>
        <v>No</v>
      </c>
      <c r="Q55" t="str">
        <f>IF(AND(TBL_Employees3[[#This Row],[Gender]]="Female",TBL_Employees3[[#This Row],[Ethnicity]]="Black"), "Female_Black", "Others")</f>
        <v>Others</v>
      </c>
    </row>
    <row r="56" spans="1:17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6">
        <v>42276</v>
      </c>
      <c r="J56" s="54">
        <v>178700</v>
      </c>
      <c r="K56" s="1">
        <v>0.28999999999999998</v>
      </c>
      <c r="L56" t="s">
        <v>19</v>
      </c>
      <c r="M56" t="s">
        <v>63</v>
      </c>
      <c r="N56" s="6" t="s">
        <v>21</v>
      </c>
      <c r="O56" s="54">
        <f>TBL_Employees3[[#This Row],[Annual Salary]]+TBL_Employees3[[#This Row],[Bonus %]]*TBL_Employees3[[#This Row],[Annual Salary]]</f>
        <v>230523</v>
      </c>
      <c r="P56" t="str">
        <f>IF(AND(TBL_Employees3[[#This Row],[Department]]="IT",TBL_Employees3[[#This Row],[Gender]]="Female"),"Yes","No")</f>
        <v>No</v>
      </c>
      <c r="Q56" t="str">
        <f>IF(AND(TBL_Employees3[[#This Row],[Gender]]="Female",TBL_Employees3[[#This Row],[Ethnicity]]="Black"), "Female_Black", "Others")</f>
        <v>Others</v>
      </c>
    </row>
    <row r="57" spans="1:17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6">
        <v>43456</v>
      </c>
      <c r="J57" s="54">
        <v>83990</v>
      </c>
      <c r="K57" s="1">
        <v>0</v>
      </c>
      <c r="L57" t="s">
        <v>19</v>
      </c>
      <c r="M57" t="s">
        <v>20</v>
      </c>
      <c r="N57" s="6" t="s">
        <v>21</v>
      </c>
      <c r="O57" s="54">
        <f>TBL_Employees3[[#This Row],[Annual Salary]]+TBL_Employees3[[#This Row],[Bonus %]]*TBL_Employees3[[#This Row],[Annual Salary]]</f>
        <v>83990</v>
      </c>
      <c r="P57" t="str">
        <f>IF(AND(TBL_Employees3[[#This Row],[Department]]="IT",TBL_Employees3[[#This Row],[Gender]]="Female"),"Yes","No")</f>
        <v>No</v>
      </c>
      <c r="Q57" t="str">
        <f>IF(AND(TBL_Employees3[[#This Row],[Gender]]="Female",TBL_Employees3[[#This Row],[Ethnicity]]="Black"), "Female_Black", "Others")</f>
        <v>Others</v>
      </c>
    </row>
    <row r="58" spans="1:17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6">
        <v>38696</v>
      </c>
      <c r="J58" s="54">
        <v>102043</v>
      </c>
      <c r="K58" s="1">
        <v>0</v>
      </c>
      <c r="L58" t="s">
        <v>19</v>
      </c>
      <c r="M58" t="s">
        <v>20</v>
      </c>
      <c r="N58" s="6" t="s">
        <v>21</v>
      </c>
      <c r="O58" s="54">
        <f>TBL_Employees3[[#This Row],[Annual Salary]]+TBL_Employees3[[#This Row],[Bonus %]]*TBL_Employees3[[#This Row],[Annual Salary]]</f>
        <v>102043</v>
      </c>
      <c r="P58" t="str">
        <f>IF(AND(TBL_Employees3[[#This Row],[Department]]="IT",TBL_Employees3[[#This Row],[Gender]]="Female"),"Yes","No")</f>
        <v>No</v>
      </c>
      <c r="Q58" t="str">
        <f>IF(AND(TBL_Employees3[[#This Row],[Gender]]="Female",TBL_Employees3[[#This Row],[Ethnicity]]="Black"), "Female_Black", "Others")</f>
        <v>Others</v>
      </c>
    </row>
    <row r="59" spans="1:17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6">
        <v>37041</v>
      </c>
      <c r="J59" s="54">
        <v>90678</v>
      </c>
      <c r="K59" s="1">
        <v>0</v>
      </c>
      <c r="L59" t="s">
        <v>19</v>
      </c>
      <c r="M59" t="s">
        <v>29</v>
      </c>
      <c r="N59" s="6" t="s">
        <v>21</v>
      </c>
      <c r="O59" s="54">
        <f>TBL_Employees3[[#This Row],[Annual Salary]]+TBL_Employees3[[#This Row],[Bonus %]]*TBL_Employees3[[#This Row],[Annual Salary]]</f>
        <v>90678</v>
      </c>
      <c r="P59" t="str">
        <f>IF(AND(TBL_Employees3[[#This Row],[Department]]="IT",TBL_Employees3[[#This Row],[Gender]]="Female"),"Yes","No")</f>
        <v>No</v>
      </c>
      <c r="Q59" t="str">
        <f>IF(AND(TBL_Employees3[[#This Row],[Gender]]="Female",TBL_Employees3[[#This Row],[Ethnicity]]="Black"), "Female_Black", "Others")</f>
        <v>Others</v>
      </c>
    </row>
    <row r="60" spans="1:17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6">
        <v>39681</v>
      </c>
      <c r="J60" s="54">
        <v>59067</v>
      </c>
      <c r="K60" s="1">
        <v>0</v>
      </c>
      <c r="L60" t="s">
        <v>19</v>
      </c>
      <c r="M60" t="s">
        <v>45</v>
      </c>
      <c r="N60" s="6" t="s">
        <v>21</v>
      </c>
      <c r="O60" s="54">
        <f>TBL_Employees3[[#This Row],[Annual Salary]]+TBL_Employees3[[#This Row],[Bonus %]]*TBL_Employees3[[#This Row],[Annual Salary]]</f>
        <v>59067</v>
      </c>
      <c r="P60" t="str">
        <f>IF(AND(TBL_Employees3[[#This Row],[Department]]="IT",TBL_Employees3[[#This Row],[Gender]]="Female"),"Yes","No")</f>
        <v>No</v>
      </c>
      <c r="Q60" t="str">
        <f>IF(AND(TBL_Employees3[[#This Row],[Gender]]="Female",TBL_Employees3[[#This Row],[Ethnicity]]="Black"), "Female_Black", "Others")</f>
        <v>Female_Black</v>
      </c>
    </row>
    <row r="61" spans="1:17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6">
        <v>44266</v>
      </c>
      <c r="J61" s="54">
        <v>135062</v>
      </c>
      <c r="K61" s="1">
        <v>0.15</v>
      </c>
      <c r="L61" t="s">
        <v>33</v>
      </c>
      <c r="M61" t="s">
        <v>34</v>
      </c>
      <c r="N61" s="6" t="s">
        <v>21</v>
      </c>
      <c r="O61" s="54">
        <f>TBL_Employees3[[#This Row],[Annual Salary]]+TBL_Employees3[[#This Row],[Bonus %]]*TBL_Employees3[[#This Row],[Annual Salary]]</f>
        <v>155321.29999999999</v>
      </c>
      <c r="P61" t="str">
        <f>IF(AND(TBL_Employees3[[#This Row],[Department]]="IT",TBL_Employees3[[#This Row],[Gender]]="Female"),"Yes","No")</f>
        <v>No</v>
      </c>
      <c r="Q61" t="str">
        <f>IF(AND(TBL_Employees3[[#This Row],[Gender]]="Female",TBL_Employees3[[#This Row],[Ethnicity]]="Black"), "Female_Black", "Others")</f>
        <v>Others</v>
      </c>
    </row>
    <row r="62" spans="1:17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6">
        <v>38945</v>
      </c>
      <c r="J62" s="54">
        <v>159044</v>
      </c>
      <c r="K62" s="1">
        <v>0.1</v>
      </c>
      <c r="L62" t="s">
        <v>52</v>
      </c>
      <c r="M62" t="s">
        <v>81</v>
      </c>
      <c r="N62" s="6" t="s">
        <v>21</v>
      </c>
      <c r="O62" s="54">
        <f>TBL_Employees3[[#This Row],[Annual Salary]]+TBL_Employees3[[#This Row],[Bonus %]]*TBL_Employees3[[#This Row],[Annual Salary]]</f>
        <v>174948.4</v>
      </c>
      <c r="P62" t="str">
        <f>IF(AND(TBL_Employees3[[#This Row],[Department]]="IT",TBL_Employees3[[#This Row],[Gender]]="Female"),"Yes","No")</f>
        <v>Yes</v>
      </c>
      <c r="Q62" t="str">
        <f>IF(AND(TBL_Employees3[[#This Row],[Gender]]="Female",TBL_Employees3[[#This Row],[Ethnicity]]="Black"), "Female_Black", "Others")</f>
        <v>Others</v>
      </c>
    </row>
    <row r="63" spans="1:17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6">
        <v>43467</v>
      </c>
      <c r="J63" s="54">
        <v>74691</v>
      </c>
      <c r="K63" s="1">
        <v>0</v>
      </c>
      <c r="L63" t="s">
        <v>52</v>
      </c>
      <c r="M63" t="s">
        <v>81</v>
      </c>
      <c r="N63" s="6">
        <v>44020</v>
      </c>
      <c r="O63" s="54">
        <f>TBL_Employees3[[#This Row],[Annual Salary]]+TBL_Employees3[[#This Row],[Bonus %]]*TBL_Employees3[[#This Row],[Annual Salary]]</f>
        <v>74691</v>
      </c>
      <c r="P63" t="str">
        <f>IF(AND(TBL_Employees3[[#This Row],[Department]]="IT",TBL_Employees3[[#This Row],[Gender]]="Female"),"Yes","No")</f>
        <v>No</v>
      </c>
      <c r="Q63" t="str">
        <f>IF(AND(TBL_Employees3[[#This Row],[Gender]]="Female",TBL_Employees3[[#This Row],[Ethnicity]]="Black"), "Female_Black", "Others")</f>
        <v>Others</v>
      </c>
    </row>
    <row r="64" spans="1:17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6">
        <v>39800</v>
      </c>
      <c r="J64" s="54">
        <v>92753</v>
      </c>
      <c r="K64" s="1">
        <v>0.13</v>
      </c>
      <c r="L64" t="s">
        <v>19</v>
      </c>
      <c r="M64" t="s">
        <v>25</v>
      </c>
      <c r="N64" s="6">
        <v>44371</v>
      </c>
      <c r="O64" s="54">
        <f>TBL_Employees3[[#This Row],[Annual Salary]]+TBL_Employees3[[#This Row],[Bonus %]]*TBL_Employees3[[#This Row],[Annual Salary]]</f>
        <v>104810.89</v>
      </c>
      <c r="P64" t="str">
        <f>IF(AND(TBL_Employees3[[#This Row],[Department]]="IT",TBL_Employees3[[#This Row],[Gender]]="Female"),"Yes","No")</f>
        <v>No</v>
      </c>
      <c r="Q64" t="str">
        <f>IF(AND(TBL_Employees3[[#This Row],[Gender]]="Female",TBL_Employees3[[#This Row],[Ethnicity]]="Black"), "Female_Black", "Others")</f>
        <v>Others</v>
      </c>
    </row>
    <row r="65" spans="1:17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6">
        <v>41493</v>
      </c>
      <c r="J65" s="54">
        <v>236946</v>
      </c>
      <c r="K65" s="1">
        <v>0.37</v>
      </c>
      <c r="L65" t="s">
        <v>19</v>
      </c>
      <c r="M65" t="s">
        <v>63</v>
      </c>
      <c r="N65" s="6" t="s">
        <v>21</v>
      </c>
      <c r="O65" s="54">
        <f>TBL_Employees3[[#This Row],[Annual Salary]]+TBL_Employees3[[#This Row],[Bonus %]]*TBL_Employees3[[#This Row],[Annual Salary]]</f>
        <v>324616.02</v>
      </c>
      <c r="P65" t="str">
        <f>IF(AND(TBL_Employees3[[#This Row],[Department]]="IT",TBL_Employees3[[#This Row],[Gender]]="Female"),"Yes","No")</f>
        <v>No</v>
      </c>
      <c r="Q65" t="str">
        <f>IF(AND(TBL_Employees3[[#This Row],[Gender]]="Female",TBL_Employees3[[#This Row],[Ethnicity]]="Black"), "Female_Black", "Others")</f>
        <v>Others</v>
      </c>
    </row>
    <row r="66" spans="1:17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6">
        <v>44435</v>
      </c>
      <c r="J66" s="54">
        <v>48906</v>
      </c>
      <c r="K66" s="1">
        <v>0</v>
      </c>
      <c r="L66" t="s">
        <v>19</v>
      </c>
      <c r="M66" t="s">
        <v>45</v>
      </c>
      <c r="N66" s="6" t="s">
        <v>21</v>
      </c>
      <c r="O66" s="54">
        <f>TBL_Employees3[[#This Row],[Annual Salary]]+TBL_Employees3[[#This Row],[Bonus %]]*TBL_Employees3[[#This Row],[Annual Salary]]</f>
        <v>48906</v>
      </c>
      <c r="P66" t="str">
        <f>IF(AND(TBL_Employees3[[#This Row],[Department]]="IT",TBL_Employees3[[#This Row],[Gender]]="Female"),"Yes","No")</f>
        <v>No</v>
      </c>
      <c r="Q66" t="str">
        <f>IF(AND(TBL_Employees3[[#This Row],[Gender]]="Female",TBL_Employees3[[#This Row],[Ethnicity]]="Black"), "Female_Black", "Others")</f>
        <v>Female_Black</v>
      </c>
    </row>
    <row r="67" spans="1:17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6">
        <v>39474</v>
      </c>
      <c r="J67" s="54">
        <v>80024</v>
      </c>
      <c r="K67" s="1">
        <v>0</v>
      </c>
      <c r="L67" t="s">
        <v>19</v>
      </c>
      <c r="M67" t="s">
        <v>29</v>
      </c>
      <c r="N67" s="6" t="s">
        <v>21</v>
      </c>
      <c r="O67" s="54">
        <f>TBL_Employees3[[#This Row],[Annual Salary]]+TBL_Employees3[[#This Row],[Bonus %]]*TBL_Employees3[[#This Row],[Annual Salary]]</f>
        <v>80024</v>
      </c>
      <c r="P67" t="str">
        <f>IF(AND(TBL_Employees3[[#This Row],[Department]]="IT",TBL_Employees3[[#This Row],[Gender]]="Female"),"Yes","No")</f>
        <v>No</v>
      </c>
      <c r="Q67" t="str">
        <f>IF(AND(TBL_Employees3[[#This Row],[Gender]]="Female",TBL_Employees3[[#This Row],[Ethnicity]]="Black"), "Female_Black", "Others")</f>
        <v>Others</v>
      </c>
    </row>
    <row r="68" spans="1:17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6">
        <v>40109</v>
      </c>
      <c r="J68" s="54">
        <v>54415</v>
      </c>
      <c r="K68" s="1">
        <v>0</v>
      </c>
      <c r="L68" t="s">
        <v>19</v>
      </c>
      <c r="M68" t="s">
        <v>63</v>
      </c>
      <c r="N68" s="6">
        <v>41661</v>
      </c>
      <c r="O68" s="54">
        <f>TBL_Employees3[[#This Row],[Annual Salary]]+TBL_Employees3[[#This Row],[Bonus %]]*TBL_Employees3[[#This Row],[Annual Salary]]</f>
        <v>54415</v>
      </c>
      <c r="P68" t="str">
        <f>IF(AND(TBL_Employees3[[#This Row],[Department]]="IT",TBL_Employees3[[#This Row],[Gender]]="Female"),"Yes","No")</f>
        <v>No</v>
      </c>
      <c r="Q68" t="str">
        <f>IF(AND(TBL_Employees3[[#This Row],[Gender]]="Female",TBL_Employees3[[#This Row],[Ethnicity]]="Black"), "Female_Black", "Others")</f>
        <v>Others</v>
      </c>
    </row>
    <row r="69" spans="1:17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6">
        <v>42484</v>
      </c>
      <c r="J69" s="54">
        <v>120341</v>
      </c>
      <c r="K69" s="1">
        <v>7.0000000000000007E-2</v>
      </c>
      <c r="L69" t="s">
        <v>19</v>
      </c>
      <c r="M69" t="s">
        <v>63</v>
      </c>
      <c r="N69" s="6" t="s">
        <v>21</v>
      </c>
      <c r="O69" s="54">
        <f>TBL_Employees3[[#This Row],[Annual Salary]]+TBL_Employees3[[#This Row],[Bonus %]]*TBL_Employees3[[#This Row],[Annual Salary]]</f>
        <v>128764.87</v>
      </c>
      <c r="P69" t="str">
        <f>IF(AND(TBL_Employees3[[#This Row],[Department]]="IT",TBL_Employees3[[#This Row],[Gender]]="Female"),"Yes","No")</f>
        <v>No</v>
      </c>
      <c r="Q69" t="str">
        <f>IF(AND(TBL_Employees3[[#This Row],[Gender]]="Female",TBL_Employees3[[#This Row],[Ethnicity]]="Black"), "Female_Black", "Others")</f>
        <v>Others</v>
      </c>
    </row>
    <row r="70" spans="1:17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6">
        <v>40029</v>
      </c>
      <c r="J70" s="54">
        <v>208415</v>
      </c>
      <c r="K70" s="1">
        <v>0.35</v>
      </c>
      <c r="L70" t="s">
        <v>19</v>
      </c>
      <c r="M70" t="s">
        <v>63</v>
      </c>
      <c r="N70" s="6" t="s">
        <v>21</v>
      </c>
      <c r="O70" s="54">
        <f>TBL_Employees3[[#This Row],[Annual Salary]]+TBL_Employees3[[#This Row],[Bonus %]]*TBL_Employees3[[#This Row],[Annual Salary]]</f>
        <v>281360.25</v>
      </c>
      <c r="P70" t="str">
        <f>IF(AND(TBL_Employees3[[#This Row],[Department]]="IT",TBL_Employees3[[#This Row],[Gender]]="Female"),"Yes","No")</f>
        <v>Yes</v>
      </c>
      <c r="Q70" t="str">
        <f>IF(AND(TBL_Employees3[[#This Row],[Gender]]="Female",TBL_Employees3[[#This Row],[Ethnicity]]="Black"), "Female_Black", "Others")</f>
        <v>Others</v>
      </c>
    </row>
    <row r="71" spans="1:17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6">
        <v>43835</v>
      </c>
      <c r="J71" s="54">
        <v>78844</v>
      </c>
      <c r="K71" s="1">
        <v>0</v>
      </c>
      <c r="L71" t="s">
        <v>19</v>
      </c>
      <c r="M71" t="s">
        <v>63</v>
      </c>
      <c r="N71" s="6" t="s">
        <v>21</v>
      </c>
      <c r="O71" s="54">
        <f>TBL_Employees3[[#This Row],[Annual Salary]]+TBL_Employees3[[#This Row],[Bonus %]]*TBL_Employees3[[#This Row],[Annual Salary]]</f>
        <v>78844</v>
      </c>
      <c r="P71" t="str">
        <f>IF(AND(TBL_Employees3[[#This Row],[Department]]="IT",TBL_Employees3[[#This Row],[Gender]]="Female"),"Yes","No")</f>
        <v>Yes</v>
      </c>
      <c r="Q71" t="str">
        <f>IF(AND(TBL_Employees3[[#This Row],[Gender]]="Female",TBL_Employees3[[#This Row],[Ethnicity]]="Black"), "Female_Black", "Others")</f>
        <v>Others</v>
      </c>
    </row>
    <row r="72" spans="1:17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6">
        <v>37399</v>
      </c>
      <c r="J72" s="54">
        <v>76354</v>
      </c>
      <c r="K72" s="1">
        <v>0</v>
      </c>
      <c r="L72" t="s">
        <v>19</v>
      </c>
      <c r="M72" t="s">
        <v>39</v>
      </c>
      <c r="N72" s="6">
        <v>44465</v>
      </c>
      <c r="O72" s="54">
        <f>TBL_Employees3[[#This Row],[Annual Salary]]+TBL_Employees3[[#This Row],[Bonus %]]*TBL_Employees3[[#This Row],[Annual Salary]]</f>
        <v>76354</v>
      </c>
      <c r="P72" t="str">
        <f>IF(AND(TBL_Employees3[[#This Row],[Department]]="IT",TBL_Employees3[[#This Row],[Gender]]="Female"),"Yes","No")</f>
        <v>No</v>
      </c>
      <c r="Q72" t="str">
        <f>IF(AND(TBL_Employees3[[#This Row],[Gender]]="Female",TBL_Employees3[[#This Row],[Ethnicity]]="Black"), "Female_Black", "Others")</f>
        <v>Others</v>
      </c>
    </row>
    <row r="73" spans="1:17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6">
        <v>43493</v>
      </c>
      <c r="J73" s="54">
        <v>165927</v>
      </c>
      <c r="K73" s="1">
        <v>0.2</v>
      </c>
      <c r="L73" t="s">
        <v>19</v>
      </c>
      <c r="M73" t="s">
        <v>39</v>
      </c>
      <c r="N73" s="6" t="s">
        <v>21</v>
      </c>
      <c r="O73" s="54">
        <f>TBL_Employees3[[#This Row],[Annual Salary]]+TBL_Employees3[[#This Row],[Bonus %]]*TBL_Employees3[[#This Row],[Annual Salary]]</f>
        <v>199112.4</v>
      </c>
      <c r="P73" t="str">
        <f>IF(AND(TBL_Employees3[[#This Row],[Department]]="IT",TBL_Employees3[[#This Row],[Gender]]="Female"),"Yes","No")</f>
        <v>No</v>
      </c>
      <c r="Q73" t="str">
        <f>IF(AND(TBL_Employees3[[#This Row],[Gender]]="Female",TBL_Employees3[[#This Row],[Ethnicity]]="Black"), "Female_Black", "Others")</f>
        <v>Others</v>
      </c>
    </row>
    <row r="74" spans="1:17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6">
        <v>44516</v>
      </c>
      <c r="J74" s="54">
        <v>109812</v>
      </c>
      <c r="K74" s="1">
        <v>0.09</v>
      </c>
      <c r="L74" t="s">
        <v>52</v>
      </c>
      <c r="M74" t="s">
        <v>81</v>
      </c>
      <c r="N74" s="6" t="s">
        <v>21</v>
      </c>
      <c r="O74" s="54">
        <f>TBL_Employees3[[#This Row],[Annual Salary]]+TBL_Employees3[[#This Row],[Bonus %]]*TBL_Employees3[[#This Row],[Annual Salary]]</f>
        <v>119695.08</v>
      </c>
      <c r="P74" t="str">
        <f>IF(AND(TBL_Employees3[[#This Row],[Department]]="IT",TBL_Employees3[[#This Row],[Gender]]="Female"),"Yes","No")</f>
        <v>No</v>
      </c>
      <c r="Q74" t="str">
        <f>IF(AND(TBL_Employees3[[#This Row],[Gender]]="Female",TBL_Employees3[[#This Row],[Ethnicity]]="Black"), "Female_Black", "Others")</f>
        <v>Others</v>
      </c>
    </row>
    <row r="75" spans="1:17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6">
        <v>36041</v>
      </c>
      <c r="J75" s="54">
        <v>86299</v>
      </c>
      <c r="K75" s="1">
        <v>0</v>
      </c>
      <c r="L75" t="s">
        <v>19</v>
      </c>
      <c r="M75" t="s">
        <v>63</v>
      </c>
      <c r="N75" s="6" t="s">
        <v>21</v>
      </c>
      <c r="O75" s="54">
        <f>TBL_Employees3[[#This Row],[Annual Salary]]+TBL_Employees3[[#This Row],[Bonus %]]*TBL_Employees3[[#This Row],[Annual Salary]]</f>
        <v>86299</v>
      </c>
      <c r="P75" t="str">
        <f>IF(AND(TBL_Employees3[[#This Row],[Department]]="IT",TBL_Employees3[[#This Row],[Gender]]="Female"),"Yes","No")</f>
        <v>No</v>
      </c>
      <c r="Q75" t="str">
        <f>IF(AND(TBL_Employees3[[#This Row],[Gender]]="Female",TBL_Employees3[[#This Row],[Ethnicity]]="Black"), "Female_Black", "Others")</f>
        <v>Others</v>
      </c>
    </row>
    <row r="76" spans="1:17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6">
        <v>37828</v>
      </c>
      <c r="J76" s="54">
        <v>206624</v>
      </c>
      <c r="K76" s="1">
        <v>0.4</v>
      </c>
      <c r="L76" t="s">
        <v>52</v>
      </c>
      <c r="M76" t="s">
        <v>53</v>
      </c>
      <c r="N76" s="6" t="s">
        <v>21</v>
      </c>
      <c r="O76" s="54">
        <f>TBL_Employees3[[#This Row],[Annual Salary]]+TBL_Employees3[[#This Row],[Bonus %]]*TBL_Employees3[[#This Row],[Annual Salary]]</f>
        <v>289273.59999999998</v>
      </c>
      <c r="P76" t="str">
        <f>IF(AND(TBL_Employees3[[#This Row],[Department]]="IT",TBL_Employees3[[#This Row],[Gender]]="Female"),"Yes","No")</f>
        <v>No</v>
      </c>
      <c r="Q76" t="str">
        <f>IF(AND(TBL_Employees3[[#This Row],[Gender]]="Female",TBL_Employees3[[#This Row],[Ethnicity]]="Black"), "Female_Black", "Others")</f>
        <v>Others</v>
      </c>
    </row>
    <row r="77" spans="1:17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6">
        <v>40535</v>
      </c>
      <c r="J77" s="54">
        <v>53215</v>
      </c>
      <c r="K77" s="1">
        <v>0</v>
      </c>
      <c r="L77" t="s">
        <v>52</v>
      </c>
      <c r="M77" t="s">
        <v>53</v>
      </c>
      <c r="N77" s="6">
        <v>41725</v>
      </c>
      <c r="O77" s="54">
        <f>TBL_Employees3[[#This Row],[Annual Salary]]+TBL_Employees3[[#This Row],[Bonus %]]*TBL_Employees3[[#This Row],[Annual Salary]]</f>
        <v>53215</v>
      </c>
      <c r="P77" t="str">
        <f>IF(AND(TBL_Employees3[[#This Row],[Department]]="IT",TBL_Employees3[[#This Row],[Gender]]="Female"),"Yes","No")</f>
        <v>No</v>
      </c>
      <c r="Q77" t="str">
        <f>IF(AND(TBL_Employees3[[#This Row],[Gender]]="Female",TBL_Employees3[[#This Row],[Ethnicity]]="Black"), "Female_Black", "Others")</f>
        <v>Others</v>
      </c>
    </row>
    <row r="78" spans="1:17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6">
        <v>42877</v>
      </c>
      <c r="J78" s="54">
        <v>86858</v>
      </c>
      <c r="K78" s="1">
        <v>0</v>
      </c>
      <c r="L78" t="s">
        <v>33</v>
      </c>
      <c r="M78" t="s">
        <v>80</v>
      </c>
      <c r="N78" s="6">
        <v>43016</v>
      </c>
      <c r="O78" s="54">
        <f>TBL_Employees3[[#This Row],[Annual Salary]]+TBL_Employees3[[#This Row],[Bonus %]]*TBL_Employees3[[#This Row],[Annual Salary]]</f>
        <v>86858</v>
      </c>
      <c r="P78" t="str">
        <f>IF(AND(TBL_Employees3[[#This Row],[Department]]="IT",TBL_Employees3[[#This Row],[Gender]]="Female"),"Yes","No")</f>
        <v>No</v>
      </c>
      <c r="Q78" t="str">
        <f>IF(AND(TBL_Employees3[[#This Row],[Gender]]="Female",TBL_Employees3[[#This Row],[Ethnicity]]="Black"), "Female_Black", "Others")</f>
        <v>Others</v>
      </c>
    </row>
    <row r="79" spans="1:17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6">
        <v>39265</v>
      </c>
      <c r="J79" s="54">
        <v>93971</v>
      </c>
      <c r="K79" s="1">
        <v>0.08</v>
      </c>
      <c r="L79" t="s">
        <v>33</v>
      </c>
      <c r="M79" t="s">
        <v>80</v>
      </c>
      <c r="N79" s="6" t="s">
        <v>21</v>
      </c>
      <c r="O79" s="54">
        <f>TBL_Employees3[[#This Row],[Annual Salary]]+TBL_Employees3[[#This Row],[Bonus %]]*TBL_Employees3[[#This Row],[Annual Salary]]</f>
        <v>101488.68</v>
      </c>
      <c r="P79" t="str">
        <f>IF(AND(TBL_Employees3[[#This Row],[Department]]="IT",TBL_Employees3[[#This Row],[Gender]]="Female"),"Yes","No")</f>
        <v>No</v>
      </c>
      <c r="Q79" t="str">
        <f>IF(AND(TBL_Employees3[[#This Row],[Gender]]="Female",TBL_Employees3[[#This Row],[Ethnicity]]="Black"), "Female_Black", "Others")</f>
        <v>Others</v>
      </c>
    </row>
    <row r="80" spans="1:17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6">
        <v>42182</v>
      </c>
      <c r="J80" s="54">
        <v>57008</v>
      </c>
      <c r="K80" s="1">
        <v>0</v>
      </c>
      <c r="L80" t="s">
        <v>19</v>
      </c>
      <c r="M80" t="s">
        <v>39</v>
      </c>
      <c r="N80" s="6" t="s">
        <v>21</v>
      </c>
      <c r="O80" s="54">
        <f>TBL_Employees3[[#This Row],[Annual Salary]]+TBL_Employees3[[#This Row],[Bonus %]]*TBL_Employees3[[#This Row],[Annual Salary]]</f>
        <v>57008</v>
      </c>
      <c r="P80" t="str">
        <f>IF(AND(TBL_Employees3[[#This Row],[Department]]="IT",TBL_Employees3[[#This Row],[Gender]]="Female"),"Yes","No")</f>
        <v>No</v>
      </c>
      <c r="Q80" t="str">
        <f>IF(AND(TBL_Employees3[[#This Row],[Gender]]="Female",TBL_Employees3[[#This Row],[Ethnicity]]="Black"), "Female_Black", "Others")</f>
        <v>Others</v>
      </c>
    </row>
    <row r="81" spans="1:17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6">
        <v>42270</v>
      </c>
      <c r="J81" s="54">
        <v>141899</v>
      </c>
      <c r="K81" s="1">
        <v>0.15</v>
      </c>
      <c r="L81" t="s">
        <v>19</v>
      </c>
      <c r="M81" t="s">
        <v>39</v>
      </c>
      <c r="N81" s="6" t="s">
        <v>21</v>
      </c>
      <c r="O81" s="54">
        <f>TBL_Employees3[[#This Row],[Annual Salary]]+TBL_Employees3[[#This Row],[Bonus %]]*TBL_Employees3[[#This Row],[Annual Salary]]</f>
        <v>163183.85</v>
      </c>
      <c r="P81" t="str">
        <f>IF(AND(TBL_Employees3[[#This Row],[Department]]="IT",TBL_Employees3[[#This Row],[Gender]]="Female"),"Yes","No")</f>
        <v>No</v>
      </c>
      <c r="Q81" t="str">
        <f>IF(AND(TBL_Employees3[[#This Row],[Gender]]="Female",TBL_Employees3[[#This Row],[Ethnicity]]="Black"), "Female_Black", "Others")</f>
        <v>Others</v>
      </c>
    </row>
    <row r="82" spans="1:17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6">
        <v>42626</v>
      </c>
      <c r="J82" s="54">
        <v>64847</v>
      </c>
      <c r="K82" s="1">
        <v>0</v>
      </c>
      <c r="L82" t="s">
        <v>19</v>
      </c>
      <c r="M82" t="s">
        <v>45</v>
      </c>
      <c r="N82" s="6" t="s">
        <v>21</v>
      </c>
      <c r="O82" s="54">
        <f>TBL_Employees3[[#This Row],[Annual Salary]]+TBL_Employees3[[#This Row],[Bonus %]]*TBL_Employees3[[#This Row],[Annual Salary]]</f>
        <v>64847</v>
      </c>
      <c r="P82" t="str">
        <f>IF(AND(TBL_Employees3[[#This Row],[Department]]="IT",TBL_Employees3[[#This Row],[Gender]]="Female"),"Yes","No")</f>
        <v>No</v>
      </c>
      <c r="Q82" t="str">
        <f>IF(AND(TBL_Employees3[[#This Row],[Gender]]="Female",TBL_Employees3[[#This Row],[Ethnicity]]="Black"), "Female_Black", "Others")</f>
        <v>Others</v>
      </c>
    </row>
    <row r="83" spans="1:17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6">
        <v>33702</v>
      </c>
      <c r="J83" s="54">
        <v>116878</v>
      </c>
      <c r="K83" s="1">
        <v>0.11</v>
      </c>
      <c r="L83" t="s">
        <v>19</v>
      </c>
      <c r="M83" t="s">
        <v>45</v>
      </c>
      <c r="N83" s="6" t="s">
        <v>21</v>
      </c>
      <c r="O83" s="54">
        <f>TBL_Employees3[[#This Row],[Annual Salary]]+TBL_Employees3[[#This Row],[Bonus %]]*TBL_Employees3[[#This Row],[Annual Salary]]</f>
        <v>129734.58</v>
      </c>
      <c r="P83" t="str">
        <f>IF(AND(TBL_Employees3[[#This Row],[Department]]="IT",TBL_Employees3[[#This Row],[Gender]]="Female"),"Yes","No")</f>
        <v>No</v>
      </c>
      <c r="Q83" t="str">
        <f>IF(AND(TBL_Employees3[[#This Row],[Gender]]="Female",TBL_Employees3[[#This Row],[Ethnicity]]="Black"), "Female_Black", "Others")</f>
        <v>Others</v>
      </c>
    </row>
    <row r="84" spans="1:17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6">
        <v>38388</v>
      </c>
      <c r="J84" s="54">
        <v>70505</v>
      </c>
      <c r="K84" s="1">
        <v>0</v>
      </c>
      <c r="L84" t="s">
        <v>19</v>
      </c>
      <c r="M84" t="s">
        <v>25</v>
      </c>
      <c r="N84" s="6" t="s">
        <v>21</v>
      </c>
      <c r="O84" s="54">
        <f>TBL_Employees3[[#This Row],[Annual Salary]]+TBL_Employees3[[#This Row],[Bonus %]]*TBL_Employees3[[#This Row],[Annual Salary]]</f>
        <v>70505</v>
      </c>
      <c r="P84" t="str">
        <f>IF(AND(TBL_Employees3[[#This Row],[Department]]="IT",TBL_Employees3[[#This Row],[Gender]]="Female"),"Yes","No")</f>
        <v>No</v>
      </c>
      <c r="Q84" t="str">
        <f>IF(AND(TBL_Employees3[[#This Row],[Gender]]="Female",TBL_Employees3[[#This Row],[Ethnicity]]="Black"), "Female_Black", "Others")</f>
        <v>Others</v>
      </c>
    </row>
    <row r="85" spans="1:17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6">
        <v>42512</v>
      </c>
      <c r="J85" s="54">
        <v>189702</v>
      </c>
      <c r="K85" s="1">
        <v>0.28000000000000003</v>
      </c>
      <c r="L85" t="s">
        <v>52</v>
      </c>
      <c r="M85" t="s">
        <v>81</v>
      </c>
      <c r="N85" s="6">
        <v>44186</v>
      </c>
      <c r="O85" s="54">
        <f>TBL_Employees3[[#This Row],[Annual Salary]]+TBL_Employees3[[#This Row],[Bonus %]]*TBL_Employees3[[#This Row],[Annual Salary]]</f>
        <v>242818.56</v>
      </c>
      <c r="P85" t="str">
        <f>IF(AND(TBL_Employees3[[#This Row],[Department]]="IT",TBL_Employees3[[#This Row],[Gender]]="Female"),"Yes","No")</f>
        <v>No</v>
      </c>
      <c r="Q85" t="str">
        <f>IF(AND(TBL_Employees3[[#This Row],[Gender]]="Female",TBL_Employees3[[#This Row],[Ethnicity]]="Black"), "Female_Black", "Others")</f>
        <v>Others</v>
      </c>
    </row>
    <row r="86" spans="1:17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6">
        <v>44040</v>
      </c>
      <c r="J86" s="54">
        <v>180664</v>
      </c>
      <c r="K86" s="1">
        <v>0.27</v>
      </c>
      <c r="L86" t="s">
        <v>19</v>
      </c>
      <c r="M86" t="s">
        <v>20</v>
      </c>
      <c r="N86" s="6" t="s">
        <v>21</v>
      </c>
      <c r="O86" s="54">
        <f>TBL_Employees3[[#This Row],[Annual Salary]]+TBL_Employees3[[#This Row],[Bonus %]]*TBL_Employees3[[#This Row],[Annual Salary]]</f>
        <v>229443.28</v>
      </c>
      <c r="P86" t="str">
        <f>IF(AND(TBL_Employees3[[#This Row],[Department]]="IT",TBL_Employees3[[#This Row],[Gender]]="Female"),"Yes","No")</f>
        <v>No</v>
      </c>
      <c r="Q86" t="str">
        <f>IF(AND(TBL_Employees3[[#This Row],[Gender]]="Female",TBL_Employees3[[#This Row],[Ethnicity]]="Black"), "Female_Black", "Others")</f>
        <v>Others</v>
      </c>
    </row>
    <row r="87" spans="1:17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6">
        <v>37972</v>
      </c>
      <c r="J87" s="54">
        <v>48345</v>
      </c>
      <c r="K87" s="1">
        <v>0</v>
      </c>
      <c r="L87" t="s">
        <v>33</v>
      </c>
      <c r="M87" t="s">
        <v>34</v>
      </c>
      <c r="N87" s="6" t="s">
        <v>21</v>
      </c>
      <c r="O87" s="54">
        <f>TBL_Employees3[[#This Row],[Annual Salary]]+TBL_Employees3[[#This Row],[Bonus %]]*TBL_Employees3[[#This Row],[Annual Salary]]</f>
        <v>48345</v>
      </c>
      <c r="P87" t="str">
        <f>IF(AND(TBL_Employees3[[#This Row],[Department]]="IT",TBL_Employees3[[#This Row],[Gender]]="Female"),"Yes","No")</f>
        <v>No</v>
      </c>
      <c r="Q87" t="str">
        <f>IF(AND(TBL_Employees3[[#This Row],[Gender]]="Female",TBL_Employees3[[#This Row],[Ethnicity]]="Black"), "Female_Black", "Others")</f>
        <v>Others</v>
      </c>
    </row>
    <row r="88" spans="1:17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6">
        <v>41655</v>
      </c>
      <c r="J88" s="54">
        <v>152214</v>
      </c>
      <c r="K88" s="1">
        <v>0.3</v>
      </c>
      <c r="L88" t="s">
        <v>33</v>
      </c>
      <c r="M88" t="s">
        <v>60</v>
      </c>
      <c r="N88" s="6" t="s">
        <v>21</v>
      </c>
      <c r="O88" s="54">
        <f>TBL_Employees3[[#This Row],[Annual Salary]]+TBL_Employees3[[#This Row],[Bonus %]]*TBL_Employees3[[#This Row],[Annual Salary]]</f>
        <v>197878.2</v>
      </c>
      <c r="P88" t="str">
        <f>IF(AND(TBL_Employees3[[#This Row],[Department]]="IT",TBL_Employees3[[#This Row],[Gender]]="Female"),"Yes","No")</f>
        <v>No</v>
      </c>
      <c r="Q88" t="str">
        <f>IF(AND(TBL_Employees3[[#This Row],[Gender]]="Female",TBL_Employees3[[#This Row],[Ethnicity]]="Black"), "Female_Black", "Others")</f>
        <v>Others</v>
      </c>
    </row>
    <row r="89" spans="1:17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6">
        <v>39931</v>
      </c>
      <c r="J89" s="54">
        <v>69803</v>
      </c>
      <c r="K89" s="1">
        <v>0</v>
      </c>
      <c r="L89" t="s">
        <v>52</v>
      </c>
      <c r="M89" t="s">
        <v>81</v>
      </c>
      <c r="N89" s="6" t="s">
        <v>21</v>
      </c>
      <c r="O89" s="54">
        <f>TBL_Employees3[[#This Row],[Annual Salary]]+TBL_Employees3[[#This Row],[Bonus %]]*TBL_Employees3[[#This Row],[Annual Salary]]</f>
        <v>69803</v>
      </c>
      <c r="P89" t="str">
        <f>IF(AND(TBL_Employees3[[#This Row],[Department]]="IT",TBL_Employees3[[#This Row],[Gender]]="Female"),"Yes","No")</f>
        <v>Yes</v>
      </c>
      <c r="Q89" t="str">
        <f>IF(AND(TBL_Employees3[[#This Row],[Gender]]="Female",TBL_Employees3[[#This Row],[Ethnicity]]="Black"), "Female_Black", "Others")</f>
        <v>Others</v>
      </c>
    </row>
    <row r="90" spans="1:17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6">
        <v>43650</v>
      </c>
      <c r="J90" s="54">
        <v>76588</v>
      </c>
      <c r="K90" s="1">
        <v>0</v>
      </c>
      <c r="L90" t="s">
        <v>52</v>
      </c>
      <c r="M90" t="s">
        <v>66</v>
      </c>
      <c r="N90" s="6" t="s">
        <v>21</v>
      </c>
      <c r="O90" s="54">
        <f>TBL_Employees3[[#This Row],[Annual Salary]]+TBL_Employees3[[#This Row],[Bonus %]]*TBL_Employees3[[#This Row],[Annual Salary]]</f>
        <v>76588</v>
      </c>
      <c r="P90" t="str">
        <f>IF(AND(TBL_Employees3[[#This Row],[Department]]="IT",TBL_Employees3[[#This Row],[Gender]]="Female"),"Yes","No")</f>
        <v>Yes</v>
      </c>
      <c r="Q90" t="str">
        <f>IF(AND(TBL_Employees3[[#This Row],[Gender]]="Female",TBL_Employees3[[#This Row],[Ethnicity]]="Black"), "Female_Black", "Others")</f>
        <v>Others</v>
      </c>
    </row>
    <row r="91" spans="1:17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6">
        <v>43444</v>
      </c>
      <c r="J91" s="54">
        <v>84596</v>
      </c>
      <c r="K91" s="1">
        <v>0</v>
      </c>
      <c r="L91" t="s">
        <v>19</v>
      </c>
      <c r="M91" t="s">
        <v>45</v>
      </c>
      <c r="N91" s="6" t="s">
        <v>21</v>
      </c>
      <c r="O91" s="54">
        <f>TBL_Employees3[[#This Row],[Annual Salary]]+TBL_Employees3[[#This Row],[Bonus %]]*TBL_Employees3[[#This Row],[Annual Salary]]</f>
        <v>84596</v>
      </c>
      <c r="P91" t="str">
        <f>IF(AND(TBL_Employees3[[#This Row],[Department]]="IT",TBL_Employees3[[#This Row],[Gender]]="Female"),"Yes","No")</f>
        <v>No</v>
      </c>
      <c r="Q91" t="str">
        <f>IF(AND(TBL_Employees3[[#This Row],[Gender]]="Female",TBL_Employees3[[#This Row],[Ethnicity]]="Black"), "Female_Black", "Others")</f>
        <v>Others</v>
      </c>
    </row>
    <row r="92" spans="1:17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6">
        <v>43368</v>
      </c>
      <c r="J92" s="54">
        <v>114441</v>
      </c>
      <c r="K92" s="1">
        <v>0.1</v>
      </c>
      <c r="L92" t="s">
        <v>33</v>
      </c>
      <c r="M92" t="s">
        <v>80</v>
      </c>
      <c r="N92" s="6">
        <v>43821</v>
      </c>
      <c r="O92" s="54">
        <f>TBL_Employees3[[#This Row],[Annual Salary]]+TBL_Employees3[[#This Row],[Bonus %]]*TBL_Employees3[[#This Row],[Annual Salary]]</f>
        <v>125885.1</v>
      </c>
      <c r="P92" t="str">
        <f>IF(AND(TBL_Employees3[[#This Row],[Department]]="IT",TBL_Employees3[[#This Row],[Gender]]="Female"),"Yes","No")</f>
        <v>No</v>
      </c>
      <c r="Q92" t="str">
        <f>IF(AND(TBL_Employees3[[#This Row],[Gender]]="Female",TBL_Employees3[[#This Row],[Ethnicity]]="Black"), "Female_Black", "Others")</f>
        <v>Others</v>
      </c>
    </row>
    <row r="93" spans="1:17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6">
        <v>43211</v>
      </c>
      <c r="J93" s="54">
        <v>140402</v>
      </c>
      <c r="K93" s="1">
        <v>0.15</v>
      </c>
      <c r="L93" t="s">
        <v>33</v>
      </c>
      <c r="M93" t="s">
        <v>60</v>
      </c>
      <c r="N93" s="6" t="s">
        <v>21</v>
      </c>
      <c r="O93" s="54">
        <f>TBL_Employees3[[#This Row],[Annual Salary]]+TBL_Employees3[[#This Row],[Bonus %]]*TBL_Employees3[[#This Row],[Annual Salary]]</f>
        <v>161462.29999999999</v>
      </c>
      <c r="P93" t="str">
        <f>IF(AND(TBL_Employees3[[#This Row],[Department]]="IT",TBL_Employees3[[#This Row],[Gender]]="Female"),"Yes","No")</f>
        <v>No</v>
      </c>
      <c r="Q93" t="str">
        <f>IF(AND(TBL_Employees3[[#This Row],[Gender]]="Female",TBL_Employees3[[#This Row],[Ethnicity]]="Black"), "Female_Black", "Others")</f>
        <v>Others</v>
      </c>
    </row>
    <row r="94" spans="1:17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6">
        <v>43578</v>
      </c>
      <c r="J94" s="54">
        <v>59817</v>
      </c>
      <c r="K94" s="1">
        <v>0</v>
      </c>
      <c r="L94" t="s">
        <v>52</v>
      </c>
      <c r="M94" t="s">
        <v>53</v>
      </c>
      <c r="N94" s="6" t="s">
        <v>21</v>
      </c>
      <c r="O94" s="54">
        <f>TBL_Employees3[[#This Row],[Annual Salary]]+TBL_Employees3[[#This Row],[Bonus %]]*TBL_Employees3[[#This Row],[Annual Salary]]</f>
        <v>59817</v>
      </c>
      <c r="P94" t="str">
        <f>IF(AND(TBL_Employees3[[#This Row],[Department]]="IT",TBL_Employees3[[#This Row],[Gender]]="Female"),"Yes","No")</f>
        <v>No</v>
      </c>
      <c r="Q94" t="str">
        <f>IF(AND(TBL_Employees3[[#This Row],[Gender]]="Female",TBL_Employees3[[#This Row],[Ethnicity]]="Black"), "Female_Black", "Others")</f>
        <v>Others</v>
      </c>
    </row>
    <row r="95" spans="1:17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6">
        <v>42938</v>
      </c>
      <c r="J95" s="54">
        <v>55854</v>
      </c>
      <c r="K95" s="1">
        <v>0</v>
      </c>
      <c r="L95" t="s">
        <v>19</v>
      </c>
      <c r="M95" t="s">
        <v>25</v>
      </c>
      <c r="N95" s="6" t="s">
        <v>21</v>
      </c>
      <c r="O95" s="54">
        <f>TBL_Employees3[[#This Row],[Annual Salary]]+TBL_Employees3[[#This Row],[Bonus %]]*TBL_Employees3[[#This Row],[Annual Salary]]</f>
        <v>55854</v>
      </c>
      <c r="P95" t="str">
        <f>IF(AND(TBL_Employees3[[#This Row],[Department]]="IT",TBL_Employees3[[#This Row],[Gender]]="Female"),"Yes","No")</f>
        <v>No</v>
      </c>
      <c r="Q95" t="str">
        <f>IF(AND(TBL_Employees3[[#This Row],[Gender]]="Female",TBL_Employees3[[#This Row],[Ethnicity]]="Black"), "Female_Black", "Others")</f>
        <v>Others</v>
      </c>
    </row>
    <row r="96" spans="1:17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6">
        <v>37576</v>
      </c>
      <c r="J96" s="54">
        <v>95998</v>
      </c>
      <c r="K96" s="1">
        <v>0</v>
      </c>
      <c r="L96" t="s">
        <v>19</v>
      </c>
      <c r="M96" t="s">
        <v>63</v>
      </c>
      <c r="N96" s="6" t="s">
        <v>21</v>
      </c>
      <c r="O96" s="54">
        <f>TBL_Employees3[[#This Row],[Annual Salary]]+TBL_Employees3[[#This Row],[Bonus %]]*TBL_Employees3[[#This Row],[Annual Salary]]</f>
        <v>95998</v>
      </c>
      <c r="P96" t="str">
        <f>IF(AND(TBL_Employees3[[#This Row],[Department]]="IT",TBL_Employees3[[#This Row],[Gender]]="Female"),"Yes","No")</f>
        <v>No</v>
      </c>
      <c r="Q96" t="str">
        <f>IF(AND(TBL_Employees3[[#This Row],[Gender]]="Female",TBL_Employees3[[#This Row],[Ethnicity]]="Black"), "Female_Black", "Others")</f>
        <v>Others</v>
      </c>
    </row>
    <row r="97" spans="1:17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6">
        <v>42116</v>
      </c>
      <c r="J97" s="54">
        <v>154941</v>
      </c>
      <c r="K97" s="1">
        <v>0.13</v>
      </c>
      <c r="L97" t="s">
        <v>19</v>
      </c>
      <c r="M97" t="s">
        <v>39</v>
      </c>
      <c r="N97" s="6" t="s">
        <v>21</v>
      </c>
      <c r="O97" s="54">
        <f>TBL_Employees3[[#This Row],[Annual Salary]]+TBL_Employees3[[#This Row],[Bonus %]]*TBL_Employees3[[#This Row],[Annual Salary]]</f>
        <v>175083.33000000002</v>
      </c>
      <c r="P97" t="str">
        <f>IF(AND(TBL_Employees3[[#This Row],[Department]]="IT",TBL_Employees3[[#This Row],[Gender]]="Female"),"Yes","No")</f>
        <v>No</v>
      </c>
      <c r="Q97" t="str">
        <f>IF(AND(TBL_Employees3[[#This Row],[Gender]]="Female",TBL_Employees3[[#This Row],[Ethnicity]]="Black"), "Female_Black", "Others")</f>
        <v>Others</v>
      </c>
    </row>
    <row r="98" spans="1:17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6">
        <v>40734</v>
      </c>
      <c r="J98" s="54">
        <v>247022</v>
      </c>
      <c r="K98" s="1">
        <v>0.3</v>
      </c>
      <c r="L98" t="s">
        <v>33</v>
      </c>
      <c r="M98" t="s">
        <v>60</v>
      </c>
      <c r="N98" s="6" t="s">
        <v>21</v>
      </c>
      <c r="O98" s="54">
        <f>TBL_Employees3[[#This Row],[Annual Salary]]+TBL_Employees3[[#This Row],[Bonus %]]*TBL_Employees3[[#This Row],[Annual Salary]]</f>
        <v>321128.59999999998</v>
      </c>
      <c r="P98" t="str">
        <f>IF(AND(TBL_Employees3[[#This Row],[Department]]="IT",TBL_Employees3[[#This Row],[Gender]]="Female"),"Yes","No")</f>
        <v>No</v>
      </c>
      <c r="Q98" t="str">
        <f>IF(AND(TBL_Employees3[[#This Row],[Gender]]="Female",TBL_Employees3[[#This Row],[Ethnicity]]="Black"), "Female_Black", "Others")</f>
        <v>Others</v>
      </c>
    </row>
    <row r="99" spans="1:17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6">
        <v>44474</v>
      </c>
      <c r="J99" s="54">
        <v>88072</v>
      </c>
      <c r="K99" s="1">
        <v>0</v>
      </c>
      <c r="L99" t="s">
        <v>52</v>
      </c>
      <c r="M99" t="s">
        <v>53</v>
      </c>
      <c r="N99" s="6" t="s">
        <v>21</v>
      </c>
      <c r="O99" s="54">
        <f>TBL_Employees3[[#This Row],[Annual Salary]]+TBL_Employees3[[#This Row],[Bonus %]]*TBL_Employees3[[#This Row],[Annual Salary]]</f>
        <v>88072</v>
      </c>
      <c r="P99" t="str">
        <f>IF(AND(TBL_Employees3[[#This Row],[Department]]="IT",TBL_Employees3[[#This Row],[Gender]]="Female"),"Yes","No")</f>
        <v>Yes</v>
      </c>
      <c r="Q99" t="str">
        <f>IF(AND(TBL_Employees3[[#This Row],[Gender]]="Female",TBL_Employees3[[#This Row],[Ethnicity]]="Black"), "Female_Black", "Others")</f>
        <v>Others</v>
      </c>
    </row>
    <row r="100" spans="1:17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6">
        <v>43977</v>
      </c>
      <c r="J100" s="54">
        <v>67925</v>
      </c>
      <c r="K100" s="1">
        <v>0.08</v>
      </c>
      <c r="L100" t="s">
        <v>33</v>
      </c>
      <c r="M100" t="s">
        <v>74</v>
      </c>
      <c r="N100" s="6" t="s">
        <v>21</v>
      </c>
      <c r="O100" s="54">
        <f>TBL_Employees3[[#This Row],[Annual Salary]]+TBL_Employees3[[#This Row],[Bonus %]]*TBL_Employees3[[#This Row],[Annual Salary]]</f>
        <v>73359</v>
      </c>
      <c r="P100" t="str">
        <f>IF(AND(TBL_Employees3[[#This Row],[Department]]="IT",TBL_Employees3[[#This Row],[Gender]]="Female"),"Yes","No")</f>
        <v>No</v>
      </c>
      <c r="Q100" t="str">
        <f>IF(AND(TBL_Employees3[[#This Row],[Gender]]="Female",TBL_Employees3[[#This Row],[Ethnicity]]="Black"), "Female_Black", "Others")</f>
        <v>Others</v>
      </c>
    </row>
    <row r="101" spans="1:17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6">
        <v>44063</v>
      </c>
      <c r="J101" s="54">
        <v>219693</v>
      </c>
      <c r="K101" s="1">
        <v>0.3</v>
      </c>
      <c r="L101" t="s">
        <v>19</v>
      </c>
      <c r="M101" t="s">
        <v>25</v>
      </c>
      <c r="N101" s="6" t="s">
        <v>21</v>
      </c>
      <c r="O101" s="54">
        <f>TBL_Employees3[[#This Row],[Annual Salary]]+TBL_Employees3[[#This Row],[Bonus %]]*TBL_Employees3[[#This Row],[Annual Salary]]</f>
        <v>285600.90000000002</v>
      </c>
      <c r="P101" t="str">
        <f>IF(AND(TBL_Employees3[[#This Row],[Department]]="IT",TBL_Employees3[[#This Row],[Gender]]="Female"),"Yes","No")</f>
        <v>No</v>
      </c>
      <c r="Q101" t="str">
        <f>IF(AND(TBL_Employees3[[#This Row],[Gender]]="Female",TBL_Employees3[[#This Row],[Ethnicity]]="Black"), "Female_Black", "Others")</f>
        <v>Others</v>
      </c>
    </row>
    <row r="102" spans="1:17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6">
        <v>41386</v>
      </c>
      <c r="J102" s="54">
        <v>61773</v>
      </c>
      <c r="K102" s="1">
        <v>0</v>
      </c>
      <c r="L102" t="s">
        <v>19</v>
      </c>
      <c r="M102" t="s">
        <v>63</v>
      </c>
      <c r="N102" s="6" t="s">
        <v>21</v>
      </c>
      <c r="O102" s="54">
        <f>TBL_Employees3[[#This Row],[Annual Salary]]+TBL_Employees3[[#This Row],[Bonus %]]*TBL_Employees3[[#This Row],[Annual Salary]]</f>
        <v>61773</v>
      </c>
      <c r="P102" t="str">
        <f>IF(AND(TBL_Employees3[[#This Row],[Department]]="IT",TBL_Employees3[[#This Row],[Gender]]="Female"),"Yes","No")</f>
        <v>No</v>
      </c>
      <c r="Q102" t="str">
        <f>IF(AND(TBL_Employees3[[#This Row],[Gender]]="Female",TBL_Employees3[[#This Row],[Ethnicity]]="Black"), "Female_Black", "Others")</f>
        <v>Others</v>
      </c>
    </row>
    <row r="103" spans="1:17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6">
        <v>39091</v>
      </c>
      <c r="J103" s="54">
        <v>74546</v>
      </c>
      <c r="K103" s="1">
        <v>0.09</v>
      </c>
      <c r="L103" t="s">
        <v>19</v>
      </c>
      <c r="M103" t="s">
        <v>63</v>
      </c>
      <c r="N103" s="6" t="s">
        <v>21</v>
      </c>
      <c r="O103" s="54">
        <f>TBL_Employees3[[#This Row],[Annual Salary]]+TBL_Employees3[[#This Row],[Bonus %]]*TBL_Employees3[[#This Row],[Annual Salary]]</f>
        <v>81255.14</v>
      </c>
      <c r="P103" t="str">
        <f>IF(AND(TBL_Employees3[[#This Row],[Department]]="IT",TBL_Employees3[[#This Row],[Gender]]="Female"),"Yes","No")</f>
        <v>Yes</v>
      </c>
      <c r="Q103" t="str">
        <f>IF(AND(TBL_Employees3[[#This Row],[Gender]]="Female",TBL_Employees3[[#This Row],[Ethnicity]]="Black"), "Female_Black", "Others")</f>
        <v>Others</v>
      </c>
    </row>
    <row r="104" spans="1:17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6">
        <v>42031</v>
      </c>
      <c r="J104" s="54">
        <v>62575</v>
      </c>
      <c r="K104" s="1">
        <v>0</v>
      </c>
      <c r="L104" t="s">
        <v>19</v>
      </c>
      <c r="M104" t="s">
        <v>45</v>
      </c>
      <c r="N104" s="6" t="s">
        <v>21</v>
      </c>
      <c r="O104" s="54">
        <f>TBL_Employees3[[#This Row],[Annual Salary]]+TBL_Employees3[[#This Row],[Bonus %]]*TBL_Employees3[[#This Row],[Annual Salary]]</f>
        <v>62575</v>
      </c>
      <c r="P104" t="str">
        <f>IF(AND(TBL_Employees3[[#This Row],[Department]]="IT",TBL_Employees3[[#This Row],[Gender]]="Female"),"Yes","No")</f>
        <v>No</v>
      </c>
      <c r="Q104" t="str">
        <f>IF(AND(TBL_Employees3[[#This Row],[Gender]]="Female",TBL_Employees3[[#This Row],[Ethnicity]]="Black"), "Female_Black", "Others")</f>
        <v>Others</v>
      </c>
    </row>
    <row r="105" spans="1:17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6">
        <v>44250</v>
      </c>
      <c r="J105" s="54">
        <v>199041</v>
      </c>
      <c r="K105" s="1">
        <v>0.16</v>
      </c>
      <c r="L105" t="s">
        <v>33</v>
      </c>
      <c r="M105" t="s">
        <v>60</v>
      </c>
      <c r="N105" s="6" t="s">
        <v>21</v>
      </c>
      <c r="O105" s="54">
        <f>TBL_Employees3[[#This Row],[Annual Salary]]+TBL_Employees3[[#This Row],[Bonus %]]*TBL_Employees3[[#This Row],[Annual Salary]]</f>
        <v>230887.56</v>
      </c>
      <c r="P105" t="str">
        <f>IF(AND(TBL_Employees3[[#This Row],[Department]]="IT",TBL_Employees3[[#This Row],[Gender]]="Female"),"Yes","No")</f>
        <v>No</v>
      </c>
      <c r="Q105" t="str">
        <f>IF(AND(TBL_Employees3[[#This Row],[Gender]]="Female",TBL_Employees3[[#This Row],[Ethnicity]]="Black"), "Female_Black", "Others")</f>
        <v>Others</v>
      </c>
    </row>
    <row r="106" spans="1:17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6">
        <v>39177</v>
      </c>
      <c r="J106" s="54">
        <v>52310</v>
      </c>
      <c r="K106" s="1">
        <v>0</v>
      </c>
      <c r="L106" t="s">
        <v>19</v>
      </c>
      <c r="M106" t="s">
        <v>45</v>
      </c>
      <c r="N106" s="6">
        <v>43385</v>
      </c>
      <c r="O106" s="54">
        <f>TBL_Employees3[[#This Row],[Annual Salary]]+TBL_Employees3[[#This Row],[Bonus %]]*TBL_Employees3[[#This Row],[Annual Salary]]</f>
        <v>52310</v>
      </c>
      <c r="P106" t="str">
        <f>IF(AND(TBL_Employees3[[#This Row],[Department]]="IT",TBL_Employees3[[#This Row],[Gender]]="Female"),"Yes","No")</f>
        <v>No</v>
      </c>
      <c r="Q106" t="str">
        <f>IF(AND(TBL_Employees3[[#This Row],[Gender]]="Female",TBL_Employees3[[#This Row],[Ethnicity]]="Black"), "Female_Black", "Others")</f>
        <v>Others</v>
      </c>
    </row>
    <row r="107" spans="1:17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6">
        <v>41454</v>
      </c>
      <c r="J107" s="54">
        <v>159571</v>
      </c>
      <c r="K107" s="1">
        <v>0.1</v>
      </c>
      <c r="L107" t="s">
        <v>19</v>
      </c>
      <c r="M107" t="s">
        <v>29</v>
      </c>
      <c r="N107" s="6" t="s">
        <v>21</v>
      </c>
      <c r="O107" s="54">
        <f>TBL_Employees3[[#This Row],[Annual Salary]]+TBL_Employees3[[#This Row],[Bonus %]]*TBL_Employees3[[#This Row],[Annual Salary]]</f>
        <v>175528.1</v>
      </c>
      <c r="P107" t="str">
        <f>IF(AND(TBL_Employees3[[#This Row],[Department]]="IT",TBL_Employees3[[#This Row],[Gender]]="Female"),"Yes","No")</f>
        <v>No</v>
      </c>
      <c r="Q107" t="str">
        <f>IF(AND(TBL_Employees3[[#This Row],[Gender]]="Female",TBL_Employees3[[#This Row],[Ethnicity]]="Black"), "Female_Black", "Others")</f>
        <v>Others</v>
      </c>
    </row>
    <row r="108" spans="1:17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6">
        <v>35726</v>
      </c>
      <c r="J108" s="54">
        <v>91763</v>
      </c>
      <c r="K108" s="1">
        <v>0</v>
      </c>
      <c r="L108" t="s">
        <v>19</v>
      </c>
      <c r="M108" t="s">
        <v>25</v>
      </c>
      <c r="N108" s="6" t="s">
        <v>21</v>
      </c>
      <c r="O108" s="54">
        <f>TBL_Employees3[[#This Row],[Annual Salary]]+TBL_Employees3[[#This Row],[Bonus %]]*TBL_Employees3[[#This Row],[Annual Salary]]</f>
        <v>91763</v>
      </c>
      <c r="P108" t="str">
        <f>IF(AND(TBL_Employees3[[#This Row],[Department]]="IT",TBL_Employees3[[#This Row],[Gender]]="Female"),"Yes","No")</f>
        <v>No</v>
      </c>
      <c r="Q108" t="str">
        <f>IF(AND(TBL_Employees3[[#This Row],[Gender]]="Female",TBL_Employees3[[#This Row],[Ethnicity]]="Black"), "Female_Black", "Others")</f>
        <v>Others</v>
      </c>
    </row>
    <row r="109" spans="1:17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6">
        <v>35055</v>
      </c>
      <c r="J109" s="54">
        <v>96475</v>
      </c>
      <c r="K109" s="1">
        <v>0</v>
      </c>
      <c r="L109" t="s">
        <v>19</v>
      </c>
      <c r="M109" t="s">
        <v>25</v>
      </c>
      <c r="N109" s="6" t="s">
        <v>21</v>
      </c>
      <c r="O109" s="54">
        <f>TBL_Employees3[[#This Row],[Annual Salary]]+TBL_Employees3[[#This Row],[Bonus %]]*TBL_Employees3[[#This Row],[Annual Salary]]</f>
        <v>96475</v>
      </c>
      <c r="P109" t="str">
        <f>IF(AND(TBL_Employees3[[#This Row],[Department]]="IT",TBL_Employees3[[#This Row],[Gender]]="Female"),"Yes","No")</f>
        <v>No</v>
      </c>
      <c r="Q109" t="str">
        <f>IF(AND(TBL_Employees3[[#This Row],[Gender]]="Female",TBL_Employees3[[#This Row],[Ethnicity]]="Black"), "Female_Black", "Others")</f>
        <v>Others</v>
      </c>
    </row>
    <row r="110" spans="1:17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6">
        <v>42706</v>
      </c>
      <c r="J110" s="54">
        <v>113781</v>
      </c>
      <c r="K110" s="1">
        <v>0</v>
      </c>
      <c r="L110" t="s">
        <v>19</v>
      </c>
      <c r="M110" t="s">
        <v>29</v>
      </c>
      <c r="N110" s="6" t="s">
        <v>21</v>
      </c>
      <c r="O110" s="54">
        <f>TBL_Employees3[[#This Row],[Annual Salary]]+TBL_Employees3[[#This Row],[Bonus %]]*TBL_Employees3[[#This Row],[Annual Salary]]</f>
        <v>113781</v>
      </c>
      <c r="P110" t="str">
        <f>IF(AND(TBL_Employees3[[#This Row],[Department]]="IT",TBL_Employees3[[#This Row],[Gender]]="Female"),"Yes","No")</f>
        <v>No</v>
      </c>
      <c r="Q110" t="str">
        <f>IF(AND(TBL_Employees3[[#This Row],[Gender]]="Female",TBL_Employees3[[#This Row],[Ethnicity]]="Black"), "Female_Black", "Others")</f>
        <v>Others</v>
      </c>
    </row>
    <row r="111" spans="1:17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6">
        <v>37636</v>
      </c>
      <c r="J111" s="54">
        <v>166599</v>
      </c>
      <c r="K111" s="1">
        <v>0.26</v>
      </c>
      <c r="L111" t="s">
        <v>19</v>
      </c>
      <c r="M111" t="s">
        <v>63</v>
      </c>
      <c r="N111" s="6" t="s">
        <v>21</v>
      </c>
      <c r="O111" s="54">
        <f>TBL_Employees3[[#This Row],[Annual Salary]]+TBL_Employees3[[#This Row],[Bonus %]]*TBL_Employees3[[#This Row],[Annual Salary]]</f>
        <v>209914.74</v>
      </c>
      <c r="P111" t="str">
        <f>IF(AND(TBL_Employees3[[#This Row],[Department]]="IT",TBL_Employees3[[#This Row],[Gender]]="Female"),"Yes","No")</f>
        <v>No</v>
      </c>
      <c r="Q111" t="str">
        <f>IF(AND(TBL_Employees3[[#This Row],[Gender]]="Female",TBL_Employees3[[#This Row],[Ethnicity]]="Black"), "Female_Black", "Others")</f>
        <v>Others</v>
      </c>
    </row>
    <row r="112" spans="1:17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6">
        <v>38398</v>
      </c>
      <c r="J112" s="54">
        <v>95372</v>
      </c>
      <c r="K112" s="1">
        <v>0</v>
      </c>
      <c r="L112" t="s">
        <v>33</v>
      </c>
      <c r="M112" t="s">
        <v>74</v>
      </c>
      <c r="N112" s="6" t="s">
        <v>21</v>
      </c>
      <c r="O112" s="54">
        <f>TBL_Employees3[[#This Row],[Annual Salary]]+TBL_Employees3[[#This Row],[Bonus %]]*TBL_Employees3[[#This Row],[Annual Salary]]</f>
        <v>95372</v>
      </c>
      <c r="P112" t="str">
        <f>IF(AND(TBL_Employees3[[#This Row],[Department]]="IT",TBL_Employees3[[#This Row],[Gender]]="Female"),"Yes","No")</f>
        <v>No</v>
      </c>
      <c r="Q112" t="str">
        <f>IF(AND(TBL_Employees3[[#This Row],[Gender]]="Female",TBL_Employees3[[#This Row],[Ethnicity]]="Black"), "Female_Black", "Others")</f>
        <v>Others</v>
      </c>
    </row>
    <row r="113" spans="1:17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6">
        <v>44052</v>
      </c>
      <c r="J113" s="54">
        <v>161203</v>
      </c>
      <c r="K113" s="1">
        <v>0.15</v>
      </c>
      <c r="L113" t="s">
        <v>33</v>
      </c>
      <c r="M113" t="s">
        <v>34</v>
      </c>
      <c r="N113" s="6" t="s">
        <v>21</v>
      </c>
      <c r="O113" s="54">
        <f>TBL_Employees3[[#This Row],[Annual Salary]]+TBL_Employees3[[#This Row],[Bonus %]]*TBL_Employees3[[#This Row],[Annual Salary]]</f>
        <v>185383.45</v>
      </c>
      <c r="P113" t="str">
        <f>IF(AND(TBL_Employees3[[#This Row],[Department]]="IT",TBL_Employees3[[#This Row],[Gender]]="Female"),"Yes","No")</f>
        <v>Yes</v>
      </c>
      <c r="Q113" t="str">
        <f>IF(AND(TBL_Employees3[[#This Row],[Gender]]="Female",TBL_Employees3[[#This Row],[Ethnicity]]="Black"), "Female_Black", "Others")</f>
        <v>Others</v>
      </c>
    </row>
    <row r="114" spans="1:17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6">
        <v>39064</v>
      </c>
      <c r="J114" s="54">
        <v>74738</v>
      </c>
      <c r="K114" s="1">
        <v>0</v>
      </c>
      <c r="L114" t="s">
        <v>19</v>
      </c>
      <c r="M114" t="s">
        <v>45</v>
      </c>
      <c r="N114" s="6" t="s">
        <v>21</v>
      </c>
      <c r="O114" s="54">
        <f>TBL_Employees3[[#This Row],[Annual Salary]]+TBL_Employees3[[#This Row],[Bonus %]]*TBL_Employees3[[#This Row],[Annual Salary]]</f>
        <v>74738</v>
      </c>
      <c r="P114" t="str">
        <f>IF(AND(TBL_Employees3[[#This Row],[Department]]="IT",TBL_Employees3[[#This Row],[Gender]]="Female"),"Yes","No")</f>
        <v>Yes</v>
      </c>
      <c r="Q114" t="str">
        <f>IF(AND(TBL_Employees3[[#This Row],[Gender]]="Female",TBL_Employees3[[#This Row],[Ethnicity]]="Black"), "Female_Black", "Others")</f>
        <v>Others</v>
      </c>
    </row>
    <row r="115" spans="1:17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6">
        <v>43322</v>
      </c>
      <c r="J115" s="54">
        <v>171173</v>
      </c>
      <c r="K115" s="1">
        <v>0.21</v>
      </c>
      <c r="L115" t="s">
        <v>19</v>
      </c>
      <c r="M115" t="s">
        <v>29</v>
      </c>
      <c r="N115" s="6" t="s">
        <v>21</v>
      </c>
      <c r="O115" s="54">
        <f>TBL_Employees3[[#This Row],[Annual Salary]]+TBL_Employees3[[#This Row],[Bonus %]]*TBL_Employees3[[#This Row],[Annual Salary]]</f>
        <v>207119.33000000002</v>
      </c>
      <c r="P115" t="str">
        <f>IF(AND(TBL_Employees3[[#This Row],[Department]]="IT",TBL_Employees3[[#This Row],[Gender]]="Female"),"Yes","No")</f>
        <v>No</v>
      </c>
      <c r="Q115" t="str">
        <f>IF(AND(TBL_Employees3[[#This Row],[Gender]]="Female",TBL_Employees3[[#This Row],[Ethnicity]]="Black"), "Female_Black", "Others")</f>
        <v>Others</v>
      </c>
    </row>
    <row r="116" spans="1:17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6">
        <v>43732</v>
      </c>
      <c r="J116" s="54">
        <v>201464</v>
      </c>
      <c r="K116" s="1">
        <v>0.37</v>
      </c>
      <c r="L116" t="s">
        <v>19</v>
      </c>
      <c r="M116" t="s">
        <v>20</v>
      </c>
      <c r="N116" s="6" t="s">
        <v>21</v>
      </c>
      <c r="O116" s="54">
        <f>TBL_Employees3[[#This Row],[Annual Salary]]+TBL_Employees3[[#This Row],[Bonus %]]*TBL_Employees3[[#This Row],[Annual Salary]]</f>
        <v>276005.68</v>
      </c>
      <c r="P116" t="str">
        <f>IF(AND(TBL_Employees3[[#This Row],[Department]]="IT",TBL_Employees3[[#This Row],[Gender]]="Female"),"Yes","No")</f>
        <v>No</v>
      </c>
      <c r="Q116" t="str">
        <f>IF(AND(TBL_Employees3[[#This Row],[Gender]]="Female",TBL_Employees3[[#This Row],[Ethnicity]]="Black"), "Female_Black", "Others")</f>
        <v>Others</v>
      </c>
    </row>
    <row r="117" spans="1:17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6">
        <v>35998</v>
      </c>
      <c r="J117" s="54">
        <v>174895</v>
      </c>
      <c r="K117" s="1">
        <v>0.15</v>
      </c>
      <c r="L117" t="s">
        <v>19</v>
      </c>
      <c r="M117" t="s">
        <v>20</v>
      </c>
      <c r="N117" s="6" t="s">
        <v>21</v>
      </c>
      <c r="O117" s="54">
        <f>TBL_Employees3[[#This Row],[Annual Salary]]+TBL_Employees3[[#This Row],[Bonus %]]*TBL_Employees3[[#This Row],[Annual Salary]]</f>
        <v>201129.25</v>
      </c>
      <c r="P117" t="str">
        <f>IF(AND(TBL_Employees3[[#This Row],[Department]]="IT",TBL_Employees3[[#This Row],[Gender]]="Female"),"Yes","No")</f>
        <v>No</v>
      </c>
      <c r="Q117" t="str">
        <f>IF(AND(TBL_Employees3[[#This Row],[Gender]]="Female",TBL_Employees3[[#This Row],[Ethnicity]]="Black"), "Female_Black", "Others")</f>
        <v>Others</v>
      </c>
    </row>
    <row r="118" spans="1:17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6">
        <v>38825</v>
      </c>
      <c r="J118" s="54">
        <v>134486</v>
      </c>
      <c r="K118" s="1">
        <v>0.14000000000000001</v>
      </c>
      <c r="L118" t="s">
        <v>19</v>
      </c>
      <c r="M118" t="s">
        <v>25</v>
      </c>
      <c r="N118" s="6" t="s">
        <v>21</v>
      </c>
      <c r="O118" s="54">
        <f>TBL_Employees3[[#This Row],[Annual Salary]]+TBL_Employees3[[#This Row],[Bonus %]]*TBL_Employees3[[#This Row],[Annual Salary]]</f>
        <v>153314.04</v>
      </c>
      <c r="P118" t="str">
        <f>IF(AND(TBL_Employees3[[#This Row],[Department]]="IT",TBL_Employees3[[#This Row],[Gender]]="Female"),"Yes","No")</f>
        <v>Yes</v>
      </c>
      <c r="Q118" t="str">
        <f>IF(AND(TBL_Employees3[[#This Row],[Gender]]="Female",TBL_Employees3[[#This Row],[Ethnicity]]="Black"), "Female_Black", "Others")</f>
        <v>Others</v>
      </c>
    </row>
    <row r="119" spans="1:17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6">
        <v>39137</v>
      </c>
      <c r="J119" s="54">
        <v>71699</v>
      </c>
      <c r="K119" s="1">
        <v>0</v>
      </c>
      <c r="L119" t="s">
        <v>52</v>
      </c>
      <c r="M119" t="s">
        <v>81</v>
      </c>
      <c r="N119" s="6" t="s">
        <v>21</v>
      </c>
      <c r="O119" s="54">
        <f>TBL_Employees3[[#This Row],[Annual Salary]]+TBL_Employees3[[#This Row],[Bonus %]]*TBL_Employees3[[#This Row],[Annual Salary]]</f>
        <v>71699</v>
      </c>
      <c r="P119" t="str">
        <f>IF(AND(TBL_Employees3[[#This Row],[Department]]="IT",TBL_Employees3[[#This Row],[Gender]]="Female"),"Yes","No")</f>
        <v>No</v>
      </c>
      <c r="Q119" t="str">
        <f>IF(AND(TBL_Employees3[[#This Row],[Gender]]="Female",TBL_Employees3[[#This Row],[Ethnicity]]="Black"), "Female_Black", "Others")</f>
        <v>Others</v>
      </c>
    </row>
    <row r="120" spans="1:17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6">
        <v>44198</v>
      </c>
      <c r="J120" s="54">
        <v>94430</v>
      </c>
      <c r="K120" s="1">
        <v>0</v>
      </c>
      <c r="L120" t="s">
        <v>19</v>
      </c>
      <c r="M120" t="s">
        <v>63</v>
      </c>
      <c r="N120" s="6" t="s">
        <v>21</v>
      </c>
      <c r="O120" s="54">
        <f>TBL_Employees3[[#This Row],[Annual Salary]]+TBL_Employees3[[#This Row],[Bonus %]]*TBL_Employees3[[#This Row],[Annual Salary]]</f>
        <v>94430</v>
      </c>
      <c r="P120" t="str">
        <f>IF(AND(TBL_Employees3[[#This Row],[Department]]="IT",TBL_Employees3[[#This Row],[Gender]]="Female"),"Yes","No")</f>
        <v>No</v>
      </c>
      <c r="Q120" t="str">
        <f>IF(AND(TBL_Employees3[[#This Row],[Gender]]="Female",TBL_Employees3[[#This Row],[Ethnicity]]="Black"), "Female_Black", "Others")</f>
        <v>Others</v>
      </c>
    </row>
    <row r="121" spans="1:17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6">
        <v>40192</v>
      </c>
      <c r="J121" s="54">
        <v>103504</v>
      </c>
      <c r="K121" s="1">
        <v>7.0000000000000007E-2</v>
      </c>
      <c r="L121" t="s">
        <v>33</v>
      </c>
      <c r="M121" t="s">
        <v>34</v>
      </c>
      <c r="N121" s="6" t="s">
        <v>21</v>
      </c>
      <c r="O121" s="54">
        <f>TBL_Employees3[[#This Row],[Annual Salary]]+TBL_Employees3[[#This Row],[Bonus %]]*TBL_Employees3[[#This Row],[Annual Salary]]</f>
        <v>110749.28</v>
      </c>
      <c r="P121" t="str">
        <f>IF(AND(TBL_Employees3[[#This Row],[Department]]="IT",TBL_Employees3[[#This Row],[Gender]]="Female"),"Yes","No")</f>
        <v>No</v>
      </c>
      <c r="Q121" t="str">
        <f>IF(AND(TBL_Employees3[[#This Row],[Gender]]="Female",TBL_Employees3[[#This Row],[Ethnicity]]="Black"), "Female_Black", "Others")</f>
        <v>Others</v>
      </c>
    </row>
    <row r="122" spans="1:17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6">
        <v>38573</v>
      </c>
      <c r="J122" s="54">
        <v>92771</v>
      </c>
      <c r="K122" s="1">
        <v>0</v>
      </c>
      <c r="L122" t="s">
        <v>19</v>
      </c>
      <c r="M122" t="s">
        <v>45</v>
      </c>
      <c r="N122" s="6" t="s">
        <v>21</v>
      </c>
      <c r="O122" s="54">
        <f>TBL_Employees3[[#This Row],[Annual Salary]]+TBL_Employees3[[#This Row],[Bonus %]]*TBL_Employees3[[#This Row],[Annual Salary]]</f>
        <v>92771</v>
      </c>
      <c r="P122" t="str">
        <f>IF(AND(TBL_Employees3[[#This Row],[Department]]="IT",TBL_Employees3[[#This Row],[Gender]]="Female"),"Yes","No")</f>
        <v>Yes</v>
      </c>
      <c r="Q122" t="str">
        <f>IF(AND(TBL_Employees3[[#This Row],[Gender]]="Female",TBL_Employees3[[#This Row],[Ethnicity]]="Black"), "Female_Black", "Others")</f>
        <v>Others</v>
      </c>
    </row>
    <row r="123" spans="1:17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6">
        <v>38813</v>
      </c>
      <c r="J123" s="54">
        <v>71531</v>
      </c>
      <c r="K123" s="1">
        <v>0</v>
      </c>
      <c r="L123" t="s">
        <v>19</v>
      </c>
      <c r="M123" t="s">
        <v>29</v>
      </c>
      <c r="N123" s="6" t="s">
        <v>21</v>
      </c>
      <c r="O123" s="54">
        <f>TBL_Employees3[[#This Row],[Annual Salary]]+TBL_Employees3[[#This Row],[Bonus %]]*TBL_Employees3[[#This Row],[Annual Salary]]</f>
        <v>71531</v>
      </c>
      <c r="P123" t="str">
        <f>IF(AND(TBL_Employees3[[#This Row],[Department]]="IT",TBL_Employees3[[#This Row],[Gender]]="Female"),"Yes","No")</f>
        <v>No</v>
      </c>
      <c r="Q123" t="str">
        <f>IF(AND(TBL_Employees3[[#This Row],[Gender]]="Female",TBL_Employees3[[#This Row],[Ethnicity]]="Black"), "Female_Black", "Others")</f>
        <v>Others</v>
      </c>
    </row>
    <row r="124" spans="1:17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6">
        <v>43530</v>
      </c>
      <c r="J124" s="54">
        <v>90304</v>
      </c>
      <c r="K124" s="1">
        <v>0</v>
      </c>
      <c r="L124" t="s">
        <v>19</v>
      </c>
      <c r="M124" t="s">
        <v>20</v>
      </c>
      <c r="N124" s="6" t="s">
        <v>21</v>
      </c>
      <c r="O124" s="54">
        <f>TBL_Employees3[[#This Row],[Annual Salary]]+TBL_Employees3[[#This Row],[Bonus %]]*TBL_Employees3[[#This Row],[Annual Salary]]</f>
        <v>90304</v>
      </c>
      <c r="P124" t="str">
        <f>IF(AND(TBL_Employees3[[#This Row],[Department]]="IT",TBL_Employees3[[#This Row],[Gender]]="Female"),"Yes","No")</f>
        <v>No</v>
      </c>
      <c r="Q124" t="str">
        <f>IF(AND(TBL_Employees3[[#This Row],[Gender]]="Female",TBL_Employees3[[#This Row],[Ethnicity]]="Black"), "Female_Black", "Others")</f>
        <v>Others</v>
      </c>
    </row>
    <row r="125" spans="1:17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6">
        <v>40793</v>
      </c>
      <c r="J125" s="54">
        <v>104903</v>
      </c>
      <c r="K125" s="1">
        <v>0.1</v>
      </c>
      <c r="L125" t="s">
        <v>19</v>
      </c>
      <c r="M125" t="s">
        <v>29</v>
      </c>
      <c r="N125" s="6" t="s">
        <v>21</v>
      </c>
      <c r="O125" s="54">
        <f>TBL_Employees3[[#This Row],[Annual Salary]]+TBL_Employees3[[#This Row],[Bonus %]]*TBL_Employees3[[#This Row],[Annual Salary]]</f>
        <v>115393.3</v>
      </c>
      <c r="P125" t="str">
        <f>IF(AND(TBL_Employees3[[#This Row],[Department]]="IT",TBL_Employees3[[#This Row],[Gender]]="Female"),"Yes","No")</f>
        <v>No</v>
      </c>
      <c r="Q125" t="str">
        <f>IF(AND(TBL_Employees3[[#This Row],[Gender]]="Female",TBL_Employees3[[#This Row],[Ethnicity]]="Black"), "Female_Black", "Others")</f>
        <v>Others</v>
      </c>
    </row>
    <row r="126" spans="1:17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6">
        <v>43515</v>
      </c>
      <c r="J126" s="54">
        <v>55859</v>
      </c>
      <c r="K126" s="1">
        <v>0</v>
      </c>
      <c r="L126" t="s">
        <v>33</v>
      </c>
      <c r="M126" t="s">
        <v>60</v>
      </c>
      <c r="N126" s="6" t="s">
        <v>21</v>
      </c>
      <c r="O126" s="54">
        <f>TBL_Employees3[[#This Row],[Annual Salary]]+TBL_Employees3[[#This Row],[Bonus %]]*TBL_Employees3[[#This Row],[Annual Salary]]</f>
        <v>55859</v>
      </c>
      <c r="P126" t="str">
        <f>IF(AND(TBL_Employees3[[#This Row],[Department]]="IT",TBL_Employees3[[#This Row],[Gender]]="Female"),"Yes","No")</f>
        <v>No</v>
      </c>
      <c r="Q126" t="str">
        <f>IF(AND(TBL_Employees3[[#This Row],[Gender]]="Female",TBL_Employees3[[#This Row],[Ethnicity]]="Black"), "Female_Black", "Others")</f>
        <v>Others</v>
      </c>
    </row>
    <row r="127" spans="1:17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6">
        <v>39002</v>
      </c>
      <c r="J127" s="54">
        <v>79785</v>
      </c>
      <c r="K127" s="1">
        <v>0</v>
      </c>
      <c r="L127" t="s">
        <v>19</v>
      </c>
      <c r="M127" t="s">
        <v>25</v>
      </c>
      <c r="N127" s="6" t="s">
        <v>21</v>
      </c>
      <c r="O127" s="54">
        <f>TBL_Employees3[[#This Row],[Annual Salary]]+TBL_Employees3[[#This Row],[Bonus %]]*TBL_Employees3[[#This Row],[Annual Salary]]</f>
        <v>79785</v>
      </c>
      <c r="P127" t="str">
        <f>IF(AND(TBL_Employees3[[#This Row],[Department]]="IT",TBL_Employees3[[#This Row],[Gender]]="Female"),"Yes","No")</f>
        <v>No</v>
      </c>
      <c r="Q127" t="str">
        <f>IF(AND(TBL_Employees3[[#This Row],[Gender]]="Female",TBL_Employees3[[#This Row],[Ethnicity]]="Black"), "Female_Black", "Others")</f>
        <v>Others</v>
      </c>
    </row>
    <row r="128" spans="1:17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6">
        <v>39391</v>
      </c>
      <c r="J128" s="54">
        <v>99017</v>
      </c>
      <c r="K128" s="1">
        <v>0</v>
      </c>
      <c r="L128" t="s">
        <v>33</v>
      </c>
      <c r="M128" t="s">
        <v>60</v>
      </c>
      <c r="N128" s="6" t="s">
        <v>21</v>
      </c>
      <c r="O128" s="54">
        <f>TBL_Employees3[[#This Row],[Annual Salary]]+TBL_Employees3[[#This Row],[Bonus %]]*TBL_Employees3[[#This Row],[Annual Salary]]</f>
        <v>99017</v>
      </c>
      <c r="P128" t="str">
        <f>IF(AND(TBL_Employees3[[#This Row],[Department]]="IT",TBL_Employees3[[#This Row],[Gender]]="Female"),"Yes","No")</f>
        <v>No</v>
      </c>
      <c r="Q128" t="str">
        <f>IF(AND(TBL_Employees3[[#This Row],[Gender]]="Female",TBL_Employees3[[#This Row],[Ethnicity]]="Black"), "Female_Black", "Others")</f>
        <v>Others</v>
      </c>
    </row>
    <row r="129" spans="1:17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6">
        <v>33695</v>
      </c>
      <c r="J129" s="54">
        <v>53809</v>
      </c>
      <c r="K129" s="1">
        <v>0</v>
      </c>
      <c r="L129" t="s">
        <v>19</v>
      </c>
      <c r="M129" t="s">
        <v>39</v>
      </c>
      <c r="N129" s="6" t="s">
        <v>21</v>
      </c>
      <c r="O129" s="54">
        <f>TBL_Employees3[[#This Row],[Annual Salary]]+TBL_Employees3[[#This Row],[Bonus %]]*TBL_Employees3[[#This Row],[Annual Salary]]</f>
        <v>53809</v>
      </c>
      <c r="P129" t="str">
        <f>IF(AND(TBL_Employees3[[#This Row],[Department]]="IT",TBL_Employees3[[#This Row],[Gender]]="Female"),"Yes","No")</f>
        <v>Yes</v>
      </c>
      <c r="Q129" t="str">
        <f>IF(AND(TBL_Employees3[[#This Row],[Gender]]="Female",TBL_Employees3[[#This Row],[Ethnicity]]="Black"), "Female_Black", "Others")</f>
        <v>Others</v>
      </c>
    </row>
    <row r="130" spans="1:17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6">
        <v>43937</v>
      </c>
      <c r="J130" s="54">
        <v>71864</v>
      </c>
      <c r="K130" s="1">
        <v>0</v>
      </c>
      <c r="L130" t="s">
        <v>33</v>
      </c>
      <c r="M130" t="s">
        <v>34</v>
      </c>
      <c r="N130" s="6" t="s">
        <v>21</v>
      </c>
      <c r="O130" s="54">
        <f>TBL_Employees3[[#This Row],[Annual Salary]]+TBL_Employees3[[#This Row],[Bonus %]]*TBL_Employees3[[#This Row],[Annual Salary]]</f>
        <v>71864</v>
      </c>
      <c r="P130" t="str">
        <f>IF(AND(TBL_Employees3[[#This Row],[Department]]="IT",TBL_Employees3[[#This Row],[Gender]]="Female"),"Yes","No")</f>
        <v>No</v>
      </c>
      <c r="Q130" t="str">
        <f>IF(AND(TBL_Employees3[[#This Row],[Gender]]="Female",TBL_Employees3[[#This Row],[Ethnicity]]="Black"), "Female_Black", "Others")</f>
        <v>Others</v>
      </c>
    </row>
    <row r="131" spans="1:17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6">
        <v>40883</v>
      </c>
      <c r="J131" s="54">
        <v>225558</v>
      </c>
      <c r="K131" s="1">
        <v>0.33</v>
      </c>
      <c r="L131" t="s">
        <v>33</v>
      </c>
      <c r="M131" t="s">
        <v>74</v>
      </c>
      <c r="N131" s="6" t="s">
        <v>21</v>
      </c>
      <c r="O131" s="54">
        <f>TBL_Employees3[[#This Row],[Annual Salary]]+TBL_Employees3[[#This Row],[Bonus %]]*TBL_Employees3[[#This Row],[Annual Salary]]</f>
        <v>299992.14</v>
      </c>
      <c r="P131" t="str">
        <f>IF(AND(TBL_Employees3[[#This Row],[Department]]="IT",TBL_Employees3[[#This Row],[Gender]]="Female"),"Yes","No")</f>
        <v>No</v>
      </c>
      <c r="Q131" t="str">
        <f>IF(AND(TBL_Employees3[[#This Row],[Gender]]="Female",TBL_Employees3[[#This Row],[Ethnicity]]="Black"), "Female_Black", "Others")</f>
        <v>Others</v>
      </c>
    </row>
    <row r="132" spans="1:17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6">
        <v>41695</v>
      </c>
      <c r="J132" s="54">
        <v>128984</v>
      </c>
      <c r="K132" s="1">
        <v>0.12</v>
      </c>
      <c r="L132" t="s">
        <v>19</v>
      </c>
      <c r="M132" t="s">
        <v>45</v>
      </c>
      <c r="N132" s="6">
        <v>44317</v>
      </c>
      <c r="O132" s="54">
        <f>TBL_Employees3[[#This Row],[Annual Salary]]+TBL_Employees3[[#This Row],[Bonus %]]*TBL_Employees3[[#This Row],[Annual Salary]]</f>
        <v>144462.07999999999</v>
      </c>
      <c r="P132" t="str">
        <f>IF(AND(TBL_Employees3[[#This Row],[Department]]="IT",TBL_Employees3[[#This Row],[Gender]]="Female"),"Yes","No")</f>
        <v>No</v>
      </c>
      <c r="Q132" t="str">
        <f>IF(AND(TBL_Employees3[[#This Row],[Gender]]="Female",TBL_Employees3[[#This Row],[Ethnicity]]="Black"), "Female_Black", "Others")</f>
        <v>Others</v>
      </c>
    </row>
    <row r="133" spans="1:17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6">
        <v>36331</v>
      </c>
      <c r="J133" s="54">
        <v>96997</v>
      </c>
      <c r="K133" s="1">
        <v>0</v>
      </c>
      <c r="L133" t="s">
        <v>52</v>
      </c>
      <c r="M133" t="s">
        <v>53</v>
      </c>
      <c r="N133" s="6" t="s">
        <v>21</v>
      </c>
      <c r="O133" s="54">
        <f>TBL_Employees3[[#This Row],[Annual Salary]]+TBL_Employees3[[#This Row],[Bonus %]]*TBL_Employees3[[#This Row],[Annual Salary]]</f>
        <v>96997</v>
      </c>
      <c r="P133" t="str">
        <f>IF(AND(TBL_Employees3[[#This Row],[Department]]="IT",TBL_Employees3[[#This Row],[Gender]]="Female"),"Yes","No")</f>
        <v>No</v>
      </c>
      <c r="Q133" t="str">
        <f>IF(AND(TBL_Employees3[[#This Row],[Gender]]="Female",TBL_Employees3[[#This Row],[Ethnicity]]="Black"), "Female_Black", "Others")</f>
        <v>Others</v>
      </c>
    </row>
    <row r="134" spans="1:17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6">
        <v>43122</v>
      </c>
      <c r="J134" s="54">
        <v>176294</v>
      </c>
      <c r="K134" s="1">
        <v>0.28000000000000003</v>
      </c>
      <c r="L134" t="s">
        <v>19</v>
      </c>
      <c r="M134" t="s">
        <v>25</v>
      </c>
      <c r="N134" s="6" t="s">
        <v>21</v>
      </c>
      <c r="O134" s="54">
        <f>TBL_Employees3[[#This Row],[Annual Salary]]+TBL_Employees3[[#This Row],[Bonus %]]*TBL_Employees3[[#This Row],[Annual Salary]]</f>
        <v>225656.32000000001</v>
      </c>
      <c r="P134" t="str">
        <f>IF(AND(TBL_Employees3[[#This Row],[Department]]="IT",TBL_Employees3[[#This Row],[Gender]]="Female"),"Yes","No")</f>
        <v>No</v>
      </c>
      <c r="Q134" t="str">
        <f>IF(AND(TBL_Employees3[[#This Row],[Gender]]="Female",TBL_Employees3[[#This Row],[Ethnicity]]="Black"), "Female_Black", "Others")</f>
        <v>Others</v>
      </c>
    </row>
    <row r="135" spans="1:17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6">
        <v>44241</v>
      </c>
      <c r="J135" s="54">
        <v>48340</v>
      </c>
      <c r="K135" s="1">
        <v>0</v>
      </c>
      <c r="L135" t="s">
        <v>33</v>
      </c>
      <c r="M135" t="s">
        <v>60</v>
      </c>
      <c r="N135" s="6" t="s">
        <v>21</v>
      </c>
      <c r="O135" s="54">
        <f>TBL_Employees3[[#This Row],[Annual Salary]]+TBL_Employees3[[#This Row],[Bonus %]]*TBL_Employees3[[#This Row],[Annual Salary]]</f>
        <v>48340</v>
      </c>
      <c r="P135" t="str">
        <f>IF(AND(TBL_Employees3[[#This Row],[Department]]="IT",TBL_Employees3[[#This Row],[Gender]]="Female"),"Yes","No")</f>
        <v>No</v>
      </c>
      <c r="Q135" t="str">
        <f>IF(AND(TBL_Employees3[[#This Row],[Gender]]="Female",TBL_Employees3[[#This Row],[Ethnicity]]="Black"), "Female_Black", "Others")</f>
        <v>Others</v>
      </c>
    </row>
    <row r="136" spans="1:17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6">
        <v>42922</v>
      </c>
      <c r="J136" s="54">
        <v>240488</v>
      </c>
      <c r="K136" s="1">
        <v>0.4</v>
      </c>
      <c r="L136" t="s">
        <v>52</v>
      </c>
      <c r="M136" t="s">
        <v>66</v>
      </c>
      <c r="N136" s="6" t="s">
        <v>21</v>
      </c>
      <c r="O136" s="54">
        <f>TBL_Employees3[[#This Row],[Annual Salary]]+TBL_Employees3[[#This Row],[Bonus %]]*TBL_Employees3[[#This Row],[Annual Salary]]</f>
        <v>336683.2</v>
      </c>
      <c r="P136" t="str">
        <f>IF(AND(TBL_Employees3[[#This Row],[Department]]="IT",TBL_Employees3[[#This Row],[Gender]]="Female"),"Yes","No")</f>
        <v>No</v>
      </c>
      <c r="Q136" t="str">
        <f>IF(AND(TBL_Employees3[[#This Row],[Gender]]="Female",TBL_Employees3[[#This Row],[Ethnicity]]="Black"), "Female_Black", "Others")</f>
        <v>Others</v>
      </c>
    </row>
    <row r="137" spans="1:17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6">
        <v>40565</v>
      </c>
      <c r="J137" s="54">
        <v>97339</v>
      </c>
      <c r="K137" s="1">
        <v>0</v>
      </c>
      <c r="L137" t="s">
        <v>19</v>
      </c>
      <c r="M137" t="s">
        <v>25</v>
      </c>
      <c r="N137" s="6" t="s">
        <v>21</v>
      </c>
      <c r="O137" s="54">
        <f>TBL_Employees3[[#This Row],[Annual Salary]]+TBL_Employees3[[#This Row],[Bonus %]]*TBL_Employees3[[#This Row],[Annual Salary]]</f>
        <v>97339</v>
      </c>
      <c r="P137" t="str">
        <f>IF(AND(TBL_Employees3[[#This Row],[Department]]="IT",TBL_Employees3[[#This Row],[Gender]]="Female"),"Yes","No")</f>
        <v>No</v>
      </c>
      <c r="Q137" t="str">
        <f>IF(AND(TBL_Employees3[[#This Row],[Gender]]="Female",TBL_Employees3[[#This Row],[Ethnicity]]="Black"), "Female_Black", "Others")</f>
        <v>Others</v>
      </c>
    </row>
    <row r="138" spans="1:17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6">
        <v>37680</v>
      </c>
      <c r="J138" s="54">
        <v>211291</v>
      </c>
      <c r="K138" s="1">
        <v>0.37</v>
      </c>
      <c r="L138" t="s">
        <v>33</v>
      </c>
      <c r="M138" t="s">
        <v>80</v>
      </c>
      <c r="N138" s="6" t="s">
        <v>21</v>
      </c>
      <c r="O138" s="54">
        <f>TBL_Employees3[[#This Row],[Annual Salary]]+TBL_Employees3[[#This Row],[Bonus %]]*TBL_Employees3[[#This Row],[Annual Salary]]</f>
        <v>289468.67</v>
      </c>
      <c r="P138" t="str">
        <f>IF(AND(TBL_Employees3[[#This Row],[Department]]="IT",TBL_Employees3[[#This Row],[Gender]]="Female"),"Yes","No")</f>
        <v>No</v>
      </c>
      <c r="Q138" t="str">
        <f>IF(AND(TBL_Employees3[[#This Row],[Gender]]="Female",TBL_Employees3[[#This Row],[Ethnicity]]="Black"), "Female_Black", "Others")</f>
        <v>Others</v>
      </c>
    </row>
    <row r="139" spans="1:17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6">
        <v>40778</v>
      </c>
      <c r="J139" s="54">
        <v>249506</v>
      </c>
      <c r="K139" s="1">
        <v>0.3</v>
      </c>
      <c r="L139" t="s">
        <v>52</v>
      </c>
      <c r="M139" t="s">
        <v>66</v>
      </c>
      <c r="N139" s="6" t="s">
        <v>21</v>
      </c>
      <c r="O139" s="54">
        <f>TBL_Employees3[[#This Row],[Annual Salary]]+TBL_Employees3[[#This Row],[Bonus %]]*TBL_Employees3[[#This Row],[Annual Salary]]</f>
        <v>324357.8</v>
      </c>
      <c r="P139" t="str">
        <f>IF(AND(TBL_Employees3[[#This Row],[Department]]="IT",TBL_Employees3[[#This Row],[Gender]]="Female"),"Yes","No")</f>
        <v>No</v>
      </c>
      <c r="Q139" t="str">
        <f>IF(AND(TBL_Employees3[[#This Row],[Gender]]="Female",TBL_Employees3[[#This Row],[Ethnicity]]="Black"), "Female_Black", "Others")</f>
        <v>Others</v>
      </c>
    </row>
    <row r="140" spans="1:17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6">
        <v>37582</v>
      </c>
      <c r="J140" s="54">
        <v>80950</v>
      </c>
      <c r="K140" s="1">
        <v>0</v>
      </c>
      <c r="L140" t="s">
        <v>33</v>
      </c>
      <c r="M140" t="s">
        <v>80</v>
      </c>
      <c r="N140" s="6" t="s">
        <v>21</v>
      </c>
      <c r="O140" s="54">
        <f>TBL_Employees3[[#This Row],[Annual Salary]]+TBL_Employees3[[#This Row],[Bonus %]]*TBL_Employees3[[#This Row],[Annual Salary]]</f>
        <v>80950</v>
      </c>
      <c r="P140" t="str">
        <f>IF(AND(TBL_Employees3[[#This Row],[Department]]="IT",TBL_Employees3[[#This Row],[Gender]]="Female"),"Yes","No")</f>
        <v>No</v>
      </c>
      <c r="Q140" t="str">
        <f>IF(AND(TBL_Employees3[[#This Row],[Gender]]="Female",TBL_Employees3[[#This Row],[Ethnicity]]="Black"), "Female_Black", "Others")</f>
        <v>Others</v>
      </c>
    </row>
    <row r="141" spans="1:17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6">
        <v>44206</v>
      </c>
      <c r="J141" s="54">
        <v>86538</v>
      </c>
      <c r="K141" s="1">
        <v>0</v>
      </c>
      <c r="L141" t="s">
        <v>33</v>
      </c>
      <c r="M141" t="s">
        <v>34</v>
      </c>
      <c r="N141" s="6" t="s">
        <v>21</v>
      </c>
      <c r="O141" s="54">
        <f>TBL_Employees3[[#This Row],[Annual Salary]]+TBL_Employees3[[#This Row],[Bonus %]]*TBL_Employees3[[#This Row],[Annual Salary]]</f>
        <v>86538</v>
      </c>
      <c r="P141" t="str">
        <f>IF(AND(TBL_Employees3[[#This Row],[Department]]="IT",TBL_Employees3[[#This Row],[Gender]]="Female"),"Yes","No")</f>
        <v>No</v>
      </c>
      <c r="Q141" t="str">
        <f>IF(AND(TBL_Employees3[[#This Row],[Gender]]="Female",TBL_Employees3[[#This Row],[Ethnicity]]="Black"), "Female_Black", "Others")</f>
        <v>Others</v>
      </c>
    </row>
    <row r="142" spans="1:17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6">
        <v>43715</v>
      </c>
      <c r="J142" s="54">
        <v>70992</v>
      </c>
      <c r="K142" s="1">
        <v>0</v>
      </c>
      <c r="L142" t="s">
        <v>19</v>
      </c>
      <c r="M142" t="s">
        <v>25</v>
      </c>
      <c r="N142" s="6" t="s">
        <v>21</v>
      </c>
      <c r="O142" s="54">
        <f>TBL_Employees3[[#This Row],[Annual Salary]]+TBL_Employees3[[#This Row],[Bonus %]]*TBL_Employees3[[#This Row],[Annual Salary]]</f>
        <v>70992</v>
      </c>
      <c r="P142" t="str">
        <f>IF(AND(TBL_Employees3[[#This Row],[Department]]="IT",TBL_Employees3[[#This Row],[Gender]]="Female"),"Yes","No")</f>
        <v>No</v>
      </c>
      <c r="Q142" t="str">
        <f>IF(AND(TBL_Employees3[[#This Row],[Gender]]="Female",TBL_Employees3[[#This Row],[Ethnicity]]="Black"), "Female_Black", "Others")</f>
        <v>Others</v>
      </c>
    </row>
    <row r="143" spans="1:17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6">
        <v>42173</v>
      </c>
      <c r="J143" s="54">
        <v>205314</v>
      </c>
      <c r="K143" s="1">
        <v>0.3</v>
      </c>
      <c r="L143" t="s">
        <v>19</v>
      </c>
      <c r="M143" t="s">
        <v>29</v>
      </c>
      <c r="N143" s="6" t="s">
        <v>21</v>
      </c>
      <c r="O143" s="54">
        <f>TBL_Employees3[[#This Row],[Annual Salary]]+TBL_Employees3[[#This Row],[Bonus %]]*TBL_Employees3[[#This Row],[Annual Salary]]</f>
        <v>266908.2</v>
      </c>
      <c r="P143" t="str">
        <f>IF(AND(TBL_Employees3[[#This Row],[Department]]="IT",TBL_Employees3[[#This Row],[Gender]]="Female"),"Yes","No")</f>
        <v>No</v>
      </c>
      <c r="Q143" t="str">
        <f>IF(AND(TBL_Employees3[[#This Row],[Gender]]="Female",TBL_Employees3[[#This Row],[Ethnicity]]="Black"), "Female_Black", "Others")</f>
        <v>Others</v>
      </c>
    </row>
    <row r="144" spans="1:17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6">
        <v>42804</v>
      </c>
      <c r="J144" s="54">
        <v>196951</v>
      </c>
      <c r="K144" s="1">
        <v>0.33</v>
      </c>
      <c r="L144" t="s">
        <v>33</v>
      </c>
      <c r="M144" t="s">
        <v>60</v>
      </c>
      <c r="N144" s="6" t="s">
        <v>21</v>
      </c>
      <c r="O144" s="54">
        <f>TBL_Employees3[[#This Row],[Annual Salary]]+TBL_Employees3[[#This Row],[Bonus %]]*TBL_Employees3[[#This Row],[Annual Salary]]</f>
        <v>261944.83000000002</v>
      </c>
      <c r="P144" t="str">
        <f>IF(AND(TBL_Employees3[[#This Row],[Department]]="IT",TBL_Employees3[[#This Row],[Gender]]="Female"),"Yes","No")</f>
        <v>No</v>
      </c>
      <c r="Q144" t="str">
        <f>IF(AND(TBL_Employees3[[#This Row],[Gender]]="Female",TBL_Employees3[[#This Row],[Ethnicity]]="Black"), "Female_Black", "Others")</f>
        <v>Others</v>
      </c>
    </row>
    <row r="145" spans="1:17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6">
        <v>38613</v>
      </c>
      <c r="J145" s="54">
        <v>67686</v>
      </c>
      <c r="K145" s="1">
        <v>0</v>
      </c>
      <c r="L145" t="s">
        <v>33</v>
      </c>
      <c r="M145" t="s">
        <v>60</v>
      </c>
      <c r="N145" s="6" t="s">
        <v>21</v>
      </c>
      <c r="O145" s="54">
        <f>TBL_Employees3[[#This Row],[Annual Salary]]+TBL_Employees3[[#This Row],[Bonus %]]*TBL_Employees3[[#This Row],[Annual Salary]]</f>
        <v>67686</v>
      </c>
      <c r="P145" t="str">
        <f>IF(AND(TBL_Employees3[[#This Row],[Department]]="IT",TBL_Employees3[[#This Row],[Gender]]="Female"),"Yes","No")</f>
        <v>No</v>
      </c>
      <c r="Q145" t="str">
        <f>IF(AND(TBL_Employees3[[#This Row],[Gender]]="Female",TBL_Employees3[[#This Row],[Ethnicity]]="Black"), "Female_Black", "Others")</f>
        <v>Others</v>
      </c>
    </row>
    <row r="146" spans="1:17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6">
        <v>39553</v>
      </c>
      <c r="J146" s="54">
        <v>86431</v>
      </c>
      <c r="K146" s="1">
        <v>0</v>
      </c>
      <c r="L146" t="s">
        <v>19</v>
      </c>
      <c r="M146" t="s">
        <v>29</v>
      </c>
      <c r="N146" s="6" t="s">
        <v>21</v>
      </c>
      <c r="O146" s="54">
        <f>TBL_Employees3[[#This Row],[Annual Salary]]+TBL_Employees3[[#This Row],[Bonus %]]*TBL_Employees3[[#This Row],[Annual Salary]]</f>
        <v>86431</v>
      </c>
      <c r="P146" t="str">
        <f>IF(AND(TBL_Employees3[[#This Row],[Department]]="IT",TBL_Employees3[[#This Row],[Gender]]="Female"),"Yes","No")</f>
        <v>No</v>
      </c>
      <c r="Q146" t="str">
        <f>IF(AND(TBL_Employees3[[#This Row],[Gender]]="Female",TBL_Employees3[[#This Row],[Ethnicity]]="Black"), "Female_Black", "Others")</f>
        <v>Others</v>
      </c>
    </row>
    <row r="147" spans="1:17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6">
        <v>35019</v>
      </c>
      <c r="J147" s="54">
        <v>125936</v>
      </c>
      <c r="K147" s="1">
        <v>0.08</v>
      </c>
      <c r="L147" t="s">
        <v>33</v>
      </c>
      <c r="M147" t="s">
        <v>80</v>
      </c>
      <c r="N147" s="6" t="s">
        <v>21</v>
      </c>
      <c r="O147" s="54">
        <f>TBL_Employees3[[#This Row],[Annual Salary]]+TBL_Employees3[[#This Row],[Bonus %]]*TBL_Employees3[[#This Row],[Annual Salary]]</f>
        <v>136010.88</v>
      </c>
      <c r="P147" t="str">
        <f>IF(AND(TBL_Employees3[[#This Row],[Department]]="IT",TBL_Employees3[[#This Row],[Gender]]="Female"),"Yes","No")</f>
        <v>No</v>
      </c>
      <c r="Q147" t="str">
        <f>IF(AND(TBL_Employees3[[#This Row],[Gender]]="Female",TBL_Employees3[[#This Row],[Ethnicity]]="Black"), "Female_Black", "Others")</f>
        <v>Others</v>
      </c>
    </row>
    <row r="148" spans="1:17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6">
        <v>41473</v>
      </c>
      <c r="J148" s="54">
        <v>149712</v>
      </c>
      <c r="K148" s="1">
        <v>0.14000000000000001</v>
      </c>
      <c r="L148" t="s">
        <v>19</v>
      </c>
      <c r="M148" t="s">
        <v>29</v>
      </c>
      <c r="N148" s="6" t="s">
        <v>21</v>
      </c>
      <c r="O148" s="54">
        <f>TBL_Employees3[[#This Row],[Annual Salary]]+TBL_Employees3[[#This Row],[Bonus %]]*TBL_Employees3[[#This Row],[Annual Salary]]</f>
        <v>170671.68</v>
      </c>
      <c r="P148" t="str">
        <f>IF(AND(TBL_Employees3[[#This Row],[Department]]="IT",TBL_Employees3[[#This Row],[Gender]]="Female"),"Yes","No")</f>
        <v>No</v>
      </c>
      <c r="Q148" t="str">
        <f>IF(AND(TBL_Employees3[[#This Row],[Gender]]="Female",TBL_Employees3[[#This Row],[Ethnicity]]="Black"), "Female_Black", "Others")</f>
        <v>Others</v>
      </c>
    </row>
    <row r="149" spans="1:17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6">
        <v>44471</v>
      </c>
      <c r="J149" s="54">
        <v>88758</v>
      </c>
      <c r="K149" s="1">
        <v>0</v>
      </c>
      <c r="L149" t="s">
        <v>19</v>
      </c>
      <c r="M149" t="s">
        <v>63</v>
      </c>
      <c r="N149" s="6" t="s">
        <v>21</v>
      </c>
      <c r="O149" s="54">
        <f>TBL_Employees3[[#This Row],[Annual Salary]]+TBL_Employees3[[#This Row],[Bonus %]]*TBL_Employees3[[#This Row],[Annual Salary]]</f>
        <v>88758</v>
      </c>
      <c r="P149" t="str">
        <f>IF(AND(TBL_Employees3[[#This Row],[Department]]="IT",TBL_Employees3[[#This Row],[Gender]]="Female"),"Yes","No")</f>
        <v>No</v>
      </c>
      <c r="Q149" t="str">
        <f>IF(AND(TBL_Employees3[[#This Row],[Gender]]="Female",TBL_Employees3[[#This Row],[Ethnicity]]="Black"), "Female_Black", "Others")</f>
        <v>Others</v>
      </c>
    </row>
    <row r="150" spans="1:17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6">
        <v>41468</v>
      </c>
      <c r="J150" s="54">
        <v>83639</v>
      </c>
      <c r="K150" s="1">
        <v>0</v>
      </c>
      <c r="L150" t="s">
        <v>33</v>
      </c>
      <c r="M150" t="s">
        <v>60</v>
      </c>
      <c r="N150" s="6" t="s">
        <v>21</v>
      </c>
      <c r="O150" s="54">
        <f>TBL_Employees3[[#This Row],[Annual Salary]]+TBL_Employees3[[#This Row],[Bonus %]]*TBL_Employees3[[#This Row],[Annual Salary]]</f>
        <v>83639</v>
      </c>
      <c r="P150" t="str">
        <f>IF(AND(TBL_Employees3[[#This Row],[Department]]="IT",TBL_Employees3[[#This Row],[Gender]]="Female"),"Yes","No")</f>
        <v>No</v>
      </c>
      <c r="Q150" t="str">
        <f>IF(AND(TBL_Employees3[[#This Row],[Gender]]="Female",TBL_Employees3[[#This Row],[Ethnicity]]="Black"), "Female_Black", "Others")</f>
        <v>Others</v>
      </c>
    </row>
    <row r="151" spans="1:17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6">
        <v>35933</v>
      </c>
      <c r="J151" s="54">
        <v>68268</v>
      </c>
      <c r="K151" s="1">
        <v>0</v>
      </c>
      <c r="L151" t="s">
        <v>19</v>
      </c>
      <c r="M151" t="s">
        <v>39</v>
      </c>
      <c r="N151" s="6" t="s">
        <v>21</v>
      </c>
      <c r="O151" s="54">
        <f>TBL_Employees3[[#This Row],[Annual Salary]]+TBL_Employees3[[#This Row],[Bonus %]]*TBL_Employees3[[#This Row],[Annual Salary]]</f>
        <v>68268</v>
      </c>
      <c r="P151" t="str">
        <f>IF(AND(TBL_Employees3[[#This Row],[Department]]="IT",TBL_Employees3[[#This Row],[Gender]]="Female"),"Yes","No")</f>
        <v>Yes</v>
      </c>
      <c r="Q151" t="str">
        <f>IF(AND(TBL_Employees3[[#This Row],[Gender]]="Female",TBL_Employees3[[#This Row],[Ethnicity]]="Black"), "Female_Black", "Others")</f>
        <v>Others</v>
      </c>
    </row>
    <row r="152" spans="1:17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6">
        <v>37313</v>
      </c>
      <c r="J152" s="54">
        <v>75819</v>
      </c>
      <c r="K152" s="1">
        <v>0</v>
      </c>
      <c r="L152" t="s">
        <v>52</v>
      </c>
      <c r="M152" t="s">
        <v>53</v>
      </c>
      <c r="N152" s="6" t="s">
        <v>21</v>
      </c>
      <c r="O152" s="54">
        <f>TBL_Employees3[[#This Row],[Annual Salary]]+TBL_Employees3[[#This Row],[Bonus %]]*TBL_Employees3[[#This Row],[Annual Salary]]</f>
        <v>75819</v>
      </c>
      <c r="P152" t="str">
        <f>IF(AND(TBL_Employees3[[#This Row],[Department]]="IT",TBL_Employees3[[#This Row],[Gender]]="Female"),"Yes","No")</f>
        <v>No</v>
      </c>
      <c r="Q152" t="str">
        <f>IF(AND(TBL_Employees3[[#This Row],[Gender]]="Female",TBL_Employees3[[#This Row],[Ethnicity]]="Black"), "Female_Black", "Others")</f>
        <v>Others</v>
      </c>
    </row>
    <row r="153" spans="1:17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6">
        <v>35200</v>
      </c>
      <c r="J153" s="54">
        <v>86658</v>
      </c>
      <c r="K153" s="1">
        <v>0</v>
      </c>
      <c r="L153" t="s">
        <v>19</v>
      </c>
      <c r="M153" t="s">
        <v>39</v>
      </c>
      <c r="N153" s="6" t="s">
        <v>21</v>
      </c>
      <c r="O153" s="54">
        <f>TBL_Employees3[[#This Row],[Annual Salary]]+TBL_Employees3[[#This Row],[Bonus %]]*TBL_Employees3[[#This Row],[Annual Salary]]</f>
        <v>86658</v>
      </c>
      <c r="P153" t="str">
        <f>IF(AND(TBL_Employees3[[#This Row],[Department]]="IT",TBL_Employees3[[#This Row],[Gender]]="Female"),"Yes","No")</f>
        <v>No</v>
      </c>
      <c r="Q153" t="str">
        <f>IF(AND(TBL_Employees3[[#This Row],[Gender]]="Female",TBL_Employees3[[#This Row],[Ethnicity]]="Black"), "Female_Black", "Others")</f>
        <v>Others</v>
      </c>
    </row>
    <row r="154" spans="1:17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6">
        <v>41714</v>
      </c>
      <c r="J154" s="54">
        <v>74552</v>
      </c>
      <c r="K154" s="1">
        <v>0</v>
      </c>
      <c r="L154" t="s">
        <v>33</v>
      </c>
      <c r="M154" t="s">
        <v>34</v>
      </c>
      <c r="N154" s="6" t="s">
        <v>21</v>
      </c>
      <c r="O154" s="54">
        <f>TBL_Employees3[[#This Row],[Annual Salary]]+TBL_Employees3[[#This Row],[Bonus %]]*TBL_Employees3[[#This Row],[Annual Salary]]</f>
        <v>74552</v>
      </c>
      <c r="P154" t="str">
        <f>IF(AND(TBL_Employees3[[#This Row],[Department]]="IT",TBL_Employees3[[#This Row],[Gender]]="Female"),"Yes","No")</f>
        <v>No</v>
      </c>
      <c r="Q154" t="str">
        <f>IF(AND(TBL_Employees3[[#This Row],[Gender]]="Female",TBL_Employees3[[#This Row],[Ethnicity]]="Black"), "Female_Black", "Others")</f>
        <v>Others</v>
      </c>
    </row>
    <row r="155" spans="1:17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6">
        <v>39887</v>
      </c>
      <c r="J155" s="54">
        <v>82839</v>
      </c>
      <c r="K155" s="1">
        <v>0</v>
      </c>
      <c r="L155" t="s">
        <v>19</v>
      </c>
      <c r="M155" t="s">
        <v>45</v>
      </c>
      <c r="N155" s="6" t="s">
        <v>21</v>
      </c>
      <c r="O155" s="54">
        <f>TBL_Employees3[[#This Row],[Annual Salary]]+TBL_Employees3[[#This Row],[Bonus %]]*TBL_Employees3[[#This Row],[Annual Salary]]</f>
        <v>82839</v>
      </c>
      <c r="P155" t="str">
        <f>IF(AND(TBL_Employees3[[#This Row],[Department]]="IT",TBL_Employees3[[#This Row],[Gender]]="Female"),"Yes","No")</f>
        <v>Yes</v>
      </c>
      <c r="Q155" t="str">
        <f>IF(AND(TBL_Employees3[[#This Row],[Gender]]="Female",TBL_Employees3[[#This Row],[Ethnicity]]="Black"), "Female_Black", "Others")</f>
        <v>Others</v>
      </c>
    </row>
    <row r="156" spans="1:17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6">
        <v>44477</v>
      </c>
      <c r="J156" s="54">
        <v>64475</v>
      </c>
      <c r="K156" s="1">
        <v>0</v>
      </c>
      <c r="L156" t="s">
        <v>19</v>
      </c>
      <c r="M156" t="s">
        <v>39</v>
      </c>
      <c r="N156" s="6" t="s">
        <v>21</v>
      </c>
      <c r="O156" s="54">
        <f>TBL_Employees3[[#This Row],[Annual Salary]]+TBL_Employees3[[#This Row],[Bonus %]]*TBL_Employees3[[#This Row],[Annual Salary]]</f>
        <v>64475</v>
      </c>
      <c r="P156" t="str">
        <f>IF(AND(TBL_Employees3[[#This Row],[Department]]="IT",TBL_Employees3[[#This Row],[Gender]]="Female"),"Yes","No")</f>
        <v>Yes</v>
      </c>
      <c r="Q156" t="str">
        <f>IF(AND(TBL_Employees3[[#This Row],[Gender]]="Female",TBL_Employees3[[#This Row],[Ethnicity]]="Black"), "Female_Black", "Others")</f>
        <v>Others</v>
      </c>
    </row>
    <row r="157" spans="1:17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6">
        <v>44036</v>
      </c>
      <c r="J157" s="54">
        <v>69453</v>
      </c>
      <c r="K157" s="1">
        <v>0</v>
      </c>
      <c r="L157" t="s">
        <v>33</v>
      </c>
      <c r="M157" t="s">
        <v>34</v>
      </c>
      <c r="N157" s="6" t="s">
        <v>21</v>
      </c>
      <c r="O157" s="54">
        <f>TBL_Employees3[[#This Row],[Annual Salary]]+TBL_Employees3[[#This Row],[Bonus %]]*TBL_Employees3[[#This Row],[Annual Salary]]</f>
        <v>69453</v>
      </c>
      <c r="P157" t="str">
        <f>IF(AND(TBL_Employees3[[#This Row],[Department]]="IT",TBL_Employees3[[#This Row],[Gender]]="Female"),"Yes","No")</f>
        <v>No</v>
      </c>
      <c r="Q157" t="str">
        <f>IF(AND(TBL_Employees3[[#This Row],[Gender]]="Female",TBL_Employees3[[#This Row],[Ethnicity]]="Black"), "Female_Black", "Others")</f>
        <v>Others</v>
      </c>
    </row>
    <row r="158" spans="1:17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6">
        <v>41642</v>
      </c>
      <c r="J158" s="54">
        <v>127148</v>
      </c>
      <c r="K158" s="1">
        <v>0.1</v>
      </c>
      <c r="L158" t="s">
        <v>19</v>
      </c>
      <c r="M158" t="s">
        <v>45</v>
      </c>
      <c r="N158" s="6" t="s">
        <v>21</v>
      </c>
      <c r="O158" s="54">
        <f>TBL_Employees3[[#This Row],[Annual Salary]]+TBL_Employees3[[#This Row],[Bonus %]]*TBL_Employees3[[#This Row],[Annual Salary]]</f>
        <v>139862.79999999999</v>
      </c>
      <c r="P158" t="str">
        <f>IF(AND(TBL_Employees3[[#This Row],[Department]]="IT",TBL_Employees3[[#This Row],[Gender]]="Female"),"Yes","No")</f>
        <v>No</v>
      </c>
      <c r="Q158" t="str">
        <f>IF(AND(TBL_Employees3[[#This Row],[Gender]]="Female",TBL_Employees3[[#This Row],[Ethnicity]]="Black"), "Female_Black", "Others")</f>
        <v>Others</v>
      </c>
    </row>
    <row r="159" spans="1:17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6">
        <v>43102</v>
      </c>
      <c r="J159" s="54">
        <v>190253</v>
      </c>
      <c r="K159" s="1">
        <v>0.33</v>
      </c>
      <c r="L159" t="s">
        <v>19</v>
      </c>
      <c r="M159" t="s">
        <v>25</v>
      </c>
      <c r="N159" s="6" t="s">
        <v>21</v>
      </c>
      <c r="O159" s="54">
        <f>TBL_Employees3[[#This Row],[Annual Salary]]+TBL_Employees3[[#This Row],[Bonus %]]*TBL_Employees3[[#This Row],[Annual Salary]]</f>
        <v>253036.49</v>
      </c>
      <c r="P159" t="str">
        <f>IF(AND(TBL_Employees3[[#This Row],[Department]]="IT",TBL_Employees3[[#This Row],[Gender]]="Female"),"Yes","No")</f>
        <v>No</v>
      </c>
      <c r="Q159" t="str">
        <f>IF(AND(TBL_Employees3[[#This Row],[Gender]]="Female",TBL_Employees3[[#This Row],[Ethnicity]]="Black"), "Female_Black", "Others")</f>
        <v>Others</v>
      </c>
    </row>
    <row r="160" spans="1:17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6">
        <v>36644</v>
      </c>
      <c r="J160" s="54">
        <v>115798</v>
      </c>
      <c r="K160" s="1">
        <v>0.05</v>
      </c>
      <c r="L160" t="s">
        <v>19</v>
      </c>
      <c r="M160" t="s">
        <v>45</v>
      </c>
      <c r="N160" s="6" t="s">
        <v>21</v>
      </c>
      <c r="O160" s="54">
        <f>TBL_Employees3[[#This Row],[Annual Salary]]+TBL_Employees3[[#This Row],[Bonus %]]*TBL_Employees3[[#This Row],[Annual Salary]]</f>
        <v>121587.9</v>
      </c>
      <c r="P160" t="str">
        <f>IF(AND(TBL_Employees3[[#This Row],[Department]]="IT",TBL_Employees3[[#This Row],[Gender]]="Female"),"Yes","No")</f>
        <v>No</v>
      </c>
      <c r="Q160" t="str">
        <f>IF(AND(TBL_Employees3[[#This Row],[Gender]]="Female",TBL_Employees3[[#This Row],[Ethnicity]]="Black"), "Female_Black", "Others")</f>
        <v>Others</v>
      </c>
    </row>
    <row r="161" spans="1:17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6">
        <v>34567</v>
      </c>
      <c r="J161" s="54">
        <v>93102</v>
      </c>
      <c r="K161" s="1">
        <v>0</v>
      </c>
      <c r="L161" t="s">
        <v>19</v>
      </c>
      <c r="M161" t="s">
        <v>63</v>
      </c>
      <c r="N161" s="6">
        <v>41621</v>
      </c>
      <c r="O161" s="54">
        <f>TBL_Employees3[[#This Row],[Annual Salary]]+TBL_Employees3[[#This Row],[Bonus %]]*TBL_Employees3[[#This Row],[Annual Salary]]</f>
        <v>93102</v>
      </c>
      <c r="P161" t="str">
        <f>IF(AND(TBL_Employees3[[#This Row],[Department]]="IT",TBL_Employees3[[#This Row],[Gender]]="Female"),"Yes","No")</f>
        <v>No</v>
      </c>
      <c r="Q161" t="str">
        <f>IF(AND(TBL_Employees3[[#This Row],[Gender]]="Female",TBL_Employees3[[#This Row],[Ethnicity]]="Black"), "Female_Black", "Others")</f>
        <v>Others</v>
      </c>
    </row>
    <row r="162" spans="1:17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6">
        <v>43055</v>
      </c>
      <c r="J162" s="54">
        <v>110054</v>
      </c>
      <c r="K162" s="1">
        <v>0.15</v>
      </c>
      <c r="L162" t="s">
        <v>19</v>
      </c>
      <c r="M162" t="s">
        <v>45</v>
      </c>
      <c r="N162" s="6" t="s">
        <v>21</v>
      </c>
      <c r="O162" s="54">
        <f>TBL_Employees3[[#This Row],[Annual Salary]]+TBL_Employees3[[#This Row],[Bonus %]]*TBL_Employees3[[#This Row],[Annual Salary]]</f>
        <v>126562.1</v>
      </c>
      <c r="P162" t="str">
        <f>IF(AND(TBL_Employees3[[#This Row],[Department]]="IT",TBL_Employees3[[#This Row],[Gender]]="Female"),"Yes","No")</f>
        <v>No</v>
      </c>
      <c r="Q162" t="str">
        <f>IF(AND(TBL_Employees3[[#This Row],[Gender]]="Female",TBL_Employees3[[#This Row],[Ethnicity]]="Black"), "Female_Black", "Others")</f>
        <v>Others</v>
      </c>
    </row>
    <row r="163" spans="1:17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6">
        <v>44224</v>
      </c>
      <c r="J163" s="54">
        <v>95786</v>
      </c>
      <c r="K163" s="1">
        <v>0</v>
      </c>
      <c r="L163" t="s">
        <v>19</v>
      </c>
      <c r="M163" t="s">
        <v>20</v>
      </c>
      <c r="N163" s="6" t="s">
        <v>21</v>
      </c>
      <c r="O163" s="54">
        <f>TBL_Employees3[[#This Row],[Annual Salary]]+TBL_Employees3[[#This Row],[Bonus %]]*TBL_Employees3[[#This Row],[Annual Salary]]</f>
        <v>95786</v>
      </c>
      <c r="P163" t="str">
        <f>IF(AND(TBL_Employees3[[#This Row],[Department]]="IT",TBL_Employees3[[#This Row],[Gender]]="Female"),"Yes","No")</f>
        <v>No</v>
      </c>
      <c r="Q163" t="str">
        <f>IF(AND(TBL_Employees3[[#This Row],[Gender]]="Female",TBL_Employees3[[#This Row],[Ethnicity]]="Black"), "Female_Black", "Others")</f>
        <v>Female_Black</v>
      </c>
    </row>
    <row r="164" spans="1:17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6">
        <v>42858</v>
      </c>
      <c r="J164" s="54">
        <v>90855</v>
      </c>
      <c r="K164" s="1">
        <v>0</v>
      </c>
      <c r="L164" t="s">
        <v>52</v>
      </c>
      <c r="M164" t="s">
        <v>53</v>
      </c>
      <c r="N164" s="6" t="s">
        <v>21</v>
      </c>
      <c r="O164" s="54">
        <f>TBL_Employees3[[#This Row],[Annual Salary]]+TBL_Employees3[[#This Row],[Bonus %]]*TBL_Employees3[[#This Row],[Annual Salary]]</f>
        <v>90855</v>
      </c>
      <c r="P164" t="str">
        <f>IF(AND(TBL_Employees3[[#This Row],[Department]]="IT",TBL_Employees3[[#This Row],[Gender]]="Female"),"Yes","No")</f>
        <v>No</v>
      </c>
      <c r="Q164" t="str">
        <f>IF(AND(TBL_Employees3[[#This Row],[Gender]]="Female",TBL_Employees3[[#This Row],[Ethnicity]]="Black"), "Female_Black", "Others")</f>
        <v>Others</v>
      </c>
    </row>
    <row r="165" spans="1:17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6">
        <v>36233</v>
      </c>
      <c r="J165" s="54">
        <v>92897</v>
      </c>
      <c r="K165" s="1">
        <v>0</v>
      </c>
      <c r="L165" t="s">
        <v>52</v>
      </c>
      <c r="M165" t="s">
        <v>53</v>
      </c>
      <c r="N165" s="6" t="s">
        <v>21</v>
      </c>
      <c r="O165" s="54">
        <f>TBL_Employees3[[#This Row],[Annual Salary]]+TBL_Employees3[[#This Row],[Bonus %]]*TBL_Employees3[[#This Row],[Annual Salary]]</f>
        <v>92897</v>
      </c>
      <c r="P165" t="str">
        <f>IF(AND(TBL_Employees3[[#This Row],[Department]]="IT",TBL_Employees3[[#This Row],[Gender]]="Female"),"Yes","No")</f>
        <v>No</v>
      </c>
      <c r="Q165" t="str">
        <f>IF(AND(TBL_Employees3[[#This Row],[Gender]]="Female",TBL_Employees3[[#This Row],[Ethnicity]]="Black"), "Female_Black", "Others")</f>
        <v>Others</v>
      </c>
    </row>
    <row r="166" spans="1:17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6">
        <v>39872</v>
      </c>
      <c r="J166" s="54">
        <v>242919</v>
      </c>
      <c r="K166" s="1">
        <v>0.31</v>
      </c>
      <c r="L166" t="s">
        <v>33</v>
      </c>
      <c r="M166" t="s">
        <v>80</v>
      </c>
      <c r="N166" s="6" t="s">
        <v>21</v>
      </c>
      <c r="O166" s="54">
        <f>TBL_Employees3[[#This Row],[Annual Salary]]+TBL_Employees3[[#This Row],[Bonus %]]*TBL_Employees3[[#This Row],[Annual Salary]]</f>
        <v>318223.89</v>
      </c>
      <c r="P166" t="str">
        <f>IF(AND(TBL_Employees3[[#This Row],[Department]]="IT",TBL_Employees3[[#This Row],[Gender]]="Female"),"Yes","No")</f>
        <v>No</v>
      </c>
      <c r="Q166" t="str">
        <f>IF(AND(TBL_Employees3[[#This Row],[Gender]]="Female",TBL_Employees3[[#This Row],[Ethnicity]]="Black"), "Female_Black", "Others")</f>
        <v>Others</v>
      </c>
    </row>
    <row r="167" spans="1:17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6">
        <v>43240</v>
      </c>
      <c r="J167" s="54">
        <v>184368</v>
      </c>
      <c r="K167" s="1">
        <v>0.28999999999999998</v>
      </c>
      <c r="L167" t="s">
        <v>19</v>
      </c>
      <c r="M167" t="s">
        <v>25</v>
      </c>
      <c r="N167" s="6" t="s">
        <v>21</v>
      </c>
      <c r="O167" s="54">
        <f>TBL_Employees3[[#This Row],[Annual Salary]]+TBL_Employees3[[#This Row],[Bonus %]]*TBL_Employees3[[#This Row],[Annual Salary]]</f>
        <v>237834.72</v>
      </c>
      <c r="P167" t="str">
        <f>IF(AND(TBL_Employees3[[#This Row],[Department]]="IT",TBL_Employees3[[#This Row],[Gender]]="Female"),"Yes","No")</f>
        <v>No</v>
      </c>
      <c r="Q167" t="str">
        <f>IF(AND(TBL_Employees3[[#This Row],[Gender]]="Female",TBL_Employees3[[#This Row],[Ethnicity]]="Black"), "Female_Black", "Others")</f>
        <v>Others</v>
      </c>
    </row>
    <row r="168" spans="1:17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6">
        <v>44554</v>
      </c>
      <c r="J168" s="54">
        <v>144754</v>
      </c>
      <c r="K168" s="1">
        <v>0.15</v>
      </c>
      <c r="L168" t="s">
        <v>19</v>
      </c>
      <c r="M168" t="s">
        <v>39</v>
      </c>
      <c r="N168" s="6" t="s">
        <v>21</v>
      </c>
      <c r="O168" s="54">
        <f>TBL_Employees3[[#This Row],[Annual Salary]]+TBL_Employees3[[#This Row],[Bonus %]]*TBL_Employees3[[#This Row],[Annual Salary]]</f>
        <v>166467.1</v>
      </c>
      <c r="P168" t="str">
        <f>IF(AND(TBL_Employees3[[#This Row],[Department]]="IT",TBL_Employees3[[#This Row],[Gender]]="Female"),"Yes","No")</f>
        <v>No</v>
      </c>
      <c r="Q168" t="str">
        <f>IF(AND(TBL_Employees3[[#This Row],[Gender]]="Female",TBL_Employees3[[#This Row],[Ethnicity]]="Black"), "Female_Black", "Others")</f>
        <v>Others</v>
      </c>
    </row>
    <row r="169" spans="1:17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6">
        <v>42722</v>
      </c>
      <c r="J169" s="54">
        <v>89458</v>
      </c>
      <c r="K169" s="1">
        <v>0</v>
      </c>
      <c r="L169" t="s">
        <v>19</v>
      </c>
      <c r="M169" t="s">
        <v>25</v>
      </c>
      <c r="N169" s="6" t="s">
        <v>21</v>
      </c>
      <c r="O169" s="54">
        <f>TBL_Employees3[[#This Row],[Annual Salary]]+TBL_Employees3[[#This Row],[Bonus %]]*TBL_Employees3[[#This Row],[Annual Salary]]</f>
        <v>89458</v>
      </c>
      <c r="P169" t="str">
        <f>IF(AND(TBL_Employees3[[#This Row],[Department]]="IT",TBL_Employees3[[#This Row],[Gender]]="Female"),"Yes","No")</f>
        <v>No</v>
      </c>
      <c r="Q169" t="str">
        <f>IF(AND(TBL_Employees3[[#This Row],[Gender]]="Female",TBL_Employees3[[#This Row],[Ethnicity]]="Black"), "Female_Black", "Others")</f>
        <v>Others</v>
      </c>
    </row>
    <row r="170" spans="1:17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6">
        <v>41714</v>
      </c>
      <c r="J170" s="54">
        <v>190815</v>
      </c>
      <c r="K170" s="1">
        <v>0.4</v>
      </c>
      <c r="L170" t="s">
        <v>19</v>
      </c>
      <c r="M170" t="s">
        <v>25</v>
      </c>
      <c r="N170" s="6" t="s">
        <v>21</v>
      </c>
      <c r="O170" s="54">
        <f>TBL_Employees3[[#This Row],[Annual Salary]]+TBL_Employees3[[#This Row],[Bonus %]]*TBL_Employees3[[#This Row],[Annual Salary]]</f>
        <v>267141</v>
      </c>
      <c r="P170" t="str">
        <f>IF(AND(TBL_Employees3[[#This Row],[Department]]="IT",TBL_Employees3[[#This Row],[Gender]]="Female"),"Yes","No")</f>
        <v>No</v>
      </c>
      <c r="Q170" t="str">
        <f>IF(AND(TBL_Employees3[[#This Row],[Gender]]="Female",TBL_Employees3[[#This Row],[Ethnicity]]="Black"), "Female_Black", "Others")</f>
        <v>Others</v>
      </c>
    </row>
    <row r="171" spans="1:17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6">
        <v>36374</v>
      </c>
      <c r="J171" s="54">
        <v>137995</v>
      </c>
      <c r="K171" s="1">
        <v>0.14000000000000001</v>
      </c>
      <c r="L171" t="s">
        <v>19</v>
      </c>
      <c r="M171" t="s">
        <v>25</v>
      </c>
      <c r="N171" s="6" t="s">
        <v>21</v>
      </c>
      <c r="O171" s="54">
        <f>TBL_Employees3[[#This Row],[Annual Salary]]+TBL_Employees3[[#This Row],[Bonus %]]*TBL_Employees3[[#This Row],[Annual Salary]]</f>
        <v>157314.29999999999</v>
      </c>
      <c r="P171" t="str">
        <f>IF(AND(TBL_Employees3[[#This Row],[Department]]="IT",TBL_Employees3[[#This Row],[Gender]]="Female"),"Yes","No")</f>
        <v>No</v>
      </c>
      <c r="Q171" t="str">
        <f>IF(AND(TBL_Employees3[[#This Row],[Gender]]="Female",TBL_Employees3[[#This Row],[Ethnicity]]="Black"), "Female_Black", "Others")</f>
        <v>Others</v>
      </c>
    </row>
    <row r="172" spans="1:17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6">
        <v>39437</v>
      </c>
      <c r="J172" s="54">
        <v>93840</v>
      </c>
      <c r="K172" s="1">
        <v>0</v>
      </c>
      <c r="L172" t="s">
        <v>52</v>
      </c>
      <c r="M172" t="s">
        <v>81</v>
      </c>
      <c r="N172" s="6" t="s">
        <v>21</v>
      </c>
      <c r="O172" s="54">
        <f>TBL_Employees3[[#This Row],[Annual Salary]]+TBL_Employees3[[#This Row],[Bonus %]]*TBL_Employees3[[#This Row],[Annual Salary]]</f>
        <v>93840</v>
      </c>
      <c r="P172" t="str">
        <f>IF(AND(TBL_Employees3[[#This Row],[Department]]="IT",TBL_Employees3[[#This Row],[Gender]]="Female"),"Yes","No")</f>
        <v>No</v>
      </c>
      <c r="Q172" t="str">
        <f>IF(AND(TBL_Employees3[[#This Row],[Gender]]="Female",TBL_Employees3[[#This Row],[Ethnicity]]="Black"), "Female_Black", "Others")</f>
        <v>Others</v>
      </c>
    </row>
    <row r="173" spans="1:17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6">
        <v>44495</v>
      </c>
      <c r="J173" s="54">
        <v>94790</v>
      </c>
      <c r="K173" s="1">
        <v>0</v>
      </c>
      <c r="L173" t="s">
        <v>33</v>
      </c>
      <c r="M173" t="s">
        <v>80</v>
      </c>
      <c r="N173" s="6" t="s">
        <v>21</v>
      </c>
      <c r="O173" s="54">
        <f>TBL_Employees3[[#This Row],[Annual Salary]]+TBL_Employees3[[#This Row],[Bonus %]]*TBL_Employees3[[#This Row],[Annual Salary]]</f>
        <v>94790</v>
      </c>
      <c r="P173" t="str">
        <f>IF(AND(TBL_Employees3[[#This Row],[Department]]="IT",TBL_Employees3[[#This Row],[Gender]]="Female"),"Yes","No")</f>
        <v>No</v>
      </c>
      <c r="Q173" t="str">
        <f>IF(AND(TBL_Employees3[[#This Row],[Gender]]="Female",TBL_Employees3[[#This Row],[Ethnicity]]="Black"), "Female_Black", "Others")</f>
        <v>Others</v>
      </c>
    </row>
    <row r="174" spans="1:17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6">
        <v>41706</v>
      </c>
      <c r="J174" s="54">
        <v>197367</v>
      </c>
      <c r="K174" s="1">
        <v>0.39</v>
      </c>
      <c r="L174" t="s">
        <v>19</v>
      </c>
      <c r="M174" t="s">
        <v>25</v>
      </c>
      <c r="N174" s="6" t="s">
        <v>21</v>
      </c>
      <c r="O174" s="54">
        <f>TBL_Employees3[[#This Row],[Annual Salary]]+TBL_Employees3[[#This Row],[Bonus %]]*TBL_Employees3[[#This Row],[Annual Salary]]</f>
        <v>274340.13</v>
      </c>
      <c r="P174" t="str">
        <f>IF(AND(TBL_Employees3[[#This Row],[Department]]="IT",TBL_Employees3[[#This Row],[Gender]]="Female"),"Yes","No")</f>
        <v>No</v>
      </c>
      <c r="Q174" t="str">
        <f>IF(AND(TBL_Employees3[[#This Row],[Gender]]="Female",TBL_Employees3[[#This Row],[Ethnicity]]="Black"), "Female_Black", "Others")</f>
        <v>Others</v>
      </c>
    </row>
    <row r="175" spans="1:17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6">
        <v>43276</v>
      </c>
      <c r="J175" s="54">
        <v>174097</v>
      </c>
      <c r="K175" s="1">
        <v>0.21</v>
      </c>
      <c r="L175" t="s">
        <v>19</v>
      </c>
      <c r="M175" t="s">
        <v>39</v>
      </c>
      <c r="N175" s="6" t="s">
        <v>21</v>
      </c>
      <c r="O175" s="54">
        <f>TBL_Employees3[[#This Row],[Annual Salary]]+TBL_Employees3[[#This Row],[Bonus %]]*TBL_Employees3[[#This Row],[Annual Salary]]</f>
        <v>210657.37</v>
      </c>
      <c r="P175" t="str">
        <f>IF(AND(TBL_Employees3[[#This Row],[Department]]="IT",TBL_Employees3[[#This Row],[Gender]]="Female"),"Yes","No")</f>
        <v>No</v>
      </c>
      <c r="Q175" t="str">
        <f>IF(AND(TBL_Employees3[[#This Row],[Gender]]="Female",TBL_Employees3[[#This Row],[Ethnicity]]="Black"), "Female_Black", "Others")</f>
        <v>Others</v>
      </c>
    </row>
    <row r="176" spans="1:17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6">
        <v>39021</v>
      </c>
      <c r="J176" s="54">
        <v>120128</v>
      </c>
      <c r="K176" s="1">
        <v>0.1</v>
      </c>
      <c r="L176" t="s">
        <v>19</v>
      </c>
      <c r="M176" t="s">
        <v>25</v>
      </c>
      <c r="N176" s="6" t="s">
        <v>21</v>
      </c>
      <c r="O176" s="54">
        <f>TBL_Employees3[[#This Row],[Annual Salary]]+TBL_Employees3[[#This Row],[Bonus %]]*TBL_Employees3[[#This Row],[Annual Salary]]</f>
        <v>132140.79999999999</v>
      </c>
      <c r="P176" t="str">
        <f>IF(AND(TBL_Employees3[[#This Row],[Department]]="IT",TBL_Employees3[[#This Row],[Gender]]="Female"),"Yes","No")</f>
        <v>No</v>
      </c>
      <c r="Q176" t="str">
        <f>IF(AND(TBL_Employees3[[#This Row],[Gender]]="Female",TBL_Employees3[[#This Row],[Ethnicity]]="Black"), "Female_Black", "Others")</f>
        <v>Others</v>
      </c>
    </row>
    <row r="177" spans="1:17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6">
        <v>39197</v>
      </c>
      <c r="J177" s="54">
        <v>129708</v>
      </c>
      <c r="K177" s="1">
        <v>0.05</v>
      </c>
      <c r="L177" t="s">
        <v>19</v>
      </c>
      <c r="M177" t="s">
        <v>45</v>
      </c>
      <c r="N177" s="6" t="s">
        <v>21</v>
      </c>
      <c r="O177" s="54">
        <f>TBL_Employees3[[#This Row],[Annual Salary]]+TBL_Employees3[[#This Row],[Bonus %]]*TBL_Employees3[[#This Row],[Annual Salary]]</f>
        <v>136193.4</v>
      </c>
      <c r="P177" t="str">
        <f>IF(AND(TBL_Employees3[[#This Row],[Department]]="IT",TBL_Employees3[[#This Row],[Gender]]="Female"),"Yes","No")</f>
        <v>No</v>
      </c>
      <c r="Q177" t="str">
        <f>IF(AND(TBL_Employees3[[#This Row],[Gender]]="Female",TBL_Employees3[[#This Row],[Ethnicity]]="Black"), "Female_Black", "Others")</f>
        <v>Others</v>
      </c>
    </row>
    <row r="178" spans="1:17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6">
        <v>34595</v>
      </c>
      <c r="J178" s="54">
        <v>102270</v>
      </c>
      <c r="K178" s="1">
        <v>0.1</v>
      </c>
      <c r="L178" t="s">
        <v>19</v>
      </c>
      <c r="M178" t="s">
        <v>20</v>
      </c>
      <c r="N178" s="6" t="s">
        <v>21</v>
      </c>
      <c r="O178" s="54">
        <f>TBL_Employees3[[#This Row],[Annual Salary]]+TBL_Employees3[[#This Row],[Bonus %]]*TBL_Employees3[[#This Row],[Annual Salary]]</f>
        <v>112497</v>
      </c>
      <c r="P178" t="str">
        <f>IF(AND(TBL_Employees3[[#This Row],[Department]]="IT",TBL_Employees3[[#This Row],[Gender]]="Female"),"Yes","No")</f>
        <v>No</v>
      </c>
      <c r="Q178" t="str">
        <f>IF(AND(TBL_Employees3[[#This Row],[Gender]]="Female",TBL_Employees3[[#This Row],[Ethnicity]]="Black"), "Female_Black", "Others")</f>
        <v>Others</v>
      </c>
    </row>
    <row r="179" spans="1:17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6">
        <v>38564</v>
      </c>
      <c r="J179" s="54">
        <v>249686</v>
      </c>
      <c r="K179" s="1">
        <v>0.31</v>
      </c>
      <c r="L179" t="s">
        <v>33</v>
      </c>
      <c r="M179" t="s">
        <v>80</v>
      </c>
      <c r="N179" s="6" t="s">
        <v>21</v>
      </c>
      <c r="O179" s="54">
        <f>TBL_Employees3[[#This Row],[Annual Salary]]+TBL_Employees3[[#This Row],[Bonus %]]*TBL_Employees3[[#This Row],[Annual Salary]]</f>
        <v>327088.66000000003</v>
      </c>
      <c r="P179" t="str">
        <f>IF(AND(TBL_Employees3[[#This Row],[Department]]="IT",TBL_Employees3[[#This Row],[Gender]]="Female"),"Yes","No")</f>
        <v>No</v>
      </c>
      <c r="Q179" t="str">
        <f>IF(AND(TBL_Employees3[[#This Row],[Gender]]="Female",TBL_Employees3[[#This Row],[Ethnicity]]="Black"), "Female_Black", "Others")</f>
        <v>Others</v>
      </c>
    </row>
    <row r="180" spans="1:17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6">
        <v>37343</v>
      </c>
      <c r="J180" s="54">
        <v>50475</v>
      </c>
      <c r="K180" s="1">
        <v>0</v>
      </c>
      <c r="L180" t="s">
        <v>19</v>
      </c>
      <c r="M180" t="s">
        <v>29</v>
      </c>
      <c r="N180" s="6" t="s">
        <v>21</v>
      </c>
      <c r="O180" s="54">
        <f>TBL_Employees3[[#This Row],[Annual Salary]]+TBL_Employees3[[#This Row],[Bonus %]]*TBL_Employees3[[#This Row],[Annual Salary]]</f>
        <v>50475</v>
      </c>
      <c r="P180" t="str">
        <f>IF(AND(TBL_Employees3[[#This Row],[Department]]="IT",TBL_Employees3[[#This Row],[Gender]]="Female"),"Yes","No")</f>
        <v>No</v>
      </c>
      <c r="Q180" t="str">
        <f>IF(AND(TBL_Employees3[[#This Row],[Gender]]="Female",TBL_Employees3[[#This Row],[Ethnicity]]="Black"), "Female_Black", "Others")</f>
        <v>Others</v>
      </c>
    </row>
    <row r="181" spans="1:17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6">
        <v>44014</v>
      </c>
      <c r="J181" s="54">
        <v>100099</v>
      </c>
      <c r="K181" s="1">
        <v>0.08</v>
      </c>
      <c r="L181" t="s">
        <v>19</v>
      </c>
      <c r="M181" t="s">
        <v>45</v>
      </c>
      <c r="N181" s="6" t="s">
        <v>21</v>
      </c>
      <c r="O181" s="54">
        <f>TBL_Employees3[[#This Row],[Annual Salary]]+TBL_Employees3[[#This Row],[Bonus %]]*TBL_Employees3[[#This Row],[Annual Salary]]</f>
        <v>108106.92</v>
      </c>
      <c r="P181" t="str">
        <f>IF(AND(TBL_Employees3[[#This Row],[Department]]="IT",TBL_Employees3[[#This Row],[Gender]]="Female"),"Yes","No")</f>
        <v>No</v>
      </c>
      <c r="Q181" t="str">
        <f>IF(AND(TBL_Employees3[[#This Row],[Gender]]="Female",TBL_Employees3[[#This Row],[Ethnicity]]="Black"), "Female_Black", "Others")</f>
        <v>Others</v>
      </c>
    </row>
    <row r="182" spans="1:17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6">
        <v>42731</v>
      </c>
      <c r="J182" s="54">
        <v>41673</v>
      </c>
      <c r="K182" s="1">
        <v>0</v>
      </c>
      <c r="L182" t="s">
        <v>19</v>
      </c>
      <c r="M182" t="s">
        <v>45</v>
      </c>
      <c r="N182" s="6" t="s">
        <v>21</v>
      </c>
      <c r="O182" s="54">
        <f>TBL_Employees3[[#This Row],[Annual Salary]]+TBL_Employees3[[#This Row],[Bonus %]]*TBL_Employees3[[#This Row],[Annual Salary]]</f>
        <v>41673</v>
      </c>
      <c r="P182" t="str">
        <f>IF(AND(TBL_Employees3[[#This Row],[Department]]="IT",TBL_Employees3[[#This Row],[Gender]]="Female"),"Yes","No")</f>
        <v>Yes</v>
      </c>
      <c r="Q182" t="str">
        <f>IF(AND(TBL_Employees3[[#This Row],[Gender]]="Female",TBL_Employees3[[#This Row],[Ethnicity]]="Black"), "Female_Black", "Others")</f>
        <v>Others</v>
      </c>
    </row>
    <row r="183" spans="1:17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6">
        <v>42928</v>
      </c>
      <c r="J183" s="54">
        <v>70996</v>
      </c>
      <c r="K183" s="1">
        <v>0</v>
      </c>
      <c r="L183" t="s">
        <v>33</v>
      </c>
      <c r="M183" t="s">
        <v>34</v>
      </c>
      <c r="N183" s="6" t="s">
        <v>21</v>
      </c>
      <c r="O183" s="54">
        <f>TBL_Employees3[[#This Row],[Annual Salary]]+TBL_Employees3[[#This Row],[Bonus %]]*TBL_Employees3[[#This Row],[Annual Salary]]</f>
        <v>70996</v>
      </c>
      <c r="P183" t="str">
        <f>IF(AND(TBL_Employees3[[#This Row],[Department]]="IT",TBL_Employees3[[#This Row],[Gender]]="Female"),"Yes","No")</f>
        <v>No</v>
      </c>
      <c r="Q183" t="str">
        <f>IF(AND(TBL_Employees3[[#This Row],[Gender]]="Female",TBL_Employees3[[#This Row],[Ethnicity]]="Black"), "Female_Black", "Others")</f>
        <v>Others</v>
      </c>
    </row>
    <row r="184" spans="1:17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6">
        <v>38328</v>
      </c>
      <c r="J184" s="54">
        <v>40752</v>
      </c>
      <c r="K184" s="1">
        <v>0</v>
      </c>
      <c r="L184" t="s">
        <v>19</v>
      </c>
      <c r="M184" t="s">
        <v>39</v>
      </c>
      <c r="N184" s="6" t="s">
        <v>21</v>
      </c>
      <c r="O184" s="54">
        <f>TBL_Employees3[[#This Row],[Annual Salary]]+TBL_Employees3[[#This Row],[Bonus %]]*TBL_Employees3[[#This Row],[Annual Salary]]</f>
        <v>40752</v>
      </c>
      <c r="P184" t="str">
        <f>IF(AND(TBL_Employees3[[#This Row],[Department]]="IT",TBL_Employees3[[#This Row],[Gender]]="Female"),"Yes","No")</f>
        <v>No</v>
      </c>
      <c r="Q184" t="str">
        <f>IF(AND(TBL_Employees3[[#This Row],[Gender]]="Female",TBL_Employees3[[#This Row],[Ethnicity]]="Black"), "Female_Black", "Others")</f>
        <v>Others</v>
      </c>
    </row>
    <row r="185" spans="1:17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6">
        <v>36914</v>
      </c>
      <c r="J185" s="54">
        <v>97537</v>
      </c>
      <c r="K185" s="1">
        <v>0</v>
      </c>
      <c r="L185" t="s">
        <v>33</v>
      </c>
      <c r="M185" t="s">
        <v>34</v>
      </c>
      <c r="N185" s="6" t="s">
        <v>21</v>
      </c>
      <c r="O185" s="54">
        <f>TBL_Employees3[[#This Row],[Annual Salary]]+TBL_Employees3[[#This Row],[Bonus %]]*TBL_Employees3[[#This Row],[Annual Salary]]</f>
        <v>97537</v>
      </c>
      <c r="P185" t="str">
        <f>IF(AND(TBL_Employees3[[#This Row],[Department]]="IT",TBL_Employees3[[#This Row],[Gender]]="Female"),"Yes","No")</f>
        <v>Yes</v>
      </c>
      <c r="Q185" t="str">
        <f>IF(AND(TBL_Employees3[[#This Row],[Gender]]="Female",TBL_Employees3[[#This Row],[Ethnicity]]="Black"), "Female_Black", "Others")</f>
        <v>Others</v>
      </c>
    </row>
    <row r="186" spans="1:17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6">
        <v>44086</v>
      </c>
      <c r="J186" s="54">
        <v>96567</v>
      </c>
      <c r="K186" s="1">
        <v>0</v>
      </c>
      <c r="L186" t="s">
        <v>33</v>
      </c>
      <c r="M186" t="s">
        <v>74</v>
      </c>
      <c r="N186" s="6" t="s">
        <v>21</v>
      </c>
      <c r="O186" s="54">
        <f>TBL_Employees3[[#This Row],[Annual Salary]]+TBL_Employees3[[#This Row],[Bonus %]]*TBL_Employees3[[#This Row],[Annual Salary]]</f>
        <v>96567</v>
      </c>
      <c r="P186" t="str">
        <f>IF(AND(TBL_Employees3[[#This Row],[Department]]="IT",TBL_Employees3[[#This Row],[Gender]]="Female"),"Yes","No")</f>
        <v>No</v>
      </c>
      <c r="Q186" t="str">
        <f>IF(AND(TBL_Employees3[[#This Row],[Gender]]="Female",TBL_Employees3[[#This Row],[Ethnicity]]="Black"), "Female_Black", "Others")</f>
        <v>Others</v>
      </c>
    </row>
    <row r="187" spans="1:17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6">
        <v>36229</v>
      </c>
      <c r="J187" s="54">
        <v>49404</v>
      </c>
      <c r="K187" s="1">
        <v>0</v>
      </c>
      <c r="L187" t="s">
        <v>33</v>
      </c>
      <c r="M187" t="s">
        <v>60</v>
      </c>
      <c r="N187" s="6" t="s">
        <v>21</v>
      </c>
      <c r="O187" s="54">
        <f>TBL_Employees3[[#This Row],[Annual Salary]]+TBL_Employees3[[#This Row],[Bonus %]]*TBL_Employees3[[#This Row],[Annual Salary]]</f>
        <v>49404</v>
      </c>
      <c r="P187" t="str">
        <f>IF(AND(TBL_Employees3[[#This Row],[Department]]="IT",TBL_Employees3[[#This Row],[Gender]]="Female"),"Yes","No")</f>
        <v>No</v>
      </c>
      <c r="Q187" t="str">
        <f>IF(AND(TBL_Employees3[[#This Row],[Gender]]="Female",TBL_Employees3[[#This Row],[Ethnicity]]="Black"), "Female_Black", "Others")</f>
        <v>Others</v>
      </c>
    </row>
    <row r="188" spans="1:17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6">
        <v>43753</v>
      </c>
      <c r="J188" s="54">
        <v>66819</v>
      </c>
      <c r="K188" s="1">
        <v>0</v>
      </c>
      <c r="L188" t="s">
        <v>52</v>
      </c>
      <c r="M188" t="s">
        <v>66</v>
      </c>
      <c r="N188" s="6" t="s">
        <v>21</v>
      </c>
      <c r="O188" s="54">
        <f>TBL_Employees3[[#This Row],[Annual Salary]]+TBL_Employees3[[#This Row],[Bonus %]]*TBL_Employees3[[#This Row],[Annual Salary]]</f>
        <v>66819</v>
      </c>
      <c r="P188" t="str">
        <f>IF(AND(TBL_Employees3[[#This Row],[Department]]="IT",TBL_Employees3[[#This Row],[Gender]]="Female"),"Yes","No")</f>
        <v>No</v>
      </c>
      <c r="Q188" t="str">
        <f>IF(AND(TBL_Employees3[[#This Row],[Gender]]="Female",TBL_Employees3[[#This Row],[Ethnicity]]="Black"), "Female_Black", "Others")</f>
        <v>Others</v>
      </c>
    </row>
    <row r="189" spans="1:17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6">
        <v>42492</v>
      </c>
      <c r="J189" s="54">
        <v>50784</v>
      </c>
      <c r="K189" s="1">
        <v>0</v>
      </c>
      <c r="L189" t="s">
        <v>52</v>
      </c>
      <c r="M189" t="s">
        <v>66</v>
      </c>
      <c r="N189" s="6" t="s">
        <v>21</v>
      </c>
      <c r="O189" s="54">
        <f>TBL_Employees3[[#This Row],[Annual Salary]]+TBL_Employees3[[#This Row],[Bonus %]]*TBL_Employees3[[#This Row],[Annual Salary]]</f>
        <v>50784</v>
      </c>
      <c r="P189" t="str">
        <f>IF(AND(TBL_Employees3[[#This Row],[Department]]="IT",TBL_Employees3[[#This Row],[Gender]]="Female"),"Yes","No")</f>
        <v>No</v>
      </c>
      <c r="Q189" t="str">
        <f>IF(AND(TBL_Employees3[[#This Row],[Gender]]="Female",TBL_Employees3[[#This Row],[Ethnicity]]="Black"), "Female_Black", "Others")</f>
        <v>Others</v>
      </c>
    </row>
    <row r="190" spans="1:17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6">
        <v>43594</v>
      </c>
      <c r="J190" s="54">
        <v>125828</v>
      </c>
      <c r="K190" s="1">
        <v>0.15</v>
      </c>
      <c r="L190" t="s">
        <v>52</v>
      </c>
      <c r="M190" t="s">
        <v>53</v>
      </c>
      <c r="N190" s="6" t="s">
        <v>21</v>
      </c>
      <c r="O190" s="54">
        <f>TBL_Employees3[[#This Row],[Annual Salary]]+TBL_Employees3[[#This Row],[Bonus %]]*TBL_Employees3[[#This Row],[Annual Salary]]</f>
        <v>144702.20000000001</v>
      </c>
      <c r="P190" t="str">
        <f>IF(AND(TBL_Employees3[[#This Row],[Department]]="IT",TBL_Employees3[[#This Row],[Gender]]="Female"),"Yes","No")</f>
        <v>No</v>
      </c>
      <c r="Q190" t="str">
        <f>IF(AND(TBL_Employees3[[#This Row],[Gender]]="Female",TBL_Employees3[[#This Row],[Ethnicity]]="Black"), "Female_Black", "Others")</f>
        <v>Others</v>
      </c>
    </row>
    <row r="191" spans="1:17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6">
        <v>42951</v>
      </c>
      <c r="J191" s="54">
        <v>92610</v>
      </c>
      <c r="K191" s="1">
        <v>0</v>
      </c>
      <c r="L191" t="s">
        <v>19</v>
      </c>
      <c r="M191" t="s">
        <v>29</v>
      </c>
      <c r="N191" s="6" t="s">
        <v>21</v>
      </c>
      <c r="O191" s="54">
        <f>TBL_Employees3[[#This Row],[Annual Salary]]+TBL_Employees3[[#This Row],[Bonus %]]*TBL_Employees3[[#This Row],[Annual Salary]]</f>
        <v>92610</v>
      </c>
      <c r="P191" t="str">
        <f>IF(AND(TBL_Employees3[[#This Row],[Department]]="IT",TBL_Employees3[[#This Row],[Gender]]="Female"),"Yes","No")</f>
        <v>No</v>
      </c>
      <c r="Q191" t="str">
        <f>IF(AND(TBL_Employees3[[#This Row],[Gender]]="Female",TBL_Employees3[[#This Row],[Ethnicity]]="Black"), "Female_Black", "Others")</f>
        <v>Others</v>
      </c>
    </row>
    <row r="192" spans="1:17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6">
        <v>37705</v>
      </c>
      <c r="J192" s="54">
        <v>123405</v>
      </c>
      <c r="K192" s="1">
        <v>0.13</v>
      </c>
      <c r="L192" t="s">
        <v>19</v>
      </c>
      <c r="M192" t="s">
        <v>29</v>
      </c>
      <c r="N192" s="6" t="s">
        <v>21</v>
      </c>
      <c r="O192" s="54">
        <f>TBL_Employees3[[#This Row],[Annual Salary]]+TBL_Employees3[[#This Row],[Bonus %]]*TBL_Employees3[[#This Row],[Annual Salary]]</f>
        <v>139447.65</v>
      </c>
      <c r="P192" t="str">
        <f>IF(AND(TBL_Employees3[[#This Row],[Department]]="IT",TBL_Employees3[[#This Row],[Gender]]="Female"),"Yes","No")</f>
        <v>No</v>
      </c>
      <c r="Q192" t="str">
        <f>IF(AND(TBL_Employees3[[#This Row],[Gender]]="Female",TBL_Employees3[[#This Row],[Ethnicity]]="Black"), "Female_Black", "Others")</f>
        <v>Others</v>
      </c>
    </row>
    <row r="193" spans="1:17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6">
        <v>38066</v>
      </c>
      <c r="J193" s="54">
        <v>73004</v>
      </c>
      <c r="K193" s="1">
        <v>0</v>
      </c>
      <c r="L193" t="s">
        <v>33</v>
      </c>
      <c r="M193" t="s">
        <v>60</v>
      </c>
      <c r="N193" s="6" t="s">
        <v>21</v>
      </c>
      <c r="O193" s="54">
        <f>TBL_Employees3[[#This Row],[Annual Salary]]+TBL_Employees3[[#This Row],[Bonus %]]*TBL_Employees3[[#This Row],[Annual Salary]]</f>
        <v>73004</v>
      </c>
      <c r="P193" t="str">
        <f>IF(AND(TBL_Employees3[[#This Row],[Department]]="IT",TBL_Employees3[[#This Row],[Gender]]="Female"),"Yes","No")</f>
        <v>No</v>
      </c>
      <c r="Q193" t="str">
        <f>IF(AND(TBL_Employees3[[#This Row],[Gender]]="Female",TBL_Employees3[[#This Row],[Ethnicity]]="Black"), "Female_Black", "Others")</f>
        <v>Others</v>
      </c>
    </row>
    <row r="194" spans="1:17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6">
        <v>36275</v>
      </c>
      <c r="J194" s="54">
        <v>95061</v>
      </c>
      <c r="K194" s="1">
        <v>0.1</v>
      </c>
      <c r="L194" t="s">
        <v>33</v>
      </c>
      <c r="M194" t="s">
        <v>74</v>
      </c>
      <c r="N194" s="6" t="s">
        <v>21</v>
      </c>
      <c r="O194" s="54">
        <f>TBL_Employees3[[#This Row],[Annual Salary]]+TBL_Employees3[[#This Row],[Bonus %]]*TBL_Employees3[[#This Row],[Annual Salary]]</f>
        <v>104567.1</v>
      </c>
      <c r="P194" t="str">
        <f>IF(AND(TBL_Employees3[[#This Row],[Department]]="IT",TBL_Employees3[[#This Row],[Gender]]="Female"),"Yes","No")</f>
        <v>No</v>
      </c>
      <c r="Q194" t="str">
        <f>IF(AND(TBL_Employees3[[#This Row],[Gender]]="Female",TBL_Employees3[[#This Row],[Ethnicity]]="Black"), "Female_Black", "Others")</f>
        <v>Others</v>
      </c>
    </row>
    <row r="195" spans="1:17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6">
        <v>35887</v>
      </c>
      <c r="J195" s="54">
        <v>160832</v>
      </c>
      <c r="K195" s="1">
        <v>0.3</v>
      </c>
      <c r="L195" t="s">
        <v>19</v>
      </c>
      <c r="M195" t="s">
        <v>39</v>
      </c>
      <c r="N195" s="6" t="s">
        <v>21</v>
      </c>
      <c r="O195" s="54">
        <f>TBL_Employees3[[#This Row],[Annual Salary]]+TBL_Employees3[[#This Row],[Bonus %]]*TBL_Employees3[[#This Row],[Annual Salary]]</f>
        <v>209081.60000000001</v>
      </c>
      <c r="P195" t="str">
        <f>IF(AND(TBL_Employees3[[#This Row],[Department]]="IT",TBL_Employees3[[#This Row],[Gender]]="Female"),"Yes","No")</f>
        <v>No</v>
      </c>
      <c r="Q195" t="str">
        <f>IF(AND(TBL_Employees3[[#This Row],[Gender]]="Female",TBL_Employees3[[#This Row],[Ethnicity]]="Black"), "Female_Black", "Others")</f>
        <v>Others</v>
      </c>
    </row>
    <row r="196" spans="1:17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6">
        <v>40540</v>
      </c>
      <c r="J196" s="54">
        <v>64417</v>
      </c>
      <c r="K196" s="1">
        <v>0</v>
      </c>
      <c r="L196" t="s">
        <v>19</v>
      </c>
      <c r="M196" t="s">
        <v>29</v>
      </c>
      <c r="N196" s="6" t="s">
        <v>21</v>
      </c>
      <c r="O196" s="54">
        <f>TBL_Employees3[[#This Row],[Annual Salary]]+TBL_Employees3[[#This Row],[Bonus %]]*TBL_Employees3[[#This Row],[Annual Salary]]</f>
        <v>64417</v>
      </c>
      <c r="P196" t="str">
        <f>IF(AND(TBL_Employees3[[#This Row],[Department]]="IT",TBL_Employees3[[#This Row],[Gender]]="Female"),"Yes","No")</f>
        <v>No</v>
      </c>
      <c r="Q196" t="str">
        <f>IF(AND(TBL_Employees3[[#This Row],[Gender]]="Female",TBL_Employees3[[#This Row],[Ethnicity]]="Black"), "Female_Black", "Others")</f>
        <v>Others</v>
      </c>
    </row>
    <row r="197" spans="1:17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6">
        <v>44274</v>
      </c>
      <c r="J197" s="54">
        <v>127543</v>
      </c>
      <c r="K197" s="1">
        <v>0.06</v>
      </c>
      <c r="L197" t="s">
        <v>33</v>
      </c>
      <c r="M197" t="s">
        <v>74</v>
      </c>
      <c r="N197" s="6" t="s">
        <v>21</v>
      </c>
      <c r="O197" s="54">
        <f>TBL_Employees3[[#This Row],[Annual Salary]]+TBL_Employees3[[#This Row],[Bonus %]]*TBL_Employees3[[#This Row],[Annual Salary]]</f>
        <v>135195.57999999999</v>
      </c>
      <c r="P197" t="str">
        <f>IF(AND(TBL_Employees3[[#This Row],[Department]]="IT",TBL_Employees3[[#This Row],[Gender]]="Female"),"Yes","No")</f>
        <v>No</v>
      </c>
      <c r="Q197" t="str">
        <f>IF(AND(TBL_Employees3[[#This Row],[Gender]]="Female",TBL_Employees3[[#This Row],[Ethnicity]]="Black"), "Female_Black", "Others")</f>
        <v>Others</v>
      </c>
    </row>
    <row r="198" spans="1:17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6">
        <v>43272</v>
      </c>
      <c r="J198" s="54">
        <v>56154</v>
      </c>
      <c r="K198" s="1">
        <v>0</v>
      </c>
      <c r="L198" t="s">
        <v>52</v>
      </c>
      <c r="M198" t="s">
        <v>53</v>
      </c>
      <c r="N198" s="6" t="s">
        <v>21</v>
      </c>
      <c r="O198" s="54">
        <f>TBL_Employees3[[#This Row],[Annual Salary]]+TBL_Employees3[[#This Row],[Bonus %]]*TBL_Employees3[[#This Row],[Annual Salary]]</f>
        <v>56154</v>
      </c>
      <c r="P198" t="str">
        <f>IF(AND(TBL_Employees3[[#This Row],[Department]]="IT",TBL_Employees3[[#This Row],[Gender]]="Female"),"Yes","No")</f>
        <v>No</v>
      </c>
      <c r="Q198" t="str">
        <f>IF(AND(TBL_Employees3[[#This Row],[Gender]]="Female",TBL_Employees3[[#This Row],[Ethnicity]]="Black"), "Female_Black", "Others")</f>
        <v>Others</v>
      </c>
    </row>
    <row r="199" spans="1:17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6">
        <v>41692</v>
      </c>
      <c r="J199" s="54">
        <v>218530</v>
      </c>
      <c r="K199" s="1">
        <v>0.3</v>
      </c>
      <c r="L199" t="s">
        <v>33</v>
      </c>
      <c r="M199" t="s">
        <v>74</v>
      </c>
      <c r="N199" s="6" t="s">
        <v>21</v>
      </c>
      <c r="O199" s="54">
        <f>TBL_Employees3[[#This Row],[Annual Salary]]+TBL_Employees3[[#This Row],[Bonus %]]*TBL_Employees3[[#This Row],[Annual Salary]]</f>
        <v>284089</v>
      </c>
      <c r="P199" t="str">
        <f>IF(AND(TBL_Employees3[[#This Row],[Department]]="IT",TBL_Employees3[[#This Row],[Gender]]="Female"),"Yes","No")</f>
        <v>No</v>
      </c>
      <c r="Q199" t="str">
        <f>IF(AND(TBL_Employees3[[#This Row],[Gender]]="Female",TBL_Employees3[[#This Row],[Ethnicity]]="Black"), "Female_Black", "Others")</f>
        <v>Others</v>
      </c>
    </row>
    <row r="200" spans="1:17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6">
        <v>43818</v>
      </c>
      <c r="J200" s="54">
        <v>91954</v>
      </c>
      <c r="K200" s="1">
        <v>0</v>
      </c>
      <c r="L200" t="s">
        <v>19</v>
      </c>
      <c r="M200" t="s">
        <v>29</v>
      </c>
      <c r="N200" s="6" t="s">
        <v>21</v>
      </c>
      <c r="O200" s="54">
        <f>TBL_Employees3[[#This Row],[Annual Salary]]+TBL_Employees3[[#This Row],[Bonus %]]*TBL_Employees3[[#This Row],[Annual Salary]]</f>
        <v>91954</v>
      </c>
      <c r="P200" t="str">
        <f>IF(AND(TBL_Employees3[[#This Row],[Department]]="IT",TBL_Employees3[[#This Row],[Gender]]="Female"),"Yes","No")</f>
        <v>Yes</v>
      </c>
      <c r="Q200" t="str">
        <f>IF(AND(TBL_Employees3[[#This Row],[Gender]]="Female",TBL_Employees3[[#This Row],[Ethnicity]]="Black"), "Female_Black", "Others")</f>
        <v>Others</v>
      </c>
    </row>
    <row r="201" spans="1:17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6">
        <v>42634</v>
      </c>
      <c r="J201" s="54">
        <v>221217</v>
      </c>
      <c r="K201" s="1">
        <v>0.32</v>
      </c>
      <c r="L201" t="s">
        <v>19</v>
      </c>
      <c r="M201" t="s">
        <v>29</v>
      </c>
      <c r="N201" s="6">
        <v>43003</v>
      </c>
      <c r="O201" s="54">
        <f>TBL_Employees3[[#This Row],[Annual Salary]]+TBL_Employees3[[#This Row],[Bonus %]]*TBL_Employees3[[#This Row],[Annual Salary]]</f>
        <v>292006.44</v>
      </c>
      <c r="P201" t="str">
        <f>IF(AND(TBL_Employees3[[#This Row],[Department]]="IT",TBL_Employees3[[#This Row],[Gender]]="Female"),"Yes","No")</f>
        <v>No</v>
      </c>
      <c r="Q201" t="str">
        <f>IF(AND(TBL_Employees3[[#This Row],[Gender]]="Female",TBL_Employees3[[#This Row],[Ethnicity]]="Black"), "Female_Black", "Others")</f>
        <v>Female_Black</v>
      </c>
    </row>
    <row r="202" spans="1:17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6">
        <v>42866</v>
      </c>
      <c r="J202" s="54">
        <v>87536</v>
      </c>
      <c r="K202" s="1">
        <v>0</v>
      </c>
      <c r="L202" t="s">
        <v>19</v>
      </c>
      <c r="M202" t="s">
        <v>63</v>
      </c>
      <c r="N202" s="6" t="s">
        <v>21</v>
      </c>
      <c r="O202" s="54">
        <f>TBL_Employees3[[#This Row],[Annual Salary]]+TBL_Employees3[[#This Row],[Bonus %]]*TBL_Employees3[[#This Row],[Annual Salary]]</f>
        <v>87536</v>
      </c>
      <c r="P202" t="str">
        <f>IF(AND(TBL_Employees3[[#This Row],[Department]]="IT",TBL_Employees3[[#This Row],[Gender]]="Female"),"Yes","No")</f>
        <v>No</v>
      </c>
      <c r="Q202" t="str">
        <f>IF(AND(TBL_Employees3[[#This Row],[Gender]]="Female",TBL_Employees3[[#This Row],[Ethnicity]]="Black"), "Female_Black", "Others")</f>
        <v>Others</v>
      </c>
    </row>
    <row r="203" spans="1:17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6">
        <v>42164</v>
      </c>
      <c r="J203" s="54">
        <v>41429</v>
      </c>
      <c r="K203" s="1">
        <v>0</v>
      </c>
      <c r="L203" t="s">
        <v>19</v>
      </c>
      <c r="M203" t="s">
        <v>63</v>
      </c>
      <c r="N203" s="6" t="s">
        <v>21</v>
      </c>
      <c r="O203" s="54">
        <f>TBL_Employees3[[#This Row],[Annual Salary]]+TBL_Employees3[[#This Row],[Bonus %]]*TBL_Employees3[[#This Row],[Annual Salary]]</f>
        <v>41429</v>
      </c>
      <c r="P203" t="str">
        <f>IF(AND(TBL_Employees3[[#This Row],[Department]]="IT",TBL_Employees3[[#This Row],[Gender]]="Female"),"Yes","No")</f>
        <v>No</v>
      </c>
      <c r="Q203" t="str">
        <f>IF(AND(TBL_Employees3[[#This Row],[Gender]]="Female",TBL_Employees3[[#This Row],[Ethnicity]]="Black"), "Female_Black", "Others")</f>
        <v>Others</v>
      </c>
    </row>
    <row r="204" spans="1:17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6">
        <v>40826</v>
      </c>
      <c r="J204" s="54">
        <v>245482</v>
      </c>
      <c r="K204" s="1">
        <v>0.39</v>
      </c>
      <c r="L204" t="s">
        <v>19</v>
      </c>
      <c r="M204" t="s">
        <v>63</v>
      </c>
      <c r="N204" s="6" t="s">
        <v>21</v>
      </c>
      <c r="O204" s="54">
        <f>TBL_Employees3[[#This Row],[Annual Salary]]+TBL_Employees3[[#This Row],[Bonus %]]*TBL_Employees3[[#This Row],[Annual Salary]]</f>
        <v>341219.98</v>
      </c>
      <c r="P204" t="str">
        <f>IF(AND(TBL_Employees3[[#This Row],[Department]]="IT",TBL_Employees3[[#This Row],[Gender]]="Female"),"Yes","No")</f>
        <v>No</v>
      </c>
      <c r="Q204" t="str">
        <f>IF(AND(TBL_Employees3[[#This Row],[Gender]]="Female",TBL_Employees3[[#This Row],[Ethnicity]]="Black"), "Female_Black", "Others")</f>
        <v>Others</v>
      </c>
    </row>
    <row r="205" spans="1:17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6">
        <v>43850</v>
      </c>
      <c r="J205" s="54">
        <v>71359</v>
      </c>
      <c r="K205" s="1">
        <v>0</v>
      </c>
      <c r="L205" t="s">
        <v>19</v>
      </c>
      <c r="M205" t="s">
        <v>39</v>
      </c>
      <c r="N205" s="6" t="s">
        <v>21</v>
      </c>
      <c r="O205" s="54">
        <f>TBL_Employees3[[#This Row],[Annual Salary]]+TBL_Employees3[[#This Row],[Bonus %]]*TBL_Employees3[[#This Row],[Annual Salary]]</f>
        <v>71359</v>
      </c>
      <c r="P205" t="str">
        <f>IF(AND(TBL_Employees3[[#This Row],[Department]]="IT",TBL_Employees3[[#This Row],[Gender]]="Female"),"Yes","No")</f>
        <v>No</v>
      </c>
      <c r="Q205" t="str">
        <f>IF(AND(TBL_Employees3[[#This Row],[Gender]]="Female",TBL_Employees3[[#This Row],[Ethnicity]]="Black"), "Female_Black", "Others")</f>
        <v>Others</v>
      </c>
    </row>
    <row r="206" spans="1:17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6">
        <v>41879</v>
      </c>
      <c r="J206" s="54">
        <v>183161</v>
      </c>
      <c r="K206" s="1">
        <v>0.22</v>
      </c>
      <c r="L206" t="s">
        <v>19</v>
      </c>
      <c r="M206" t="s">
        <v>45</v>
      </c>
      <c r="N206" s="6" t="s">
        <v>21</v>
      </c>
      <c r="O206" s="54">
        <f>TBL_Employees3[[#This Row],[Annual Salary]]+TBL_Employees3[[#This Row],[Bonus %]]*TBL_Employees3[[#This Row],[Annual Salary]]</f>
        <v>223456.41999999998</v>
      </c>
      <c r="P206" t="str">
        <f>IF(AND(TBL_Employees3[[#This Row],[Department]]="IT",TBL_Employees3[[#This Row],[Gender]]="Female"),"Yes","No")</f>
        <v>No</v>
      </c>
      <c r="Q206" t="str">
        <f>IF(AND(TBL_Employees3[[#This Row],[Gender]]="Female",TBL_Employees3[[#This Row],[Ethnicity]]="Black"), "Female_Black", "Others")</f>
        <v>Others</v>
      </c>
    </row>
    <row r="207" spans="1:17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6">
        <v>34176</v>
      </c>
      <c r="J207" s="54">
        <v>69260</v>
      </c>
      <c r="K207" s="1">
        <v>0</v>
      </c>
      <c r="L207" t="s">
        <v>19</v>
      </c>
      <c r="M207" t="s">
        <v>39</v>
      </c>
      <c r="N207" s="6" t="s">
        <v>21</v>
      </c>
      <c r="O207" s="54">
        <f>TBL_Employees3[[#This Row],[Annual Salary]]+TBL_Employees3[[#This Row],[Bonus %]]*TBL_Employees3[[#This Row],[Annual Salary]]</f>
        <v>69260</v>
      </c>
      <c r="P207" t="str">
        <f>IF(AND(TBL_Employees3[[#This Row],[Department]]="IT",TBL_Employees3[[#This Row],[Gender]]="Female"),"Yes","No")</f>
        <v>No</v>
      </c>
      <c r="Q207" t="str">
        <f>IF(AND(TBL_Employees3[[#This Row],[Gender]]="Female",TBL_Employees3[[#This Row],[Ethnicity]]="Black"), "Female_Black", "Others")</f>
        <v>Others</v>
      </c>
    </row>
    <row r="208" spans="1:17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6">
        <v>36442</v>
      </c>
      <c r="J208" s="54">
        <v>95639</v>
      </c>
      <c r="K208" s="1">
        <v>0</v>
      </c>
      <c r="L208" t="s">
        <v>19</v>
      </c>
      <c r="M208" t="s">
        <v>25</v>
      </c>
      <c r="N208" s="6" t="s">
        <v>21</v>
      </c>
      <c r="O208" s="54">
        <f>TBL_Employees3[[#This Row],[Annual Salary]]+TBL_Employees3[[#This Row],[Bonus %]]*TBL_Employees3[[#This Row],[Annual Salary]]</f>
        <v>95639</v>
      </c>
      <c r="P208" t="str">
        <f>IF(AND(TBL_Employees3[[#This Row],[Department]]="IT",TBL_Employees3[[#This Row],[Gender]]="Female"),"Yes","No")</f>
        <v>No</v>
      </c>
      <c r="Q208" t="str">
        <f>IF(AND(TBL_Employees3[[#This Row],[Gender]]="Female",TBL_Employees3[[#This Row],[Ethnicity]]="Black"), "Female_Black", "Others")</f>
        <v>Others</v>
      </c>
    </row>
    <row r="209" spans="1:17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6">
        <v>38168</v>
      </c>
      <c r="J209" s="54">
        <v>120660</v>
      </c>
      <c r="K209" s="1">
        <v>7.0000000000000007E-2</v>
      </c>
      <c r="L209" t="s">
        <v>33</v>
      </c>
      <c r="M209" t="s">
        <v>34</v>
      </c>
      <c r="N209" s="6" t="s">
        <v>21</v>
      </c>
      <c r="O209" s="54">
        <f>TBL_Employees3[[#This Row],[Annual Salary]]+TBL_Employees3[[#This Row],[Bonus %]]*TBL_Employees3[[#This Row],[Annual Salary]]</f>
        <v>129106.2</v>
      </c>
      <c r="P209" t="str">
        <f>IF(AND(TBL_Employees3[[#This Row],[Department]]="IT",TBL_Employees3[[#This Row],[Gender]]="Female"),"Yes","No")</f>
        <v>No</v>
      </c>
      <c r="Q209" t="str">
        <f>IF(AND(TBL_Employees3[[#This Row],[Gender]]="Female",TBL_Employees3[[#This Row],[Ethnicity]]="Black"), "Female_Black", "Others")</f>
        <v>Others</v>
      </c>
    </row>
    <row r="210" spans="1:17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6">
        <v>44556</v>
      </c>
      <c r="J210" s="54">
        <v>75119</v>
      </c>
      <c r="K210" s="1">
        <v>0</v>
      </c>
      <c r="L210" t="s">
        <v>19</v>
      </c>
      <c r="M210" t="s">
        <v>20</v>
      </c>
      <c r="N210" s="6" t="s">
        <v>21</v>
      </c>
      <c r="O210" s="54">
        <f>TBL_Employees3[[#This Row],[Annual Salary]]+TBL_Employees3[[#This Row],[Bonus %]]*TBL_Employees3[[#This Row],[Annual Salary]]</f>
        <v>75119</v>
      </c>
      <c r="P210" t="str">
        <f>IF(AND(TBL_Employees3[[#This Row],[Department]]="IT",TBL_Employees3[[#This Row],[Gender]]="Female"),"Yes","No")</f>
        <v>No</v>
      </c>
      <c r="Q210" t="str">
        <f>IF(AND(TBL_Employees3[[#This Row],[Gender]]="Female",TBL_Employees3[[#This Row],[Ethnicity]]="Black"), "Female_Black", "Others")</f>
        <v>Others</v>
      </c>
    </row>
    <row r="211" spans="1:17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6">
        <v>40681</v>
      </c>
      <c r="J211" s="54">
        <v>192213</v>
      </c>
      <c r="K211" s="1">
        <v>0.4</v>
      </c>
      <c r="L211" t="s">
        <v>19</v>
      </c>
      <c r="M211" t="s">
        <v>20</v>
      </c>
      <c r="N211" s="6" t="s">
        <v>21</v>
      </c>
      <c r="O211" s="54">
        <f>TBL_Employees3[[#This Row],[Annual Salary]]+TBL_Employees3[[#This Row],[Bonus %]]*TBL_Employees3[[#This Row],[Annual Salary]]</f>
        <v>269098.2</v>
      </c>
      <c r="P211" t="str">
        <f>IF(AND(TBL_Employees3[[#This Row],[Department]]="IT",TBL_Employees3[[#This Row],[Gender]]="Female"),"Yes","No")</f>
        <v>No</v>
      </c>
      <c r="Q211" t="str">
        <f>IF(AND(TBL_Employees3[[#This Row],[Gender]]="Female",TBL_Employees3[[#This Row],[Ethnicity]]="Black"), "Female_Black", "Others")</f>
        <v>Others</v>
      </c>
    </row>
    <row r="212" spans="1:17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6">
        <v>41769</v>
      </c>
      <c r="J212" s="54">
        <v>65047</v>
      </c>
      <c r="K212" s="1">
        <v>0</v>
      </c>
      <c r="L212" t="s">
        <v>52</v>
      </c>
      <c r="M212" t="s">
        <v>53</v>
      </c>
      <c r="N212" s="6" t="s">
        <v>21</v>
      </c>
      <c r="O212" s="54">
        <f>TBL_Employees3[[#This Row],[Annual Salary]]+TBL_Employees3[[#This Row],[Bonus %]]*TBL_Employees3[[#This Row],[Annual Salary]]</f>
        <v>65047</v>
      </c>
      <c r="P212" t="str">
        <f>IF(AND(TBL_Employees3[[#This Row],[Department]]="IT",TBL_Employees3[[#This Row],[Gender]]="Female"),"Yes","No")</f>
        <v>No</v>
      </c>
      <c r="Q212" t="str">
        <f>IF(AND(TBL_Employees3[[#This Row],[Gender]]="Female",TBL_Employees3[[#This Row],[Ethnicity]]="Black"), "Female_Black", "Others")</f>
        <v>Others</v>
      </c>
    </row>
    <row r="213" spans="1:17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6">
        <v>42810</v>
      </c>
      <c r="J213" s="54">
        <v>151413</v>
      </c>
      <c r="K213" s="1">
        <v>0.15</v>
      </c>
      <c r="L213" t="s">
        <v>19</v>
      </c>
      <c r="M213" t="s">
        <v>63</v>
      </c>
      <c r="N213" s="6" t="s">
        <v>21</v>
      </c>
      <c r="O213" s="54">
        <f>TBL_Employees3[[#This Row],[Annual Salary]]+TBL_Employees3[[#This Row],[Bonus %]]*TBL_Employees3[[#This Row],[Annual Salary]]</f>
        <v>174124.95</v>
      </c>
      <c r="P213" t="str">
        <f>IF(AND(TBL_Employees3[[#This Row],[Department]]="IT",TBL_Employees3[[#This Row],[Gender]]="Female"),"Yes","No")</f>
        <v>No</v>
      </c>
      <c r="Q213" t="str">
        <f>IF(AND(TBL_Employees3[[#This Row],[Gender]]="Female",TBL_Employees3[[#This Row],[Ethnicity]]="Black"), "Female_Black", "Others")</f>
        <v>Others</v>
      </c>
    </row>
    <row r="214" spans="1:17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6">
        <v>37733</v>
      </c>
      <c r="J214" s="54">
        <v>76906</v>
      </c>
      <c r="K214" s="1">
        <v>0</v>
      </c>
      <c r="L214" t="s">
        <v>19</v>
      </c>
      <c r="M214" t="s">
        <v>63</v>
      </c>
      <c r="N214" s="6" t="s">
        <v>21</v>
      </c>
      <c r="O214" s="54">
        <f>TBL_Employees3[[#This Row],[Annual Salary]]+TBL_Employees3[[#This Row],[Bonus %]]*TBL_Employees3[[#This Row],[Annual Salary]]</f>
        <v>76906</v>
      </c>
      <c r="P214" t="str">
        <f>IF(AND(TBL_Employees3[[#This Row],[Department]]="IT",TBL_Employees3[[#This Row],[Gender]]="Female"),"Yes","No")</f>
        <v>No</v>
      </c>
      <c r="Q214" t="str">
        <f>IF(AND(TBL_Employees3[[#This Row],[Gender]]="Female",TBL_Employees3[[#This Row],[Ethnicity]]="Black"), "Female_Black", "Others")</f>
        <v>Others</v>
      </c>
    </row>
    <row r="215" spans="1:17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6">
        <v>34388</v>
      </c>
      <c r="J215" s="54">
        <v>122802</v>
      </c>
      <c r="K215" s="1">
        <v>0.05</v>
      </c>
      <c r="L215" t="s">
        <v>33</v>
      </c>
      <c r="M215" t="s">
        <v>74</v>
      </c>
      <c r="N215" s="6" t="s">
        <v>21</v>
      </c>
      <c r="O215" s="54">
        <f>TBL_Employees3[[#This Row],[Annual Salary]]+TBL_Employees3[[#This Row],[Bonus %]]*TBL_Employees3[[#This Row],[Annual Salary]]</f>
        <v>128942.1</v>
      </c>
      <c r="P215" t="str">
        <f>IF(AND(TBL_Employees3[[#This Row],[Department]]="IT",TBL_Employees3[[#This Row],[Gender]]="Female"),"Yes","No")</f>
        <v>No</v>
      </c>
      <c r="Q215" t="str">
        <f>IF(AND(TBL_Employees3[[#This Row],[Gender]]="Female",TBL_Employees3[[#This Row],[Ethnicity]]="Black"), "Female_Black", "Others")</f>
        <v>Others</v>
      </c>
    </row>
    <row r="216" spans="1:17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6">
        <v>35990</v>
      </c>
      <c r="J216" s="54">
        <v>99091</v>
      </c>
      <c r="K216" s="1">
        <v>0</v>
      </c>
      <c r="L216" t="s">
        <v>19</v>
      </c>
      <c r="M216" t="s">
        <v>25</v>
      </c>
      <c r="N216" s="6" t="s">
        <v>21</v>
      </c>
      <c r="O216" s="54">
        <f>TBL_Employees3[[#This Row],[Annual Salary]]+TBL_Employees3[[#This Row],[Bonus %]]*TBL_Employees3[[#This Row],[Annual Salary]]</f>
        <v>99091</v>
      </c>
      <c r="P216" t="str">
        <f>IF(AND(TBL_Employees3[[#This Row],[Department]]="IT",TBL_Employees3[[#This Row],[Gender]]="Female"),"Yes","No")</f>
        <v>No</v>
      </c>
      <c r="Q216" t="str">
        <f>IF(AND(TBL_Employees3[[#This Row],[Gender]]="Female",TBL_Employees3[[#This Row],[Ethnicity]]="Black"), "Female_Black", "Others")</f>
        <v>Others</v>
      </c>
    </row>
    <row r="217" spans="1:17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6">
        <v>39506</v>
      </c>
      <c r="J217" s="54">
        <v>113987</v>
      </c>
      <c r="K217" s="1">
        <v>0</v>
      </c>
      <c r="L217" t="s">
        <v>52</v>
      </c>
      <c r="M217" t="s">
        <v>81</v>
      </c>
      <c r="N217" s="6" t="s">
        <v>21</v>
      </c>
      <c r="O217" s="54">
        <f>TBL_Employees3[[#This Row],[Annual Salary]]+TBL_Employees3[[#This Row],[Bonus %]]*TBL_Employees3[[#This Row],[Annual Salary]]</f>
        <v>113987</v>
      </c>
      <c r="P217" t="str">
        <f>IF(AND(TBL_Employees3[[#This Row],[Department]]="IT",TBL_Employees3[[#This Row],[Gender]]="Female"),"Yes","No")</f>
        <v>No</v>
      </c>
      <c r="Q217" t="str">
        <f>IF(AND(TBL_Employees3[[#This Row],[Gender]]="Female",TBL_Employees3[[#This Row],[Ethnicity]]="Black"), "Female_Black", "Others")</f>
        <v>Others</v>
      </c>
    </row>
    <row r="218" spans="1:17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6">
        <v>44078</v>
      </c>
      <c r="J218" s="54">
        <v>95045</v>
      </c>
      <c r="K218" s="1">
        <v>0</v>
      </c>
      <c r="L218" t="s">
        <v>19</v>
      </c>
      <c r="M218" t="s">
        <v>20</v>
      </c>
      <c r="N218" s="6" t="s">
        <v>21</v>
      </c>
      <c r="O218" s="54">
        <f>TBL_Employees3[[#This Row],[Annual Salary]]+TBL_Employees3[[#This Row],[Bonus %]]*TBL_Employees3[[#This Row],[Annual Salary]]</f>
        <v>95045</v>
      </c>
      <c r="P218" t="str">
        <f>IF(AND(TBL_Employees3[[#This Row],[Department]]="IT",TBL_Employees3[[#This Row],[Gender]]="Female"),"Yes","No")</f>
        <v>No</v>
      </c>
      <c r="Q218" t="str">
        <f>IF(AND(TBL_Employees3[[#This Row],[Gender]]="Female",TBL_Employees3[[#This Row],[Ethnicity]]="Black"), "Female_Black", "Others")</f>
        <v>Others</v>
      </c>
    </row>
    <row r="219" spans="1:17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6">
        <v>42740</v>
      </c>
      <c r="J219" s="54">
        <v>190401</v>
      </c>
      <c r="K219" s="1">
        <v>0.37</v>
      </c>
      <c r="L219" t="s">
        <v>19</v>
      </c>
      <c r="M219" t="s">
        <v>29</v>
      </c>
      <c r="N219" s="6" t="s">
        <v>21</v>
      </c>
      <c r="O219" s="54">
        <f>TBL_Employees3[[#This Row],[Annual Salary]]+TBL_Employees3[[#This Row],[Bonus %]]*TBL_Employees3[[#This Row],[Annual Salary]]</f>
        <v>260849.37</v>
      </c>
      <c r="P219" t="str">
        <f>IF(AND(TBL_Employees3[[#This Row],[Department]]="IT",TBL_Employees3[[#This Row],[Gender]]="Female"),"Yes","No")</f>
        <v>No</v>
      </c>
      <c r="Q219" t="str">
        <f>IF(AND(TBL_Employees3[[#This Row],[Gender]]="Female",TBL_Employees3[[#This Row],[Ethnicity]]="Black"), "Female_Black", "Others")</f>
        <v>Others</v>
      </c>
    </row>
    <row r="220" spans="1:17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6">
        <v>41294</v>
      </c>
      <c r="J220" s="54">
        <v>86061</v>
      </c>
      <c r="K220" s="1">
        <v>0</v>
      </c>
      <c r="L220" t="s">
        <v>52</v>
      </c>
      <c r="M220" t="s">
        <v>66</v>
      </c>
      <c r="N220" s="6" t="s">
        <v>21</v>
      </c>
      <c r="O220" s="54">
        <f>TBL_Employees3[[#This Row],[Annual Salary]]+TBL_Employees3[[#This Row],[Bonus %]]*TBL_Employees3[[#This Row],[Annual Salary]]</f>
        <v>86061</v>
      </c>
      <c r="P220" t="str">
        <f>IF(AND(TBL_Employees3[[#This Row],[Department]]="IT",TBL_Employees3[[#This Row],[Gender]]="Female"),"Yes","No")</f>
        <v>No</v>
      </c>
      <c r="Q220" t="str">
        <f>IF(AND(TBL_Employees3[[#This Row],[Gender]]="Female",TBL_Employees3[[#This Row],[Ethnicity]]="Black"), "Female_Black", "Others")</f>
        <v>Others</v>
      </c>
    </row>
    <row r="221" spans="1:17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6">
        <v>44237</v>
      </c>
      <c r="J221" s="54">
        <v>79882</v>
      </c>
      <c r="K221" s="1">
        <v>0</v>
      </c>
      <c r="L221" t="s">
        <v>19</v>
      </c>
      <c r="M221" t="s">
        <v>39</v>
      </c>
      <c r="N221" s="6" t="s">
        <v>21</v>
      </c>
      <c r="O221" s="54">
        <f>TBL_Employees3[[#This Row],[Annual Salary]]+TBL_Employees3[[#This Row],[Bonus %]]*TBL_Employees3[[#This Row],[Annual Salary]]</f>
        <v>79882</v>
      </c>
      <c r="P221" t="str">
        <f>IF(AND(TBL_Employees3[[#This Row],[Department]]="IT",TBL_Employees3[[#This Row],[Gender]]="Female"),"Yes","No")</f>
        <v>No</v>
      </c>
      <c r="Q221" t="str">
        <f>IF(AND(TBL_Employees3[[#This Row],[Gender]]="Female",TBL_Employees3[[#This Row],[Ethnicity]]="Black"), "Female_Black", "Others")</f>
        <v>Others</v>
      </c>
    </row>
    <row r="222" spans="1:17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6">
        <v>43165</v>
      </c>
      <c r="J222" s="54">
        <v>255431</v>
      </c>
      <c r="K222" s="1">
        <v>0.36</v>
      </c>
      <c r="L222" t="s">
        <v>19</v>
      </c>
      <c r="M222" t="s">
        <v>29</v>
      </c>
      <c r="N222" s="6" t="s">
        <v>21</v>
      </c>
      <c r="O222" s="54">
        <f>TBL_Employees3[[#This Row],[Annual Salary]]+TBL_Employees3[[#This Row],[Bonus %]]*TBL_Employees3[[#This Row],[Annual Salary]]</f>
        <v>347386.16000000003</v>
      </c>
      <c r="P222" t="str">
        <f>IF(AND(TBL_Employees3[[#This Row],[Department]]="IT",TBL_Employees3[[#This Row],[Gender]]="Female"),"Yes","No")</f>
        <v>No</v>
      </c>
      <c r="Q222" t="str">
        <f>IF(AND(TBL_Employees3[[#This Row],[Gender]]="Female",TBL_Employees3[[#This Row],[Ethnicity]]="Black"), "Female_Black", "Others")</f>
        <v>Others</v>
      </c>
    </row>
    <row r="223" spans="1:17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6">
        <v>37855</v>
      </c>
      <c r="J223" s="54">
        <v>82017</v>
      </c>
      <c r="K223" s="1">
        <v>0</v>
      </c>
      <c r="L223" t="s">
        <v>33</v>
      </c>
      <c r="M223" t="s">
        <v>60</v>
      </c>
      <c r="N223" s="6" t="s">
        <v>21</v>
      </c>
      <c r="O223" s="54">
        <f>TBL_Employees3[[#This Row],[Annual Salary]]+TBL_Employees3[[#This Row],[Bonus %]]*TBL_Employees3[[#This Row],[Annual Salary]]</f>
        <v>82017</v>
      </c>
      <c r="P223" t="str">
        <f>IF(AND(TBL_Employees3[[#This Row],[Department]]="IT",TBL_Employees3[[#This Row],[Gender]]="Female"),"Yes","No")</f>
        <v>Yes</v>
      </c>
      <c r="Q223" t="str">
        <f>IF(AND(TBL_Employees3[[#This Row],[Gender]]="Female",TBL_Employees3[[#This Row],[Ethnicity]]="Black"), "Female_Black", "Others")</f>
        <v>Others</v>
      </c>
    </row>
    <row r="224" spans="1:17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6">
        <v>42753</v>
      </c>
      <c r="J224" s="54">
        <v>53799</v>
      </c>
      <c r="K224" s="1">
        <v>0</v>
      </c>
      <c r="L224" t="s">
        <v>19</v>
      </c>
      <c r="M224" t="s">
        <v>29</v>
      </c>
      <c r="N224" s="6" t="s">
        <v>21</v>
      </c>
      <c r="O224" s="54">
        <f>TBL_Employees3[[#This Row],[Annual Salary]]+TBL_Employees3[[#This Row],[Bonus %]]*TBL_Employees3[[#This Row],[Annual Salary]]</f>
        <v>53799</v>
      </c>
      <c r="P224" t="str">
        <f>IF(AND(TBL_Employees3[[#This Row],[Department]]="IT",TBL_Employees3[[#This Row],[Gender]]="Female"),"Yes","No")</f>
        <v>No</v>
      </c>
      <c r="Q224" t="str">
        <f>IF(AND(TBL_Employees3[[#This Row],[Gender]]="Female",TBL_Employees3[[#This Row],[Ethnicity]]="Black"), "Female_Black", "Others")</f>
        <v>Others</v>
      </c>
    </row>
    <row r="225" spans="1:17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6">
        <v>44380</v>
      </c>
      <c r="J225" s="54">
        <v>82739</v>
      </c>
      <c r="K225" s="1">
        <v>0</v>
      </c>
      <c r="L225" t="s">
        <v>19</v>
      </c>
      <c r="M225" t="s">
        <v>39</v>
      </c>
      <c r="N225" s="6" t="s">
        <v>21</v>
      </c>
      <c r="O225" s="54">
        <f>TBL_Employees3[[#This Row],[Annual Salary]]+TBL_Employees3[[#This Row],[Bonus %]]*TBL_Employees3[[#This Row],[Annual Salary]]</f>
        <v>82739</v>
      </c>
      <c r="P225" t="str">
        <f>IF(AND(TBL_Employees3[[#This Row],[Department]]="IT",TBL_Employees3[[#This Row],[Gender]]="Female"),"Yes","No")</f>
        <v>No</v>
      </c>
      <c r="Q225" t="str">
        <f>IF(AND(TBL_Employees3[[#This Row],[Gender]]="Female",TBL_Employees3[[#This Row],[Ethnicity]]="Black"), "Female_Black", "Others")</f>
        <v>Others</v>
      </c>
    </row>
    <row r="226" spans="1:17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6">
        <v>41789</v>
      </c>
      <c r="J226" s="54">
        <v>99080</v>
      </c>
      <c r="K226" s="1">
        <v>0</v>
      </c>
      <c r="L226" t="s">
        <v>19</v>
      </c>
      <c r="M226" t="s">
        <v>20</v>
      </c>
      <c r="N226" s="6" t="s">
        <v>21</v>
      </c>
      <c r="O226" s="54">
        <f>TBL_Employees3[[#This Row],[Annual Salary]]+TBL_Employees3[[#This Row],[Bonus %]]*TBL_Employees3[[#This Row],[Annual Salary]]</f>
        <v>99080</v>
      </c>
      <c r="P226" t="str">
        <f>IF(AND(TBL_Employees3[[#This Row],[Department]]="IT",TBL_Employees3[[#This Row],[Gender]]="Female"),"Yes","No")</f>
        <v>Yes</v>
      </c>
      <c r="Q226" t="str">
        <f>IF(AND(TBL_Employees3[[#This Row],[Gender]]="Female",TBL_Employees3[[#This Row],[Ethnicity]]="Black"), "Female_Black", "Others")</f>
        <v>Others</v>
      </c>
    </row>
    <row r="227" spans="1:17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6">
        <v>40563</v>
      </c>
      <c r="J227" s="54">
        <v>96719</v>
      </c>
      <c r="K227" s="1">
        <v>0</v>
      </c>
      <c r="L227" t="s">
        <v>33</v>
      </c>
      <c r="M227" t="s">
        <v>34</v>
      </c>
      <c r="N227" s="6" t="s">
        <v>21</v>
      </c>
      <c r="O227" s="54">
        <f>TBL_Employees3[[#This Row],[Annual Salary]]+TBL_Employees3[[#This Row],[Bonus %]]*TBL_Employees3[[#This Row],[Annual Salary]]</f>
        <v>96719</v>
      </c>
      <c r="P227" t="str">
        <f>IF(AND(TBL_Employees3[[#This Row],[Department]]="IT",TBL_Employees3[[#This Row],[Gender]]="Female"),"Yes","No")</f>
        <v>No</v>
      </c>
      <c r="Q227" t="str">
        <f>IF(AND(TBL_Employees3[[#This Row],[Gender]]="Female",TBL_Employees3[[#This Row],[Ethnicity]]="Black"), "Female_Black", "Others")</f>
        <v>Others</v>
      </c>
    </row>
    <row r="228" spans="1:17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6">
        <v>44283</v>
      </c>
      <c r="J228" s="54">
        <v>180687</v>
      </c>
      <c r="K228" s="1">
        <v>0.19</v>
      </c>
      <c r="L228" t="s">
        <v>19</v>
      </c>
      <c r="M228" t="s">
        <v>39</v>
      </c>
      <c r="N228" s="6" t="s">
        <v>21</v>
      </c>
      <c r="O228" s="54">
        <f>TBL_Employees3[[#This Row],[Annual Salary]]+TBL_Employees3[[#This Row],[Bonus %]]*TBL_Employees3[[#This Row],[Annual Salary]]</f>
        <v>215017.53</v>
      </c>
      <c r="P228" t="str">
        <f>IF(AND(TBL_Employees3[[#This Row],[Department]]="IT",TBL_Employees3[[#This Row],[Gender]]="Female"),"Yes","No")</f>
        <v>No</v>
      </c>
      <c r="Q228" t="str">
        <f>IF(AND(TBL_Employees3[[#This Row],[Gender]]="Female",TBL_Employees3[[#This Row],[Ethnicity]]="Black"), "Female_Black", "Others")</f>
        <v>Others</v>
      </c>
    </row>
    <row r="229" spans="1:17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6">
        <v>36993</v>
      </c>
      <c r="J229" s="54">
        <v>95743</v>
      </c>
      <c r="K229" s="1">
        <v>0.15</v>
      </c>
      <c r="L229" t="s">
        <v>19</v>
      </c>
      <c r="M229" t="s">
        <v>25</v>
      </c>
      <c r="N229" s="6">
        <v>40193</v>
      </c>
      <c r="O229" s="54">
        <f>TBL_Employees3[[#This Row],[Annual Salary]]+TBL_Employees3[[#This Row],[Bonus %]]*TBL_Employees3[[#This Row],[Annual Salary]]</f>
        <v>110104.45</v>
      </c>
      <c r="P229" t="str">
        <f>IF(AND(TBL_Employees3[[#This Row],[Department]]="IT",TBL_Employees3[[#This Row],[Gender]]="Female"),"Yes","No")</f>
        <v>No</v>
      </c>
      <c r="Q229" t="str">
        <f>IF(AND(TBL_Employees3[[#This Row],[Gender]]="Female",TBL_Employees3[[#This Row],[Ethnicity]]="Black"), "Female_Black", "Others")</f>
        <v>Others</v>
      </c>
    </row>
    <row r="230" spans="1:17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6">
        <v>40060</v>
      </c>
      <c r="J230" s="54">
        <v>89695</v>
      </c>
      <c r="K230" s="1">
        <v>0</v>
      </c>
      <c r="L230" t="s">
        <v>19</v>
      </c>
      <c r="M230" t="s">
        <v>25</v>
      </c>
      <c r="N230" s="6" t="s">
        <v>21</v>
      </c>
      <c r="O230" s="54">
        <f>TBL_Employees3[[#This Row],[Annual Salary]]+TBL_Employees3[[#This Row],[Bonus %]]*TBL_Employees3[[#This Row],[Annual Salary]]</f>
        <v>89695</v>
      </c>
      <c r="P230" t="str">
        <f>IF(AND(TBL_Employees3[[#This Row],[Department]]="IT",TBL_Employees3[[#This Row],[Gender]]="Female"),"Yes","No")</f>
        <v>No</v>
      </c>
      <c r="Q230" t="str">
        <f>IF(AND(TBL_Employees3[[#This Row],[Gender]]="Female",TBL_Employees3[[#This Row],[Ethnicity]]="Black"), "Female_Black", "Others")</f>
        <v>Others</v>
      </c>
    </row>
    <row r="231" spans="1:17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6">
        <v>35996</v>
      </c>
      <c r="J231" s="54">
        <v>122753</v>
      </c>
      <c r="K231" s="1">
        <v>0.09</v>
      </c>
      <c r="L231" t="s">
        <v>33</v>
      </c>
      <c r="M231" t="s">
        <v>80</v>
      </c>
      <c r="N231" s="6" t="s">
        <v>21</v>
      </c>
      <c r="O231" s="54">
        <f>TBL_Employees3[[#This Row],[Annual Salary]]+TBL_Employees3[[#This Row],[Bonus %]]*TBL_Employees3[[#This Row],[Annual Salary]]</f>
        <v>133800.76999999999</v>
      </c>
      <c r="P231" t="str">
        <f>IF(AND(TBL_Employees3[[#This Row],[Department]]="IT",TBL_Employees3[[#This Row],[Gender]]="Female"),"Yes","No")</f>
        <v>No</v>
      </c>
      <c r="Q231" t="str">
        <f>IF(AND(TBL_Employees3[[#This Row],[Gender]]="Female",TBL_Employees3[[#This Row],[Ethnicity]]="Black"), "Female_Black", "Others")</f>
        <v>Others</v>
      </c>
    </row>
    <row r="232" spans="1:17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6">
        <v>42078</v>
      </c>
      <c r="J232" s="54">
        <v>93734</v>
      </c>
      <c r="K232" s="1">
        <v>0</v>
      </c>
      <c r="L232" t="s">
        <v>19</v>
      </c>
      <c r="M232" t="s">
        <v>39</v>
      </c>
      <c r="N232" s="6" t="s">
        <v>21</v>
      </c>
      <c r="O232" s="54">
        <f>TBL_Employees3[[#This Row],[Annual Salary]]+TBL_Employees3[[#This Row],[Bonus %]]*TBL_Employees3[[#This Row],[Annual Salary]]</f>
        <v>93734</v>
      </c>
      <c r="P232" t="str">
        <f>IF(AND(TBL_Employees3[[#This Row],[Department]]="IT",TBL_Employees3[[#This Row],[Gender]]="Female"),"Yes","No")</f>
        <v>No</v>
      </c>
      <c r="Q232" t="str">
        <f>IF(AND(TBL_Employees3[[#This Row],[Gender]]="Female",TBL_Employees3[[#This Row],[Ethnicity]]="Black"), "Female_Black", "Others")</f>
        <v>Others</v>
      </c>
    </row>
    <row r="233" spans="1:17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6">
        <v>42867</v>
      </c>
      <c r="J233" s="54">
        <v>52069</v>
      </c>
      <c r="K233" s="1">
        <v>0</v>
      </c>
      <c r="L233" t="s">
        <v>33</v>
      </c>
      <c r="M233" t="s">
        <v>80</v>
      </c>
      <c r="N233" s="6" t="s">
        <v>21</v>
      </c>
      <c r="O233" s="54">
        <f>TBL_Employees3[[#This Row],[Annual Salary]]+TBL_Employees3[[#This Row],[Bonus %]]*TBL_Employees3[[#This Row],[Annual Salary]]</f>
        <v>52069</v>
      </c>
      <c r="P233" t="str">
        <f>IF(AND(TBL_Employees3[[#This Row],[Department]]="IT",TBL_Employees3[[#This Row],[Gender]]="Female"),"Yes","No")</f>
        <v>No</v>
      </c>
      <c r="Q233" t="str">
        <f>IF(AND(TBL_Employees3[[#This Row],[Gender]]="Female",TBL_Employees3[[#This Row],[Ethnicity]]="Black"), "Female_Black", "Others")</f>
        <v>Others</v>
      </c>
    </row>
    <row r="234" spans="1:17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6">
        <v>44181</v>
      </c>
      <c r="J234" s="54">
        <v>258426</v>
      </c>
      <c r="K234" s="1">
        <v>0.4</v>
      </c>
      <c r="L234" t="s">
        <v>52</v>
      </c>
      <c r="M234" t="s">
        <v>66</v>
      </c>
      <c r="N234" s="6" t="s">
        <v>21</v>
      </c>
      <c r="O234" s="54">
        <f>TBL_Employees3[[#This Row],[Annual Salary]]+TBL_Employees3[[#This Row],[Bonus %]]*TBL_Employees3[[#This Row],[Annual Salary]]</f>
        <v>361796.4</v>
      </c>
      <c r="P234" t="str">
        <f>IF(AND(TBL_Employees3[[#This Row],[Department]]="IT",TBL_Employees3[[#This Row],[Gender]]="Female"),"Yes","No")</f>
        <v>No</v>
      </c>
      <c r="Q234" t="str">
        <f>IF(AND(TBL_Employees3[[#This Row],[Gender]]="Female",TBL_Employees3[[#This Row],[Ethnicity]]="Black"), "Female_Black", "Others")</f>
        <v>Others</v>
      </c>
    </row>
    <row r="235" spans="1:17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6">
        <v>34746</v>
      </c>
      <c r="J235" s="54">
        <v>125375</v>
      </c>
      <c r="K235" s="1">
        <v>0.09</v>
      </c>
      <c r="L235" t="s">
        <v>19</v>
      </c>
      <c r="M235" t="s">
        <v>20</v>
      </c>
      <c r="N235" s="6" t="s">
        <v>21</v>
      </c>
      <c r="O235" s="54">
        <f>TBL_Employees3[[#This Row],[Annual Salary]]+TBL_Employees3[[#This Row],[Bonus %]]*TBL_Employees3[[#This Row],[Annual Salary]]</f>
        <v>136658.75</v>
      </c>
      <c r="P235" t="str">
        <f>IF(AND(TBL_Employees3[[#This Row],[Department]]="IT",TBL_Employees3[[#This Row],[Gender]]="Female"),"Yes","No")</f>
        <v>No</v>
      </c>
      <c r="Q235" t="str">
        <f>IF(AND(TBL_Employees3[[#This Row],[Gender]]="Female",TBL_Employees3[[#This Row],[Ethnicity]]="Black"), "Female_Black", "Others")</f>
        <v>Others</v>
      </c>
    </row>
    <row r="236" spans="1:17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6">
        <v>44235</v>
      </c>
      <c r="J236" s="54">
        <v>198243</v>
      </c>
      <c r="K236" s="1">
        <v>0.31</v>
      </c>
      <c r="L236" t="s">
        <v>19</v>
      </c>
      <c r="M236" t="s">
        <v>45</v>
      </c>
      <c r="N236" s="6" t="s">
        <v>21</v>
      </c>
      <c r="O236" s="54">
        <f>TBL_Employees3[[#This Row],[Annual Salary]]+TBL_Employees3[[#This Row],[Bonus %]]*TBL_Employees3[[#This Row],[Annual Salary]]</f>
        <v>259698.33000000002</v>
      </c>
      <c r="P236" t="str">
        <f>IF(AND(TBL_Employees3[[#This Row],[Department]]="IT",TBL_Employees3[[#This Row],[Gender]]="Female"),"Yes","No")</f>
        <v>No</v>
      </c>
      <c r="Q236" t="str">
        <f>IF(AND(TBL_Employees3[[#This Row],[Gender]]="Female",TBL_Employees3[[#This Row],[Ethnicity]]="Black"), "Female_Black", "Others")</f>
        <v>Others</v>
      </c>
    </row>
    <row r="237" spans="1:17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6">
        <v>43062</v>
      </c>
      <c r="J237" s="54">
        <v>96023</v>
      </c>
      <c r="K237" s="1">
        <v>0</v>
      </c>
      <c r="L237" t="s">
        <v>19</v>
      </c>
      <c r="M237" t="s">
        <v>45</v>
      </c>
      <c r="N237" s="6" t="s">
        <v>21</v>
      </c>
      <c r="O237" s="54">
        <f>TBL_Employees3[[#This Row],[Annual Salary]]+TBL_Employees3[[#This Row],[Bonus %]]*TBL_Employees3[[#This Row],[Annual Salary]]</f>
        <v>96023</v>
      </c>
      <c r="P237" t="str">
        <f>IF(AND(TBL_Employees3[[#This Row],[Department]]="IT",TBL_Employees3[[#This Row],[Gender]]="Female"),"Yes","No")</f>
        <v>No</v>
      </c>
      <c r="Q237" t="str">
        <f>IF(AND(TBL_Employees3[[#This Row],[Gender]]="Female",TBL_Employees3[[#This Row],[Ethnicity]]="Black"), "Female_Black", "Others")</f>
        <v>Others</v>
      </c>
    </row>
    <row r="238" spans="1:17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6">
        <v>41085</v>
      </c>
      <c r="J238" s="54">
        <v>83066</v>
      </c>
      <c r="K238" s="1">
        <v>0</v>
      </c>
      <c r="L238" t="s">
        <v>19</v>
      </c>
      <c r="M238" t="s">
        <v>20</v>
      </c>
      <c r="N238" s="6">
        <v>41430</v>
      </c>
      <c r="O238" s="54">
        <f>TBL_Employees3[[#This Row],[Annual Salary]]+TBL_Employees3[[#This Row],[Bonus %]]*TBL_Employees3[[#This Row],[Annual Salary]]</f>
        <v>83066</v>
      </c>
      <c r="P238" t="str">
        <f>IF(AND(TBL_Employees3[[#This Row],[Department]]="IT",TBL_Employees3[[#This Row],[Gender]]="Female"),"Yes","No")</f>
        <v>No</v>
      </c>
      <c r="Q238" t="str">
        <f>IF(AND(TBL_Employees3[[#This Row],[Gender]]="Female",TBL_Employees3[[#This Row],[Ethnicity]]="Black"), "Female_Black", "Others")</f>
        <v>Others</v>
      </c>
    </row>
    <row r="239" spans="1:17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6">
        <v>41773</v>
      </c>
      <c r="J239" s="54">
        <v>61216</v>
      </c>
      <c r="K239" s="1">
        <v>0</v>
      </c>
      <c r="L239" t="s">
        <v>19</v>
      </c>
      <c r="M239" t="s">
        <v>63</v>
      </c>
      <c r="N239" s="6" t="s">
        <v>21</v>
      </c>
      <c r="O239" s="54">
        <f>TBL_Employees3[[#This Row],[Annual Salary]]+TBL_Employees3[[#This Row],[Bonus %]]*TBL_Employees3[[#This Row],[Annual Salary]]</f>
        <v>61216</v>
      </c>
      <c r="P239" t="str">
        <f>IF(AND(TBL_Employees3[[#This Row],[Department]]="IT",TBL_Employees3[[#This Row],[Gender]]="Female"),"Yes","No")</f>
        <v>No</v>
      </c>
      <c r="Q239" t="str">
        <f>IF(AND(TBL_Employees3[[#This Row],[Gender]]="Female",TBL_Employees3[[#This Row],[Ethnicity]]="Black"), "Female_Black", "Others")</f>
        <v>Others</v>
      </c>
    </row>
    <row r="240" spans="1:17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6">
        <v>41315</v>
      </c>
      <c r="J240" s="54">
        <v>144231</v>
      </c>
      <c r="K240" s="1">
        <v>0.14000000000000001</v>
      </c>
      <c r="L240" t="s">
        <v>19</v>
      </c>
      <c r="M240" t="s">
        <v>29</v>
      </c>
      <c r="N240" s="6">
        <v>44029</v>
      </c>
      <c r="O240" s="54">
        <f>TBL_Employees3[[#This Row],[Annual Salary]]+TBL_Employees3[[#This Row],[Bonus %]]*TBL_Employees3[[#This Row],[Annual Salary]]</f>
        <v>164423.34</v>
      </c>
      <c r="P240" t="str">
        <f>IF(AND(TBL_Employees3[[#This Row],[Department]]="IT",TBL_Employees3[[#This Row],[Gender]]="Female"),"Yes","No")</f>
        <v>No</v>
      </c>
      <c r="Q240" t="str">
        <f>IF(AND(TBL_Employees3[[#This Row],[Gender]]="Female",TBL_Employees3[[#This Row],[Ethnicity]]="Black"), "Female_Black", "Others")</f>
        <v>Others</v>
      </c>
    </row>
    <row r="241" spans="1:17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6">
        <v>39379</v>
      </c>
      <c r="J241" s="54">
        <v>51630</v>
      </c>
      <c r="K241" s="1">
        <v>0</v>
      </c>
      <c r="L241" t="s">
        <v>33</v>
      </c>
      <c r="M241" t="s">
        <v>60</v>
      </c>
      <c r="N241" s="6" t="s">
        <v>21</v>
      </c>
      <c r="O241" s="54">
        <f>TBL_Employees3[[#This Row],[Annual Salary]]+TBL_Employees3[[#This Row],[Bonus %]]*TBL_Employees3[[#This Row],[Annual Salary]]</f>
        <v>51630</v>
      </c>
      <c r="P241" t="str">
        <f>IF(AND(TBL_Employees3[[#This Row],[Department]]="IT",TBL_Employees3[[#This Row],[Gender]]="Female"),"Yes","No")</f>
        <v>No</v>
      </c>
      <c r="Q241" t="str">
        <f>IF(AND(TBL_Employees3[[#This Row],[Gender]]="Female",TBL_Employees3[[#This Row],[Ethnicity]]="Black"), "Female_Black", "Others")</f>
        <v>Others</v>
      </c>
    </row>
    <row r="242" spans="1:17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6">
        <v>41594</v>
      </c>
      <c r="J242" s="54">
        <v>124129</v>
      </c>
      <c r="K242" s="1">
        <v>0.15</v>
      </c>
      <c r="L242" t="s">
        <v>52</v>
      </c>
      <c r="M242" t="s">
        <v>53</v>
      </c>
      <c r="N242" s="6" t="s">
        <v>21</v>
      </c>
      <c r="O242" s="54">
        <f>TBL_Employees3[[#This Row],[Annual Salary]]+TBL_Employees3[[#This Row],[Bonus %]]*TBL_Employees3[[#This Row],[Annual Salary]]</f>
        <v>142748.35</v>
      </c>
      <c r="P242" t="str">
        <f>IF(AND(TBL_Employees3[[#This Row],[Department]]="IT",TBL_Employees3[[#This Row],[Gender]]="Female"),"Yes","No")</f>
        <v>No</v>
      </c>
      <c r="Q242" t="str">
        <f>IF(AND(TBL_Employees3[[#This Row],[Gender]]="Female",TBL_Employees3[[#This Row],[Ethnicity]]="Black"), "Female_Black", "Others")</f>
        <v>Others</v>
      </c>
    </row>
    <row r="243" spans="1:17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6">
        <v>39912</v>
      </c>
      <c r="J243" s="54">
        <v>60055</v>
      </c>
      <c r="K243" s="1">
        <v>0</v>
      </c>
      <c r="L243" t="s">
        <v>19</v>
      </c>
      <c r="M243" t="s">
        <v>63</v>
      </c>
      <c r="N243" s="6" t="s">
        <v>21</v>
      </c>
      <c r="O243" s="54">
        <f>TBL_Employees3[[#This Row],[Annual Salary]]+TBL_Employees3[[#This Row],[Bonus %]]*TBL_Employees3[[#This Row],[Annual Salary]]</f>
        <v>60055</v>
      </c>
      <c r="P243" t="str">
        <f>IF(AND(TBL_Employees3[[#This Row],[Department]]="IT",TBL_Employees3[[#This Row],[Gender]]="Female"),"Yes","No")</f>
        <v>No</v>
      </c>
      <c r="Q243" t="str">
        <f>IF(AND(TBL_Employees3[[#This Row],[Gender]]="Female",TBL_Employees3[[#This Row],[Ethnicity]]="Black"), "Female_Black", "Others")</f>
        <v>Others</v>
      </c>
    </row>
    <row r="244" spans="1:17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6">
        <v>44069</v>
      </c>
      <c r="J244" s="54">
        <v>189290</v>
      </c>
      <c r="K244" s="1">
        <v>0.22</v>
      </c>
      <c r="L244" t="s">
        <v>52</v>
      </c>
      <c r="M244" t="s">
        <v>53</v>
      </c>
      <c r="N244" s="6">
        <v>44099</v>
      </c>
      <c r="O244" s="54">
        <f>TBL_Employees3[[#This Row],[Annual Salary]]+TBL_Employees3[[#This Row],[Bonus %]]*TBL_Employees3[[#This Row],[Annual Salary]]</f>
        <v>230933.8</v>
      </c>
      <c r="P244" t="str">
        <f>IF(AND(TBL_Employees3[[#This Row],[Department]]="IT",TBL_Employees3[[#This Row],[Gender]]="Female"),"Yes","No")</f>
        <v>No</v>
      </c>
      <c r="Q244" t="str">
        <f>IF(AND(TBL_Employees3[[#This Row],[Gender]]="Female",TBL_Employees3[[#This Row],[Ethnicity]]="Black"), "Female_Black", "Others")</f>
        <v>Others</v>
      </c>
    </row>
    <row r="245" spans="1:17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6">
        <v>39568</v>
      </c>
      <c r="J245" s="54">
        <v>182202</v>
      </c>
      <c r="K245" s="1">
        <v>0.3</v>
      </c>
      <c r="L245" t="s">
        <v>19</v>
      </c>
      <c r="M245" t="s">
        <v>25</v>
      </c>
      <c r="N245" s="6" t="s">
        <v>21</v>
      </c>
      <c r="O245" s="54">
        <f>TBL_Employees3[[#This Row],[Annual Salary]]+TBL_Employees3[[#This Row],[Bonus %]]*TBL_Employees3[[#This Row],[Annual Salary]]</f>
        <v>236862.6</v>
      </c>
      <c r="P245" t="str">
        <f>IF(AND(TBL_Employees3[[#This Row],[Department]]="IT",TBL_Employees3[[#This Row],[Gender]]="Female"),"Yes","No")</f>
        <v>Yes</v>
      </c>
      <c r="Q245" t="str">
        <f>IF(AND(TBL_Employees3[[#This Row],[Gender]]="Female",TBL_Employees3[[#This Row],[Ethnicity]]="Black"), "Female_Black", "Others")</f>
        <v>Others</v>
      </c>
    </row>
    <row r="246" spans="1:17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6">
        <v>38748</v>
      </c>
      <c r="J246" s="54">
        <v>117518</v>
      </c>
      <c r="K246" s="1">
        <v>7.0000000000000007E-2</v>
      </c>
      <c r="L246" t="s">
        <v>19</v>
      </c>
      <c r="M246" t="s">
        <v>63</v>
      </c>
      <c r="N246" s="6" t="s">
        <v>21</v>
      </c>
      <c r="O246" s="54">
        <f>TBL_Employees3[[#This Row],[Annual Salary]]+TBL_Employees3[[#This Row],[Bonus %]]*TBL_Employees3[[#This Row],[Annual Salary]]</f>
        <v>125744.26</v>
      </c>
      <c r="P246" t="str">
        <f>IF(AND(TBL_Employees3[[#This Row],[Department]]="IT",TBL_Employees3[[#This Row],[Gender]]="Female"),"Yes","No")</f>
        <v>No</v>
      </c>
      <c r="Q246" t="str">
        <f>IF(AND(TBL_Employees3[[#This Row],[Gender]]="Female",TBL_Employees3[[#This Row],[Ethnicity]]="Black"), "Female_Black", "Others")</f>
        <v>Others</v>
      </c>
    </row>
    <row r="247" spans="1:17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6">
        <v>41329</v>
      </c>
      <c r="J247" s="54">
        <v>157474</v>
      </c>
      <c r="K247" s="1">
        <v>0.11</v>
      </c>
      <c r="L247" t="s">
        <v>52</v>
      </c>
      <c r="M247" t="s">
        <v>66</v>
      </c>
      <c r="N247" s="6" t="s">
        <v>21</v>
      </c>
      <c r="O247" s="54">
        <f>TBL_Employees3[[#This Row],[Annual Salary]]+TBL_Employees3[[#This Row],[Bonus %]]*TBL_Employees3[[#This Row],[Annual Salary]]</f>
        <v>174796.14</v>
      </c>
      <c r="P247" t="str">
        <f>IF(AND(TBL_Employees3[[#This Row],[Department]]="IT",TBL_Employees3[[#This Row],[Gender]]="Female"),"Yes","No")</f>
        <v>No</v>
      </c>
      <c r="Q247" t="str">
        <f>IF(AND(TBL_Employees3[[#This Row],[Gender]]="Female",TBL_Employees3[[#This Row],[Ethnicity]]="Black"), "Female_Black", "Others")</f>
        <v>Others</v>
      </c>
    </row>
    <row r="248" spans="1:17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6">
        <v>39544</v>
      </c>
      <c r="J248" s="54">
        <v>126856</v>
      </c>
      <c r="K248" s="1">
        <v>0.06</v>
      </c>
      <c r="L248" t="s">
        <v>19</v>
      </c>
      <c r="M248" t="s">
        <v>29</v>
      </c>
      <c r="N248" s="6" t="s">
        <v>21</v>
      </c>
      <c r="O248" s="54">
        <f>TBL_Employees3[[#This Row],[Annual Salary]]+TBL_Employees3[[#This Row],[Bonus %]]*TBL_Employees3[[#This Row],[Annual Salary]]</f>
        <v>134467.35999999999</v>
      </c>
      <c r="P248" t="str">
        <f>IF(AND(TBL_Employees3[[#This Row],[Department]]="IT",TBL_Employees3[[#This Row],[Gender]]="Female"),"Yes","No")</f>
        <v>No</v>
      </c>
      <c r="Q248" t="str">
        <f>IF(AND(TBL_Employees3[[#This Row],[Gender]]="Female",TBL_Employees3[[#This Row],[Ethnicity]]="Black"), "Female_Black", "Others")</f>
        <v>Others</v>
      </c>
    </row>
    <row r="249" spans="1:17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6">
        <v>36983</v>
      </c>
      <c r="J249" s="54">
        <v>129124</v>
      </c>
      <c r="K249" s="1">
        <v>0.12</v>
      </c>
      <c r="L249" t="s">
        <v>33</v>
      </c>
      <c r="M249" t="s">
        <v>74</v>
      </c>
      <c r="N249" s="6" t="s">
        <v>21</v>
      </c>
      <c r="O249" s="54">
        <f>TBL_Employees3[[#This Row],[Annual Salary]]+TBL_Employees3[[#This Row],[Bonus %]]*TBL_Employees3[[#This Row],[Annual Salary]]</f>
        <v>144618.88</v>
      </c>
      <c r="P249" t="str">
        <f>IF(AND(TBL_Employees3[[#This Row],[Department]]="IT",TBL_Employees3[[#This Row],[Gender]]="Female"),"Yes","No")</f>
        <v>No</v>
      </c>
      <c r="Q249" t="str">
        <f>IF(AND(TBL_Employees3[[#This Row],[Gender]]="Female",TBL_Employees3[[#This Row],[Ethnicity]]="Black"), "Female_Black", "Others")</f>
        <v>Others</v>
      </c>
    </row>
    <row r="250" spans="1:17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6">
        <v>37316</v>
      </c>
      <c r="J250" s="54">
        <v>165181</v>
      </c>
      <c r="K250" s="1">
        <v>0.16</v>
      </c>
      <c r="L250" t="s">
        <v>19</v>
      </c>
      <c r="M250" t="s">
        <v>63</v>
      </c>
      <c r="N250" s="6" t="s">
        <v>21</v>
      </c>
      <c r="O250" s="54">
        <f>TBL_Employees3[[#This Row],[Annual Salary]]+TBL_Employees3[[#This Row],[Bonus %]]*TBL_Employees3[[#This Row],[Annual Salary]]</f>
        <v>191609.96</v>
      </c>
      <c r="P250" t="str">
        <f>IF(AND(TBL_Employees3[[#This Row],[Department]]="IT",TBL_Employees3[[#This Row],[Gender]]="Female"),"Yes","No")</f>
        <v>No</v>
      </c>
      <c r="Q250" t="str">
        <f>IF(AND(TBL_Employees3[[#This Row],[Gender]]="Female",TBL_Employees3[[#This Row],[Ethnicity]]="Black"), "Female_Black", "Others")</f>
        <v>Others</v>
      </c>
    </row>
    <row r="251" spans="1:17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6">
        <v>38004</v>
      </c>
      <c r="J251" s="54">
        <v>247939</v>
      </c>
      <c r="K251" s="1">
        <v>0.35</v>
      </c>
      <c r="L251" t="s">
        <v>52</v>
      </c>
      <c r="M251" t="s">
        <v>66</v>
      </c>
      <c r="N251" s="6" t="s">
        <v>21</v>
      </c>
      <c r="O251" s="54">
        <f>TBL_Employees3[[#This Row],[Annual Salary]]+TBL_Employees3[[#This Row],[Bonus %]]*TBL_Employees3[[#This Row],[Annual Salary]]</f>
        <v>334717.65000000002</v>
      </c>
      <c r="P251" t="str">
        <f>IF(AND(TBL_Employees3[[#This Row],[Department]]="IT",TBL_Employees3[[#This Row],[Gender]]="Female"),"Yes","No")</f>
        <v>No</v>
      </c>
      <c r="Q251" t="str">
        <f>IF(AND(TBL_Employees3[[#This Row],[Gender]]="Female",TBL_Employees3[[#This Row],[Ethnicity]]="Black"), "Female_Black", "Others")</f>
        <v>Others</v>
      </c>
    </row>
    <row r="252" spans="1:17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6">
        <v>42972</v>
      </c>
      <c r="J252" s="54">
        <v>169509</v>
      </c>
      <c r="K252" s="1">
        <v>0.18</v>
      </c>
      <c r="L252" t="s">
        <v>52</v>
      </c>
      <c r="M252" t="s">
        <v>81</v>
      </c>
      <c r="N252" s="6" t="s">
        <v>21</v>
      </c>
      <c r="O252" s="54">
        <f>TBL_Employees3[[#This Row],[Annual Salary]]+TBL_Employees3[[#This Row],[Bonus %]]*TBL_Employees3[[#This Row],[Annual Salary]]</f>
        <v>200020.62</v>
      </c>
      <c r="P252" t="str">
        <f>IF(AND(TBL_Employees3[[#This Row],[Department]]="IT",TBL_Employees3[[#This Row],[Gender]]="Female"),"Yes","No")</f>
        <v>No</v>
      </c>
      <c r="Q252" t="str">
        <f>IF(AND(TBL_Employees3[[#This Row],[Gender]]="Female",TBL_Employees3[[#This Row],[Ethnicity]]="Black"), "Female_Black", "Others")</f>
        <v>Others</v>
      </c>
    </row>
    <row r="253" spans="1:17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6">
        <v>40552</v>
      </c>
      <c r="J253" s="54">
        <v>138521</v>
      </c>
      <c r="K253" s="1">
        <v>0.1</v>
      </c>
      <c r="L253" t="s">
        <v>19</v>
      </c>
      <c r="M253" t="s">
        <v>45</v>
      </c>
      <c r="N253" s="6" t="s">
        <v>21</v>
      </c>
      <c r="O253" s="54">
        <f>TBL_Employees3[[#This Row],[Annual Salary]]+TBL_Employees3[[#This Row],[Bonus %]]*TBL_Employees3[[#This Row],[Annual Salary]]</f>
        <v>152373.1</v>
      </c>
      <c r="P253" t="str">
        <f>IF(AND(TBL_Employees3[[#This Row],[Department]]="IT",TBL_Employees3[[#This Row],[Gender]]="Female"),"Yes","No")</f>
        <v>No</v>
      </c>
      <c r="Q253" t="str">
        <f>IF(AND(TBL_Employees3[[#This Row],[Gender]]="Female",TBL_Employees3[[#This Row],[Ethnicity]]="Black"), "Female_Black", "Others")</f>
        <v>Others</v>
      </c>
    </row>
    <row r="254" spans="1:17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6">
        <v>41712</v>
      </c>
      <c r="J254" s="54">
        <v>113873</v>
      </c>
      <c r="K254" s="1">
        <v>0.11</v>
      </c>
      <c r="L254" t="s">
        <v>52</v>
      </c>
      <c r="M254" t="s">
        <v>66</v>
      </c>
      <c r="N254" s="6" t="s">
        <v>21</v>
      </c>
      <c r="O254" s="54">
        <f>TBL_Employees3[[#This Row],[Annual Salary]]+TBL_Employees3[[#This Row],[Bonus %]]*TBL_Employees3[[#This Row],[Annual Salary]]</f>
        <v>126399.03</v>
      </c>
      <c r="P254" t="str">
        <f>IF(AND(TBL_Employees3[[#This Row],[Department]]="IT",TBL_Employees3[[#This Row],[Gender]]="Female"),"Yes","No")</f>
        <v>No</v>
      </c>
      <c r="Q254" t="str">
        <f>IF(AND(TBL_Employees3[[#This Row],[Gender]]="Female",TBL_Employees3[[#This Row],[Ethnicity]]="Black"), "Female_Black", "Others")</f>
        <v>Others</v>
      </c>
    </row>
    <row r="255" spans="1:17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6">
        <v>43229</v>
      </c>
      <c r="J255" s="54">
        <v>73317</v>
      </c>
      <c r="K255" s="1">
        <v>0</v>
      </c>
      <c r="L255" t="s">
        <v>19</v>
      </c>
      <c r="M255" t="s">
        <v>45</v>
      </c>
      <c r="N255" s="6" t="s">
        <v>21</v>
      </c>
      <c r="O255" s="54">
        <f>TBL_Employees3[[#This Row],[Annual Salary]]+TBL_Employees3[[#This Row],[Bonus %]]*TBL_Employees3[[#This Row],[Annual Salary]]</f>
        <v>73317</v>
      </c>
      <c r="P255" t="str">
        <f>IF(AND(TBL_Employees3[[#This Row],[Department]]="IT",TBL_Employees3[[#This Row],[Gender]]="Female"),"Yes","No")</f>
        <v>Yes</v>
      </c>
      <c r="Q255" t="str">
        <f>IF(AND(TBL_Employees3[[#This Row],[Gender]]="Female",TBL_Employees3[[#This Row],[Ethnicity]]="Black"), "Female_Black", "Others")</f>
        <v>Female_Black</v>
      </c>
    </row>
    <row r="256" spans="1:17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6">
        <v>41451</v>
      </c>
      <c r="J256" s="54">
        <v>69096</v>
      </c>
      <c r="K256" s="1">
        <v>0</v>
      </c>
      <c r="L256" t="s">
        <v>19</v>
      </c>
      <c r="M256" t="s">
        <v>63</v>
      </c>
      <c r="N256" s="6" t="s">
        <v>21</v>
      </c>
      <c r="O256" s="54">
        <f>TBL_Employees3[[#This Row],[Annual Salary]]+TBL_Employees3[[#This Row],[Bonus %]]*TBL_Employees3[[#This Row],[Annual Salary]]</f>
        <v>69096</v>
      </c>
      <c r="P256" t="str">
        <f>IF(AND(TBL_Employees3[[#This Row],[Department]]="IT",TBL_Employees3[[#This Row],[Gender]]="Female"),"Yes","No")</f>
        <v>Yes</v>
      </c>
      <c r="Q256" t="str">
        <f>IF(AND(TBL_Employees3[[#This Row],[Gender]]="Female",TBL_Employees3[[#This Row],[Ethnicity]]="Black"), "Female_Black", "Others")</f>
        <v>Others</v>
      </c>
    </row>
    <row r="257" spans="1:17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6">
        <v>38454</v>
      </c>
      <c r="J257" s="54">
        <v>87158</v>
      </c>
      <c r="K257" s="1">
        <v>0</v>
      </c>
      <c r="L257" t="s">
        <v>52</v>
      </c>
      <c r="M257" t="s">
        <v>81</v>
      </c>
      <c r="N257" s="6" t="s">
        <v>21</v>
      </c>
      <c r="O257" s="54">
        <f>TBL_Employees3[[#This Row],[Annual Salary]]+TBL_Employees3[[#This Row],[Bonus %]]*TBL_Employees3[[#This Row],[Annual Salary]]</f>
        <v>87158</v>
      </c>
      <c r="P257" t="str">
        <f>IF(AND(TBL_Employees3[[#This Row],[Department]]="IT",TBL_Employees3[[#This Row],[Gender]]="Female"),"Yes","No")</f>
        <v>No</v>
      </c>
      <c r="Q257" t="str">
        <f>IF(AND(TBL_Employees3[[#This Row],[Gender]]="Female",TBL_Employees3[[#This Row],[Ethnicity]]="Black"), "Female_Black", "Others")</f>
        <v>Others</v>
      </c>
    </row>
    <row r="258" spans="1:17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6">
        <v>33875</v>
      </c>
      <c r="J258" s="54">
        <v>70778</v>
      </c>
      <c r="K258" s="1">
        <v>0</v>
      </c>
      <c r="L258" t="s">
        <v>19</v>
      </c>
      <c r="M258" t="s">
        <v>25</v>
      </c>
      <c r="N258" s="6" t="s">
        <v>21</v>
      </c>
      <c r="O258" s="54">
        <f>TBL_Employees3[[#This Row],[Annual Salary]]+TBL_Employees3[[#This Row],[Bonus %]]*TBL_Employees3[[#This Row],[Annual Salary]]</f>
        <v>70778</v>
      </c>
      <c r="P258" t="str">
        <f>IF(AND(TBL_Employees3[[#This Row],[Department]]="IT",TBL_Employees3[[#This Row],[Gender]]="Female"),"Yes","No")</f>
        <v>No</v>
      </c>
      <c r="Q258" t="str">
        <f>IF(AND(TBL_Employees3[[#This Row],[Gender]]="Female",TBL_Employees3[[#This Row],[Ethnicity]]="Black"), "Female_Black", "Others")</f>
        <v>Others</v>
      </c>
    </row>
    <row r="259" spans="1:17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6">
        <v>38130</v>
      </c>
      <c r="J259" s="54">
        <v>153938</v>
      </c>
      <c r="K259" s="1">
        <v>0.2</v>
      </c>
      <c r="L259" t="s">
        <v>19</v>
      </c>
      <c r="M259" t="s">
        <v>39</v>
      </c>
      <c r="N259" s="6" t="s">
        <v>21</v>
      </c>
      <c r="O259" s="54">
        <f>TBL_Employees3[[#This Row],[Annual Salary]]+TBL_Employees3[[#This Row],[Bonus %]]*TBL_Employees3[[#This Row],[Annual Salary]]</f>
        <v>184725.6</v>
      </c>
      <c r="P259" t="str">
        <f>IF(AND(TBL_Employees3[[#This Row],[Department]]="IT",TBL_Employees3[[#This Row],[Gender]]="Female"),"Yes","No")</f>
        <v>No</v>
      </c>
      <c r="Q259" t="str">
        <f>IF(AND(TBL_Employees3[[#This Row],[Gender]]="Female",TBL_Employees3[[#This Row],[Ethnicity]]="Black"), "Female_Black", "Others")</f>
        <v>Others</v>
      </c>
    </row>
    <row r="260" spans="1:17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6">
        <v>43224</v>
      </c>
      <c r="J260" s="54">
        <v>59888</v>
      </c>
      <c r="K260" s="1">
        <v>0</v>
      </c>
      <c r="L260" t="s">
        <v>33</v>
      </c>
      <c r="M260" t="s">
        <v>60</v>
      </c>
      <c r="N260" s="6" t="s">
        <v>21</v>
      </c>
      <c r="O260" s="54">
        <f>TBL_Employees3[[#This Row],[Annual Salary]]+TBL_Employees3[[#This Row],[Bonus %]]*TBL_Employees3[[#This Row],[Annual Salary]]</f>
        <v>59888</v>
      </c>
      <c r="P260" t="str">
        <f>IF(AND(TBL_Employees3[[#This Row],[Department]]="IT",TBL_Employees3[[#This Row],[Gender]]="Female"),"Yes","No")</f>
        <v>No</v>
      </c>
      <c r="Q260" t="str">
        <f>IF(AND(TBL_Employees3[[#This Row],[Gender]]="Female",TBL_Employees3[[#This Row],[Ethnicity]]="Black"), "Female_Black", "Others")</f>
        <v>Others</v>
      </c>
    </row>
    <row r="261" spans="1:17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6">
        <v>43447</v>
      </c>
      <c r="J261" s="54">
        <v>63098</v>
      </c>
      <c r="K261" s="1">
        <v>0</v>
      </c>
      <c r="L261" t="s">
        <v>19</v>
      </c>
      <c r="M261" t="s">
        <v>29</v>
      </c>
      <c r="N261" s="6" t="s">
        <v>21</v>
      </c>
      <c r="O261" s="54">
        <f>TBL_Employees3[[#This Row],[Annual Salary]]+TBL_Employees3[[#This Row],[Bonus %]]*TBL_Employees3[[#This Row],[Annual Salary]]</f>
        <v>63098</v>
      </c>
      <c r="P261" t="str">
        <f>IF(AND(TBL_Employees3[[#This Row],[Department]]="IT",TBL_Employees3[[#This Row],[Gender]]="Female"),"Yes","No")</f>
        <v>No</v>
      </c>
      <c r="Q261" t="str">
        <f>IF(AND(TBL_Employees3[[#This Row],[Gender]]="Female",TBL_Employees3[[#This Row],[Ethnicity]]="Black"), "Female_Black", "Others")</f>
        <v>Others</v>
      </c>
    </row>
    <row r="262" spans="1:17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6">
        <v>44545</v>
      </c>
      <c r="J262" s="54">
        <v>255369</v>
      </c>
      <c r="K262" s="1">
        <v>0.33</v>
      </c>
      <c r="L262" t="s">
        <v>52</v>
      </c>
      <c r="M262" t="s">
        <v>53</v>
      </c>
      <c r="N262" s="6" t="s">
        <v>21</v>
      </c>
      <c r="O262" s="54">
        <f>TBL_Employees3[[#This Row],[Annual Salary]]+TBL_Employees3[[#This Row],[Bonus %]]*TBL_Employees3[[#This Row],[Annual Salary]]</f>
        <v>339640.77</v>
      </c>
      <c r="P262" t="str">
        <f>IF(AND(TBL_Employees3[[#This Row],[Department]]="IT",TBL_Employees3[[#This Row],[Gender]]="Female"),"Yes","No")</f>
        <v>No</v>
      </c>
      <c r="Q262" t="str">
        <f>IF(AND(TBL_Employees3[[#This Row],[Gender]]="Female",TBL_Employees3[[#This Row],[Ethnicity]]="Black"), "Female_Black", "Others")</f>
        <v>Others</v>
      </c>
    </row>
    <row r="263" spans="1:17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6">
        <v>38301</v>
      </c>
      <c r="J263" s="54">
        <v>142318</v>
      </c>
      <c r="K263" s="1">
        <v>0.14000000000000001</v>
      </c>
      <c r="L263" t="s">
        <v>19</v>
      </c>
      <c r="M263" t="s">
        <v>20</v>
      </c>
      <c r="N263" s="6" t="s">
        <v>21</v>
      </c>
      <c r="O263" s="54">
        <f>TBL_Employees3[[#This Row],[Annual Salary]]+TBL_Employees3[[#This Row],[Bonus %]]*TBL_Employees3[[#This Row],[Annual Salary]]</f>
        <v>162242.51999999999</v>
      </c>
      <c r="P263" t="str">
        <f>IF(AND(TBL_Employees3[[#This Row],[Department]]="IT",TBL_Employees3[[#This Row],[Gender]]="Female"),"Yes","No")</f>
        <v>No</v>
      </c>
      <c r="Q263" t="str">
        <f>IF(AND(TBL_Employees3[[#This Row],[Gender]]="Female",TBL_Employees3[[#This Row],[Ethnicity]]="Black"), "Female_Black", "Others")</f>
        <v>Female_Black</v>
      </c>
    </row>
    <row r="264" spans="1:17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6">
        <v>38219</v>
      </c>
      <c r="J264" s="54">
        <v>49186</v>
      </c>
      <c r="K264" s="1">
        <v>0</v>
      </c>
      <c r="L264" t="s">
        <v>19</v>
      </c>
      <c r="M264" t="s">
        <v>25</v>
      </c>
      <c r="N264" s="6">
        <v>39616</v>
      </c>
      <c r="O264" s="54">
        <f>TBL_Employees3[[#This Row],[Annual Salary]]+TBL_Employees3[[#This Row],[Bonus %]]*TBL_Employees3[[#This Row],[Annual Salary]]</f>
        <v>49186</v>
      </c>
      <c r="P264" t="str">
        <f>IF(AND(TBL_Employees3[[#This Row],[Department]]="IT",TBL_Employees3[[#This Row],[Gender]]="Female"),"Yes","No")</f>
        <v>No</v>
      </c>
      <c r="Q264" t="str">
        <f>IF(AND(TBL_Employees3[[#This Row],[Gender]]="Female",TBL_Employees3[[#This Row],[Ethnicity]]="Black"), "Female_Black", "Others")</f>
        <v>Others</v>
      </c>
    </row>
    <row r="265" spans="1:17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6">
        <v>43673</v>
      </c>
      <c r="J265" s="54">
        <v>220937</v>
      </c>
      <c r="K265" s="1">
        <v>0.38</v>
      </c>
      <c r="L265" t="s">
        <v>19</v>
      </c>
      <c r="M265" t="s">
        <v>25</v>
      </c>
      <c r="N265" s="6" t="s">
        <v>21</v>
      </c>
      <c r="O265" s="54">
        <f>TBL_Employees3[[#This Row],[Annual Salary]]+TBL_Employees3[[#This Row],[Bonus %]]*TBL_Employees3[[#This Row],[Annual Salary]]</f>
        <v>304893.06</v>
      </c>
      <c r="P265" t="str">
        <f>IF(AND(TBL_Employees3[[#This Row],[Department]]="IT",TBL_Employees3[[#This Row],[Gender]]="Female"),"Yes","No")</f>
        <v>No</v>
      </c>
      <c r="Q265" t="str">
        <f>IF(AND(TBL_Employees3[[#This Row],[Gender]]="Female",TBL_Employees3[[#This Row],[Ethnicity]]="Black"), "Female_Black", "Others")</f>
        <v>Female_Black</v>
      </c>
    </row>
    <row r="266" spans="1:17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6">
        <v>41208</v>
      </c>
      <c r="J266" s="54">
        <v>183156</v>
      </c>
      <c r="K266" s="1">
        <v>0.3</v>
      </c>
      <c r="L266" t="s">
        <v>19</v>
      </c>
      <c r="M266" t="s">
        <v>63</v>
      </c>
      <c r="N266" s="6" t="s">
        <v>21</v>
      </c>
      <c r="O266" s="54">
        <f>TBL_Employees3[[#This Row],[Annual Salary]]+TBL_Employees3[[#This Row],[Bonus %]]*TBL_Employees3[[#This Row],[Annual Salary]]</f>
        <v>238102.8</v>
      </c>
      <c r="P266" t="str">
        <f>IF(AND(TBL_Employees3[[#This Row],[Department]]="IT",TBL_Employees3[[#This Row],[Gender]]="Female"),"Yes","No")</f>
        <v>Yes</v>
      </c>
      <c r="Q266" t="str">
        <f>IF(AND(TBL_Employees3[[#This Row],[Gender]]="Female",TBL_Employees3[[#This Row],[Ethnicity]]="Black"), "Female_Black", "Others")</f>
        <v>Others</v>
      </c>
    </row>
    <row r="267" spans="1:17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6">
        <v>44034</v>
      </c>
      <c r="J267" s="54">
        <v>192749</v>
      </c>
      <c r="K267" s="1">
        <v>0.31</v>
      </c>
      <c r="L267" t="s">
        <v>19</v>
      </c>
      <c r="M267" t="s">
        <v>20</v>
      </c>
      <c r="N267" s="6" t="s">
        <v>21</v>
      </c>
      <c r="O267" s="54">
        <f>TBL_Employees3[[#This Row],[Annual Salary]]+TBL_Employees3[[#This Row],[Bonus %]]*TBL_Employees3[[#This Row],[Annual Salary]]</f>
        <v>252501.19</v>
      </c>
      <c r="P267" t="str">
        <f>IF(AND(TBL_Employees3[[#This Row],[Department]]="IT",TBL_Employees3[[#This Row],[Gender]]="Female"),"Yes","No")</f>
        <v>Yes</v>
      </c>
      <c r="Q267" t="str">
        <f>IF(AND(TBL_Employees3[[#This Row],[Gender]]="Female",TBL_Employees3[[#This Row],[Ethnicity]]="Black"), "Female_Black", "Others")</f>
        <v>Others</v>
      </c>
    </row>
    <row r="268" spans="1:17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6">
        <v>42819</v>
      </c>
      <c r="J268" s="54">
        <v>135325</v>
      </c>
      <c r="K268" s="1">
        <v>0.14000000000000001</v>
      </c>
      <c r="L268" t="s">
        <v>19</v>
      </c>
      <c r="M268" t="s">
        <v>39</v>
      </c>
      <c r="N268" s="6" t="s">
        <v>21</v>
      </c>
      <c r="O268" s="54">
        <f>TBL_Employees3[[#This Row],[Annual Salary]]+TBL_Employees3[[#This Row],[Bonus %]]*TBL_Employees3[[#This Row],[Annual Salary]]</f>
        <v>154270.5</v>
      </c>
      <c r="P268" t="str">
        <f>IF(AND(TBL_Employees3[[#This Row],[Department]]="IT",TBL_Employees3[[#This Row],[Gender]]="Female"),"Yes","No")</f>
        <v>Yes</v>
      </c>
      <c r="Q268" t="str">
        <f>IF(AND(TBL_Employees3[[#This Row],[Gender]]="Female",TBL_Employees3[[#This Row],[Ethnicity]]="Black"), "Female_Black", "Others")</f>
        <v>Others</v>
      </c>
    </row>
    <row r="269" spans="1:17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6">
        <v>43752</v>
      </c>
      <c r="J269" s="54">
        <v>79356</v>
      </c>
      <c r="K269" s="1">
        <v>0</v>
      </c>
      <c r="L269" t="s">
        <v>19</v>
      </c>
      <c r="M269" t="s">
        <v>39</v>
      </c>
      <c r="N269" s="6" t="s">
        <v>21</v>
      </c>
      <c r="O269" s="54">
        <f>TBL_Employees3[[#This Row],[Annual Salary]]+TBL_Employees3[[#This Row],[Bonus %]]*TBL_Employees3[[#This Row],[Annual Salary]]</f>
        <v>79356</v>
      </c>
      <c r="P269" t="str">
        <f>IF(AND(TBL_Employees3[[#This Row],[Department]]="IT",TBL_Employees3[[#This Row],[Gender]]="Female"),"Yes","No")</f>
        <v>No</v>
      </c>
      <c r="Q269" t="str">
        <f>IF(AND(TBL_Employees3[[#This Row],[Gender]]="Female",TBL_Employees3[[#This Row],[Ethnicity]]="Black"), "Female_Black", "Others")</f>
        <v>Others</v>
      </c>
    </row>
    <row r="270" spans="1:17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6">
        <v>38540</v>
      </c>
      <c r="J270" s="54">
        <v>74412</v>
      </c>
      <c r="K270" s="1">
        <v>0</v>
      </c>
      <c r="L270" t="s">
        <v>19</v>
      </c>
      <c r="M270" t="s">
        <v>63</v>
      </c>
      <c r="N270" s="6" t="s">
        <v>21</v>
      </c>
      <c r="O270" s="54">
        <f>TBL_Employees3[[#This Row],[Annual Salary]]+TBL_Employees3[[#This Row],[Bonus %]]*TBL_Employees3[[#This Row],[Annual Salary]]</f>
        <v>74412</v>
      </c>
      <c r="P270" t="str">
        <f>IF(AND(TBL_Employees3[[#This Row],[Department]]="IT",TBL_Employees3[[#This Row],[Gender]]="Female"),"Yes","No")</f>
        <v>No</v>
      </c>
      <c r="Q270" t="str">
        <f>IF(AND(TBL_Employees3[[#This Row],[Gender]]="Female",TBL_Employees3[[#This Row],[Ethnicity]]="Black"), "Female_Black", "Others")</f>
        <v>Others</v>
      </c>
    </row>
    <row r="271" spans="1:17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6">
        <v>43010</v>
      </c>
      <c r="J271" s="54">
        <v>61886</v>
      </c>
      <c r="K271" s="1">
        <v>0.09</v>
      </c>
      <c r="L271" t="s">
        <v>52</v>
      </c>
      <c r="M271" t="s">
        <v>66</v>
      </c>
      <c r="N271" s="6" t="s">
        <v>21</v>
      </c>
      <c r="O271" s="54">
        <f>TBL_Employees3[[#This Row],[Annual Salary]]+TBL_Employees3[[#This Row],[Bonus %]]*TBL_Employees3[[#This Row],[Annual Salary]]</f>
        <v>67455.740000000005</v>
      </c>
      <c r="P271" t="str">
        <f>IF(AND(TBL_Employees3[[#This Row],[Department]]="IT",TBL_Employees3[[#This Row],[Gender]]="Female"),"Yes","No")</f>
        <v>Yes</v>
      </c>
      <c r="Q271" t="str">
        <f>IF(AND(TBL_Employees3[[#This Row],[Gender]]="Female",TBL_Employees3[[#This Row],[Ethnicity]]="Black"), "Female_Black", "Others")</f>
        <v>Others</v>
      </c>
    </row>
    <row r="272" spans="1:17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6">
        <v>37755</v>
      </c>
      <c r="J272" s="54">
        <v>173071</v>
      </c>
      <c r="K272" s="1">
        <v>0.28999999999999998</v>
      </c>
      <c r="L272" t="s">
        <v>19</v>
      </c>
      <c r="M272" t="s">
        <v>29</v>
      </c>
      <c r="N272" s="6" t="s">
        <v>21</v>
      </c>
      <c r="O272" s="54">
        <f>TBL_Employees3[[#This Row],[Annual Salary]]+TBL_Employees3[[#This Row],[Bonus %]]*TBL_Employees3[[#This Row],[Annual Salary]]</f>
        <v>223261.59</v>
      </c>
      <c r="P272" t="str">
        <f>IF(AND(TBL_Employees3[[#This Row],[Department]]="IT",TBL_Employees3[[#This Row],[Gender]]="Female"),"Yes","No")</f>
        <v>No</v>
      </c>
      <c r="Q272" t="str">
        <f>IF(AND(TBL_Employees3[[#This Row],[Gender]]="Female",TBL_Employees3[[#This Row],[Ethnicity]]="Black"), "Female_Black", "Others")</f>
        <v>Others</v>
      </c>
    </row>
    <row r="273" spans="1:17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6">
        <v>34999</v>
      </c>
      <c r="J273" s="54">
        <v>70189</v>
      </c>
      <c r="K273" s="1">
        <v>0</v>
      </c>
      <c r="L273" t="s">
        <v>19</v>
      </c>
      <c r="M273" t="s">
        <v>29</v>
      </c>
      <c r="N273" s="6" t="s">
        <v>21</v>
      </c>
      <c r="O273" s="54">
        <f>TBL_Employees3[[#This Row],[Annual Salary]]+TBL_Employees3[[#This Row],[Bonus %]]*TBL_Employees3[[#This Row],[Annual Salary]]</f>
        <v>70189</v>
      </c>
      <c r="P273" t="str">
        <f>IF(AND(TBL_Employees3[[#This Row],[Department]]="IT",TBL_Employees3[[#This Row],[Gender]]="Female"),"Yes","No")</f>
        <v>No</v>
      </c>
      <c r="Q273" t="str">
        <f>IF(AND(TBL_Employees3[[#This Row],[Gender]]="Female",TBL_Employees3[[#This Row],[Ethnicity]]="Black"), "Female_Black", "Others")</f>
        <v>Others</v>
      </c>
    </row>
    <row r="274" spans="1:17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6">
        <v>41528</v>
      </c>
      <c r="J274" s="54">
        <v>181452</v>
      </c>
      <c r="K274" s="1">
        <v>0.3</v>
      </c>
      <c r="L274" t="s">
        <v>19</v>
      </c>
      <c r="M274" t="s">
        <v>29</v>
      </c>
      <c r="N274" s="6" t="s">
        <v>21</v>
      </c>
      <c r="O274" s="54">
        <f>TBL_Employees3[[#This Row],[Annual Salary]]+TBL_Employees3[[#This Row],[Bonus %]]*TBL_Employees3[[#This Row],[Annual Salary]]</f>
        <v>235887.6</v>
      </c>
      <c r="P274" t="str">
        <f>IF(AND(TBL_Employees3[[#This Row],[Department]]="IT",TBL_Employees3[[#This Row],[Gender]]="Female"),"Yes","No")</f>
        <v>No</v>
      </c>
      <c r="Q274" t="str">
        <f>IF(AND(TBL_Employees3[[#This Row],[Gender]]="Female",TBL_Employees3[[#This Row],[Ethnicity]]="Black"), "Female_Black", "Others")</f>
        <v>Others</v>
      </c>
    </row>
    <row r="275" spans="1:17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6">
        <v>44267</v>
      </c>
      <c r="J275" s="54">
        <v>70369</v>
      </c>
      <c r="K275" s="1">
        <v>0</v>
      </c>
      <c r="L275" t="s">
        <v>19</v>
      </c>
      <c r="M275" t="s">
        <v>63</v>
      </c>
      <c r="N275" s="6" t="s">
        <v>21</v>
      </c>
      <c r="O275" s="54">
        <f>TBL_Employees3[[#This Row],[Annual Salary]]+TBL_Employees3[[#This Row],[Bonus %]]*TBL_Employees3[[#This Row],[Annual Salary]]</f>
        <v>70369</v>
      </c>
      <c r="P275" t="str">
        <f>IF(AND(TBL_Employees3[[#This Row],[Department]]="IT",TBL_Employees3[[#This Row],[Gender]]="Female"),"Yes","No")</f>
        <v>No</v>
      </c>
      <c r="Q275" t="str">
        <f>IF(AND(TBL_Employees3[[#This Row],[Gender]]="Female",TBL_Employees3[[#This Row],[Ethnicity]]="Black"), "Female_Black", "Others")</f>
        <v>Others</v>
      </c>
    </row>
    <row r="276" spans="1:17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6">
        <v>39634</v>
      </c>
      <c r="J276" s="54">
        <v>78056</v>
      </c>
      <c r="K276" s="1">
        <v>0</v>
      </c>
      <c r="L276" t="s">
        <v>52</v>
      </c>
      <c r="M276" t="s">
        <v>53</v>
      </c>
      <c r="N276" s="6" t="s">
        <v>21</v>
      </c>
      <c r="O276" s="54">
        <f>TBL_Employees3[[#This Row],[Annual Salary]]+TBL_Employees3[[#This Row],[Bonus %]]*TBL_Employees3[[#This Row],[Annual Salary]]</f>
        <v>78056</v>
      </c>
      <c r="P276" t="str">
        <f>IF(AND(TBL_Employees3[[#This Row],[Department]]="IT",TBL_Employees3[[#This Row],[Gender]]="Female"),"Yes","No")</f>
        <v>No</v>
      </c>
      <c r="Q276" t="str">
        <f>IF(AND(TBL_Employees3[[#This Row],[Gender]]="Female",TBL_Employees3[[#This Row],[Ethnicity]]="Black"), "Female_Black", "Others")</f>
        <v>Others</v>
      </c>
    </row>
    <row r="277" spans="1:17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6">
        <v>35187</v>
      </c>
      <c r="J277" s="54">
        <v>189933</v>
      </c>
      <c r="K277" s="1">
        <v>0.23</v>
      </c>
      <c r="L277" t="s">
        <v>19</v>
      </c>
      <c r="M277" t="s">
        <v>45</v>
      </c>
      <c r="N277" s="6" t="s">
        <v>21</v>
      </c>
      <c r="O277" s="54">
        <f>TBL_Employees3[[#This Row],[Annual Salary]]+TBL_Employees3[[#This Row],[Bonus %]]*TBL_Employees3[[#This Row],[Annual Salary]]</f>
        <v>233617.59</v>
      </c>
      <c r="P277" t="str">
        <f>IF(AND(TBL_Employees3[[#This Row],[Department]]="IT",TBL_Employees3[[#This Row],[Gender]]="Female"),"Yes","No")</f>
        <v>No</v>
      </c>
      <c r="Q277" t="str">
        <f>IF(AND(TBL_Employees3[[#This Row],[Gender]]="Female",TBL_Employees3[[#This Row],[Ethnicity]]="Black"), "Female_Black", "Others")</f>
        <v>Others</v>
      </c>
    </row>
    <row r="278" spans="1:17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6">
        <v>40360</v>
      </c>
      <c r="J278" s="54">
        <v>78237</v>
      </c>
      <c r="K278" s="1">
        <v>0</v>
      </c>
      <c r="L278" t="s">
        <v>19</v>
      </c>
      <c r="M278" t="s">
        <v>39</v>
      </c>
      <c r="N278" s="6" t="s">
        <v>21</v>
      </c>
      <c r="O278" s="54">
        <f>TBL_Employees3[[#This Row],[Annual Salary]]+TBL_Employees3[[#This Row],[Bonus %]]*TBL_Employees3[[#This Row],[Annual Salary]]</f>
        <v>78237</v>
      </c>
      <c r="P278" t="str">
        <f>IF(AND(TBL_Employees3[[#This Row],[Department]]="IT",TBL_Employees3[[#This Row],[Gender]]="Female"),"Yes","No")</f>
        <v>No</v>
      </c>
      <c r="Q278" t="str">
        <f>IF(AND(TBL_Employees3[[#This Row],[Gender]]="Female",TBL_Employees3[[#This Row],[Ethnicity]]="Black"), "Female_Black", "Others")</f>
        <v>Others</v>
      </c>
    </row>
    <row r="279" spans="1:17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6">
        <v>35242</v>
      </c>
      <c r="J279" s="54">
        <v>48687</v>
      </c>
      <c r="K279" s="1">
        <v>0</v>
      </c>
      <c r="L279" t="s">
        <v>52</v>
      </c>
      <c r="M279" t="s">
        <v>66</v>
      </c>
      <c r="N279" s="6" t="s">
        <v>21</v>
      </c>
      <c r="O279" s="54">
        <f>TBL_Employees3[[#This Row],[Annual Salary]]+TBL_Employees3[[#This Row],[Bonus %]]*TBL_Employees3[[#This Row],[Annual Salary]]</f>
        <v>48687</v>
      </c>
      <c r="P279" t="str">
        <f>IF(AND(TBL_Employees3[[#This Row],[Department]]="IT",TBL_Employees3[[#This Row],[Gender]]="Female"),"Yes","No")</f>
        <v>No</v>
      </c>
      <c r="Q279" t="str">
        <f>IF(AND(TBL_Employees3[[#This Row],[Gender]]="Female",TBL_Employees3[[#This Row],[Ethnicity]]="Black"), "Female_Black", "Others")</f>
        <v>Others</v>
      </c>
    </row>
    <row r="280" spans="1:17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6">
        <v>38218</v>
      </c>
      <c r="J280" s="54">
        <v>121065</v>
      </c>
      <c r="K280" s="1">
        <v>0.15</v>
      </c>
      <c r="L280" t="s">
        <v>52</v>
      </c>
      <c r="M280" t="s">
        <v>66</v>
      </c>
      <c r="N280" s="6" t="s">
        <v>21</v>
      </c>
      <c r="O280" s="54">
        <f>TBL_Employees3[[#This Row],[Annual Salary]]+TBL_Employees3[[#This Row],[Bonus %]]*TBL_Employees3[[#This Row],[Annual Salary]]</f>
        <v>139224.75</v>
      </c>
      <c r="P280" t="str">
        <f>IF(AND(TBL_Employees3[[#This Row],[Department]]="IT",TBL_Employees3[[#This Row],[Gender]]="Female"),"Yes","No")</f>
        <v>No</v>
      </c>
      <c r="Q280" t="str">
        <f>IF(AND(TBL_Employees3[[#This Row],[Gender]]="Female",TBL_Employees3[[#This Row],[Ethnicity]]="Black"), "Female_Black", "Others")</f>
        <v>Others</v>
      </c>
    </row>
    <row r="281" spans="1:17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6">
        <v>38093</v>
      </c>
      <c r="J281" s="54">
        <v>94246</v>
      </c>
      <c r="K281" s="1">
        <v>0</v>
      </c>
      <c r="L281" t="s">
        <v>19</v>
      </c>
      <c r="M281" t="s">
        <v>25</v>
      </c>
      <c r="N281" s="6" t="s">
        <v>21</v>
      </c>
      <c r="O281" s="54">
        <f>TBL_Employees3[[#This Row],[Annual Salary]]+TBL_Employees3[[#This Row],[Bonus %]]*TBL_Employees3[[#This Row],[Annual Salary]]</f>
        <v>94246</v>
      </c>
      <c r="P281" t="str">
        <f>IF(AND(TBL_Employees3[[#This Row],[Department]]="IT",TBL_Employees3[[#This Row],[Gender]]="Female"),"Yes","No")</f>
        <v>No</v>
      </c>
      <c r="Q281" t="str">
        <f>IF(AND(TBL_Employees3[[#This Row],[Gender]]="Female",TBL_Employees3[[#This Row],[Ethnicity]]="Black"), "Female_Black", "Others")</f>
        <v>Others</v>
      </c>
    </row>
    <row r="282" spans="1:17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6">
        <v>42512</v>
      </c>
      <c r="J282" s="54">
        <v>44614</v>
      </c>
      <c r="K282" s="1">
        <v>0</v>
      </c>
      <c r="L282" t="s">
        <v>19</v>
      </c>
      <c r="M282" t="s">
        <v>45</v>
      </c>
      <c r="N282" s="6" t="s">
        <v>21</v>
      </c>
      <c r="O282" s="54">
        <f>TBL_Employees3[[#This Row],[Annual Salary]]+TBL_Employees3[[#This Row],[Bonus %]]*TBL_Employees3[[#This Row],[Annual Salary]]</f>
        <v>44614</v>
      </c>
      <c r="P282" t="str">
        <f>IF(AND(TBL_Employees3[[#This Row],[Department]]="IT",TBL_Employees3[[#This Row],[Gender]]="Female"),"Yes","No")</f>
        <v>Yes</v>
      </c>
      <c r="Q282" t="str">
        <f>IF(AND(TBL_Employees3[[#This Row],[Gender]]="Female",TBL_Employees3[[#This Row],[Ethnicity]]="Black"), "Female_Black", "Others")</f>
        <v>Others</v>
      </c>
    </row>
    <row r="283" spans="1:17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6">
        <v>44143</v>
      </c>
      <c r="J283" s="54">
        <v>234469</v>
      </c>
      <c r="K283" s="1">
        <v>0.31</v>
      </c>
      <c r="L283" t="s">
        <v>33</v>
      </c>
      <c r="M283" t="s">
        <v>34</v>
      </c>
      <c r="N283" s="6" t="s">
        <v>21</v>
      </c>
      <c r="O283" s="54">
        <f>TBL_Employees3[[#This Row],[Annual Salary]]+TBL_Employees3[[#This Row],[Bonus %]]*TBL_Employees3[[#This Row],[Annual Salary]]</f>
        <v>307154.39</v>
      </c>
      <c r="P283" t="str">
        <f>IF(AND(TBL_Employees3[[#This Row],[Department]]="IT",TBL_Employees3[[#This Row],[Gender]]="Female"),"Yes","No")</f>
        <v>No</v>
      </c>
      <c r="Q283" t="str">
        <f>IF(AND(TBL_Employees3[[#This Row],[Gender]]="Female",TBL_Employees3[[#This Row],[Ethnicity]]="Black"), "Female_Black", "Others")</f>
        <v>Others</v>
      </c>
    </row>
    <row r="284" spans="1:17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6">
        <v>44022</v>
      </c>
      <c r="J284" s="54">
        <v>88272</v>
      </c>
      <c r="K284" s="1">
        <v>0</v>
      </c>
      <c r="L284" t="s">
        <v>52</v>
      </c>
      <c r="M284" t="s">
        <v>53</v>
      </c>
      <c r="N284" s="6" t="s">
        <v>21</v>
      </c>
      <c r="O284" s="54">
        <f>TBL_Employees3[[#This Row],[Annual Salary]]+TBL_Employees3[[#This Row],[Bonus %]]*TBL_Employees3[[#This Row],[Annual Salary]]</f>
        <v>88272</v>
      </c>
      <c r="P284" t="str">
        <f>IF(AND(TBL_Employees3[[#This Row],[Department]]="IT",TBL_Employees3[[#This Row],[Gender]]="Female"),"Yes","No")</f>
        <v>No</v>
      </c>
      <c r="Q284" t="str">
        <f>IF(AND(TBL_Employees3[[#This Row],[Gender]]="Female",TBL_Employees3[[#This Row],[Ethnicity]]="Black"), "Female_Black", "Others")</f>
        <v>Others</v>
      </c>
    </row>
    <row r="285" spans="1:17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6">
        <v>42992</v>
      </c>
      <c r="J285" s="54">
        <v>74449</v>
      </c>
      <c r="K285" s="1">
        <v>0</v>
      </c>
      <c r="L285" t="s">
        <v>33</v>
      </c>
      <c r="M285" t="s">
        <v>60</v>
      </c>
      <c r="N285" s="6" t="s">
        <v>21</v>
      </c>
      <c r="O285" s="54">
        <f>TBL_Employees3[[#This Row],[Annual Salary]]+TBL_Employees3[[#This Row],[Bonus %]]*TBL_Employees3[[#This Row],[Annual Salary]]</f>
        <v>74449</v>
      </c>
      <c r="P285" t="str">
        <f>IF(AND(TBL_Employees3[[#This Row],[Department]]="IT",TBL_Employees3[[#This Row],[Gender]]="Female"),"Yes","No")</f>
        <v>No</v>
      </c>
      <c r="Q285" t="str">
        <f>IF(AND(TBL_Employees3[[#This Row],[Gender]]="Female",TBL_Employees3[[#This Row],[Ethnicity]]="Black"), "Female_Black", "Others")</f>
        <v>Others</v>
      </c>
    </row>
    <row r="286" spans="1:17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6">
        <v>41071</v>
      </c>
      <c r="J286" s="54">
        <v>222941</v>
      </c>
      <c r="K286" s="1">
        <v>0.39</v>
      </c>
      <c r="L286" t="s">
        <v>33</v>
      </c>
      <c r="M286" t="s">
        <v>60</v>
      </c>
      <c r="N286" s="6" t="s">
        <v>21</v>
      </c>
      <c r="O286" s="54">
        <f>TBL_Employees3[[#This Row],[Annual Salary]]+TBL_Employees3[[#This Row],[Bonus %]]*TBL_Employees3[[#This Row],[Annual Salary]]</f>
        <v>309887.99</v>
      </c>
      <c r="P286" t="str">
        <f>IF(AND(TBL_Employees3[[#This Row],[Department]]="IT",TBL_Employees3[[#This Row],[Gender]]="Female"),"Yes","No")</f>
        <v>No</v>
      </c>
      <c r="Q286" t="str">
        <f>IF(AND(TBL_Employees3[[#This Row],[Gender]]="Female",TBL_Employees3[[#This Row],[Ethnicity]]="Black"), "Female_Black", "Others")</f>
        <v>Others</v>
      </c>
    </row>
    <row r="287" spans="1:17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6">
        <v>41543</v>
      </c>
      <c r="J287" s="54">
        <v>50341</v>
      </c>
      <c r="K287" s="1">
        <v>0</v>
      </c>
      <c r="L287" t="s">
        <v>33</v>
      </c>
      <c r="M287" t="s">
        <v>60</v>
      </c>
      <c r="N287" s="6" t="s">
        <v>21</v>
      </c>
      <c r="O287" s="54">
        <f>TBL_Employees3[[#This Row],[Annual Salary]]+TBL_Employees3[[#This Row],[Bonus %]]*TBL_Employees3[[#This Row],[Annual Salary]]</f>
        <v>50341</v>
      </c>
      <c r="P287" t="str">
        <f>IF(AND(TBL_Employees3[[#This Row],[Department]]="IT",TBL_Employees3[[#This Row],[Gender]]="Female"),"Yes","No")</f>
        <v>No</v>
      </c>
      <c r="Q287" t="str">
        <f>IF(AND(TBL_Employees3[[#This Row],[Gender]]="Female",TBL_Employees3[[#This Row],[Ethnicity]]="Black"), "Female_Black", "Others")</f>
        <v>Others</v>
      </c>
    </row>
    <row r="288" spans="1:17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6">
        <v>44297</v>
      </c>
      <c r="J288" s="54">
        <v>72235</v>
      </c>
      <c r="K288" s="1">
        <v>0</v>
      </c>
      <c r="L288" t="s">
        <v>52</v>
      </c>
      <c r="M288" t="s">
        <v>81</v>
      </c>
      <c r="N288" s="6" t="s">
        <v>21</v>
      </c>
      <c r="O288" s="54">
        <f>TBL_Employees3[[#This Row],[Annual Salary]]+TBL_Employees3[[#This Row],[Bonus %]]*TBL_Employees3[[#This Row],[Annual Salary]]</f>
        <v>72235</v>
      </c>
      <c r="P288" t="str">
        <f>IF(AND(TBL_Employees3[[#This Row],[Department]]="IT",TBL_Employees3[[#This Row],[Gender]]="Female"),"Yes","No")</f>
        <v>No</v>
      </c>
      <c r="Q288" t="str">
        <f>IF(AND(TBL_Employees3[[#This Row],[Gender]]="Female",TBL_Employees3[[#This Row],[Ethnicity]]="Black"), "Female_Black", "Others")</f>
        <v>Others</v>
      </c>
    </row>
    <row r="289" spans="1:17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6">
        <v>42533</v>
      </c>
      <c r="J289" s="54">
        <v>70165</v>
      </c>
      <c r="K289" s="1">
        <v>0</v>
      </c>
      <c r="L289" t="s">
        <v>19</v>
      </c>
      <c r="M289" t="s">
        <v>29</v>
      </c>
      <c r="N289" s="6" t="s">
        <v>21</v>
      </c>
      <c r="O289" s="54">
        <f>TBL_Employees3[[#This Row],[Annual Salary]]+TBL_Employees3[[#This Row],[Bonus %]]*TBL_Employees3[[#This Row],[Annual Salary]]</f>
        <v>70165</v>
      </c>
      <c r="P289" t="str">
        <f>IF(AND(TBL_Employees3[[#This Row],[Department]]="IT",TBL_Employees3[[#This Row],[Gender]]="Female"),"Yes","No")</f>
        <v>No</v>
      </c>
      <c r="Q289" t="str">
        <f>IF(AND(TBL_Employees3[[#This Row],[Gender]]="Female",TBL_Employees3[[#This Row],[Ethnicity]]="Black"), "Female_Black", "Others")</f>
        <v>Others</v>
      </c>
    </row>
    <row r="290" spans="1:17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6">
        <v>44030</v>
      </c>
      <c r="J290" s="54">
        <v>148485</v>
      </c>
      <c r="K290" s="1">
        <v>0.15</v>
      </c>
      <c r="L290" t="s">
        <v>19</v>
      </c>
      <c r="M290" t="s">
        <v>45</v>
      </c>
      <c r="N290" s="6" t="s">
        <v>21</v>
      </c>
      <c r="O290" s="54">
        <f>TBL_Employees3[[#This Row],[Annual Salary]]+TBL_Employees3[[#This Row],[Bonus %]]*TBL_Employees3[[#This Row],[Annual Salary]]</f>
        <v>170757.75</v>
      </c>
      <c r="P290" t="str">
        <f>IF(AND(TBL_Employees3[[#This Row],[Department]]="IT",TBL_Employees3[[#This Row],[Gender]]="Female"),"Yes","No")</f>
        <v>No</v>
      </c>
      <c r="Q290" t="str">
        <f>IF(AND(TBL_Employees3[[#This Row],[Gender]]="Female",TBL_Employees3[[#This Row],[Ethnicity]]="Black"), "Female_Black", "Others")</f>
        <v>Others</v>
      </c>
    </row>
    <row r="291" spans="1:17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6">
        <v>38521</v>
      </c>
      <c r="J291" s="54">
        <v>86089</v>
      </c>
      <c r="K291" s="1">
        <v>0</v>
      </c>
      <c r="L291" t="s">
        <v>19</v>
      </c>
      <c r="M291" t="s">
        <v>20</v>
      </c>
      <c r="N291" s="6" t="s">
        <v>21</v>
      </c>
      <c r="O291" s="54">
        <f>TBL_Employees3[[#This Row],[Annual Salary]]+TBL_Employees3[[#This Row],[Bonus %]]*TBL_Employees3[[#This Row],[Annual Salary]]</f>
        <v>86089</v>
      </c>
      <c r="P291" t="str">
        <f>IF(AND(TBL_Employees3[[#This Row],[Department]]="IT",TBL_Employees3[[#This Row],[Gender]]="Female"),"Yes","No")</f>
        <v>Yes</v>
      </c>
      <c r="Q291" t="str">
        <f>IF(AND(TBL_Employees3[[#This Row],[Gender]]="Female",TBL_Employees3[[#This Row],[Ethnicity]]="Black"), "Female_Black", "Others")</f>
        <v>Others</v>
      </c>
    </row>
    <row r="292" spans="1:17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6">
        <v>39382</v>
      </c>
      <c r="J292" s="54">
        <v>106313</v>
      </c>
      <c r="K292" s="1">
        <v>0.15</v>
      </c>
      <c r="L292" t="s">
        <v>19</v>
      </c>
      <c r="M292" t="s">
        <v>20</v>
      </c>
      <c r="N292" s="6" t="s">
        <v>21</v>
      </c>
      <c r="O292" s="54">
        <f>TBL_Employees3[[#This Row],[Annual Salary]]+TBL_Employees3[[#This Row],[Bonus %]]*TBL_Employees3[[#This Row],[Annual Salary]]</f>
        <v>122259.95</v>
      </c>
      <c r="P292" t="str">
        <f>IF(AND(TBL_Employees3[[#This Row],[Department]]="IT",TBL_Employees3[[#This Row],[Gender]]="Female"),"Yes","No")</f>
        <v>No</v>
      </c>
      <c r="Q292" t="str">
        <f>IF(AND(TBL_Employees3[[#This Row],[Gender]]="Female",TBL_Employees3[[#This Row],[Ethnicity]]="Black"), "Female_Black", "Others")</f>
        <v>Others</v>
      </c>
    </row>
    <row r="293" spans="1:17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6">
        <v>44251</v>
      </c>
      <c r="J293" s="54">
        <v>46833</v>
      </c>
      <c r="K293" s="1">
        <v>0</v>
      </c>
      <c r="L293" t="s">
        <v>33</v>
      </c>
      <c r="M293" t="s">
        <v>34</v>
      </c>
      <c r="N293" s="6">
        <v>44510</v>
      </c>
      <c r="O293" s="54">
        <f>TBL_Employees3[[#This Row],[Annual Salary]]+TBL_Employees3[[#This Row],[Bonus %]]*TBL_Employees3[[#This Row],[Annual Salary]]</f>
        <v>46833</v>
      </c>
      <c r="P293" t="str">
        <f>IF(AND(TBL_Employees3[[#This Row],[Department]]="IT",TBL_Employees3[[#This Row],[Gender]]="Female"),"Yes","No")</f>
        <v>No</v>
      </c>
      <c r="Q293" t="str">
        <f>IF(AND(TBL_Employees3[[#This Row],[Gender]]="Female",TBL_Employees3[[#This Row],[Ethnicity]]="Black"), "Female_Black", "Others")</f>
        <v>Others</v>
      </c>
    </row>
    <row r="294" spans="1:17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6">
        <v>36826</v>
      </c>
      <c r="J294" s="54">
        <v>155320</v>
      </c>
      <c r="K294" s="1">
        <v>0.17</v>
      </c>
      <c r="L294" t="s">
        <v>33</v>
      </c>
      <c r="M294" t="s">
        <v>80</v>
      </c>
      <c r="N294" s="6" t="s">
        <v>21</v>
      </c>
      <c r="O294" s="54">
        <f>TBL_Employees3[[#This Row],[Annual Salary]]+TBL_Employees3[[#This Row],[Bonus %]]*TBL_Employees3[[#This Row],[Annual Salary]]</f>
        <v>181724.4</v>
      </c>
      <c r="P294" t="str">
        <f>IF(AND(TBL_Employees3[[#This Row],[Department]]="IT",TBL_Employees3[[#This Row],[Gender]]="Female"),"Yes","No")</f>
        <v>No</v>
      </c>
      <c r="Q294" t="str">
        <f>IF(AND(TBL_Employees3[[#This Row],[Gender]]="Female",TBL_Employees3[[#This Row],[Ethnicity]]="Black"), "Female_Black", "Others")</f>
        <v>Others</v>
      </c>
    </row>
    <row r="295" spans="1:17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6">
        <v>42384</v>
      </c>
      <c r="J295" s="54">
        <v>89984</v>
      </c>
      <c r="K295" s="1">
        <v>0</v>
      </c>
      <c r="L295" t="s">
        <v>33</v>
      </c>
      <c r="M295" t="s">
        <v>34</v>
      </c>
      <c r="N295" s="6" t="s">
        <v>21</v>
      </c>
      <c r="O295" s="54">
        <f>TBL_Employees3[[#This Row],[Annual Salary]]+TBL_Employees3[[#This Row],[Bonus %]]*TBL_Employees3[[#This Row],[Annual Salary]]</f>
        <v>89984</v>
      </c>
      <c r="P295" t="str">
        <f>IF(AND(TBL_Employees3[[#This Row],[Department]]="IT",TBL_Employees3[[#This Row],[Gender]]="Female"),"Yes","No")</f>
        <v>No</v>
      </c>
      <c r="Q295" t="str">
        <f>IF(AND(TBL_Employees3[[#This Row],[Gender]]="Female",TBL_Employees3[[#This Row],[Ethnicity]]="Black"), "Female_Black", "Others")</f>
        <v>Others</v>
      </c>
    </row>
    <row r="296" spans="1:17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6">
        <v>38792</v>
      </c>
      <c r="J296" s="54">
        <v>83756</v>
      </c>
      <c r="K296" s="1">
        <v>0.14000000000000001</v>
      </c>
      <c r="L296" t="s">
        <v>33</v>
      </c>
      <c r="M296" t="s">
        <v>74</v>
      </c>
      <c r="N296" s="6" t="s">
        <v>21</v>
      </c>
      <c r="O296" s="54">
        <f>TBL_Employees3[[#This Row],[Annual Salary]]+TBL_Employees3[[#This Row],[Bonus %]]*TBL_Employees3[[#This Row],[Annual Salary]]</f>
        <v>95481.84</v>
      </c>
      <c r="P296" t="str">
        <f>IF(AND(TBL_Employees3[[#This Row],[Department]]="IT",TBL_Employees3[[#This Row],[Gender]]="Female"),"Yes","No")</f>
        <v>No</v>
      </c>
      <c r="Q296" t="str">
        <f>IF(AND(TBL_Employees3[[#This Row],[Gender]]="Female",TBL_Employees3[[#This Row],[Ethnicity]]="Black"), "Female_Black", "Others")</f>
        <v>Others</v>
      </c>
    </row>
    <row r="297" spans="1:17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6">
        <v>42667</v>
      </c>
      <c r="J297" s="54">
        <v>176324</v>
      </c>
      <c r="K297" s="1">
        <v>0.23</v>
      </c>
      <c r="L297" t="s">
        <v>33</v>
      </c>
      <c r="M297" t="s">
        <v>74</v>
      </c>
      <c r="N297" s="6" t="s">
        <v>21</v>
      </c>
      <c r="O297" s="54">
        <f>TBL_Employees3[[#This Row],[Annual Salary]]+TBL_Employees3[[#This Row],[Bonus %]]*TBL_Employees3[[#This Row],[Annual Salary]]</f>
        <v>216878.52000000002</v>
      </c>
      <c r="P297" t="str">
        <f>IF(AND(TBL_Employees3[[#This Row],[Department]]="IT",TBL_Employees3[[#This Row],[Gender]]="Female"),"Yes","No")</f>
        <v>No</v>
      </c>
      <c r="Q297" t="str">
        <f>IF(AND(TBL_Employees3[[#This Row],[Gender]]="Female",TBL_Employees3[[#This Row],[Ethnicity]]="Black"), "Female_Black", "Others")</f>
        <v>Others</v>
      </c>
    </row>
    <row r="298" spans="1:17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6">
        <v>44482</v>
      </c>
      <c r="J298" s="54">
        <v>74077</v>
      </c>
      <c r="K298" s="1">
        <v>0</v>
      </c>
      <c r="L298" t="s">
        <v>19</v>
      </c>
      <c r="M298" t="s">
        <v>63</v>
      </c>
      <c r="N298" s="6" t="s">
        <v>21</v>
      </c>
      <c r="O298" s="54">
        <f>TBL_Employees3[[#This Row],[Annual Salary]]+TBL_Employees3[[#This Row],[Bonus %]]*TBL_Employees3[[#This Row],[Annual Salary]]</f>
        <v>74077</v>
      </c>
      <c r="P298" t="str">
        <f>IF(AND(TBL_Employees3[[#This Row],[Department]]="IT",TBL_Employees3[[#This Row],[Gender]]="Female"),"Yes","No")</f>
        <v>No</v>
      </c>
      <c r="Q298" t="str">
        <f>IF(AND(TBL_Employees3[[#This Row],[Gender]]="Female",TBL_Employees3[[#This Row],[Ethnicity]]="Black"), "Female_Black", "Others")</f>
        <v>Others</v>
      </c>
    </row>
    <row r="299" spans="1:17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6">
        <v>44214</v>
      </c>
      <c r="J299" s="54">
        <v>104162</v>
      </c>
      <c r="K299" s="1">
        <v>7.0000000000000007E-2</v>
      </c>
      <c r="L299" t="s">
        <v>19</v>
      </c>
      <c r="M299" t="s">
        <v>25</v>
      </c>
      <c r="N299" s="6" t="s">
        <v>21</v>
      </c>
      <c r="O299" s="54">
        <f>TBL_Employees3[[#This Row],[Annual Salary]]+TBL_Employees3[[#This Row],[Bonus %]]*TBL_Employees3[[#This Row],[Annual Salary]]</f>
        <v>111453.34</v>
      </c>
      <c r="P299" t="str">
        <f>IF(AND(TBL_Employees3[[#This Row],[Department]]="IT",TBL_Employees3[[#This Row],[Gender]]="Female"),"Yes","No")</f>
        <v>No</v>
      </c>
      <c r="Q299" t="str">
        <f>IF(AND(TBL_Employees3[[#This Row],[Gender]]="Female",TBL_Employees3[[#This Row],[Ethnicity]]="Black"), "Female_Black", "Others")</f>
        <v>Others</v>
      </c>
    </row>
    <row r="300" spans="1:17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6">
        <v>40418</v>
      </c>
      <c r="J300" s="54">
        <v>82162</v>
      </c>
      <c r="K300" s="1">
        <v>0</v>
      </c>
      <c r="L300" t="s">
        <v>33</v>
      </c>
      <c r="M300" t="s">
        <v>60</v>
      </c>
      <c r="N300" s="6">
        <v>44107</v>
      </c>
      <c r="O300" s="54">
        <f>TBL_Employees3[[#This Row],[Annual Salary]]+TBL_Employees3[[#This Row],[Bonus %]]*TBL_Employees3[[#This Row],[Annual Salary]]</f>
        <v>82162</v>
      </c>
      <c r="P300" t="str">
        <f>IF(AND(TBL_Employees3[[#This Row],[Department]]="IT",TBL_Employees3[[#This Row],[Gender]]="Female"),"Yes","No")</f>
        <v>Yes</v>
      </c>
      <c r="Q300" t="str">
        <f>IF(AND(TBL_Employees3[[#This Row],[Gender]]="Female",TBL_Employees3[[#This Row],[Ethnicity]]="Black"), "Female_Black", "Others")</f>
        <v>Others</v>
      </c>
    </row>
    <row r="301" spans="1:17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6">
        <v>42195</v>
      </c>
      <c r="J301" s="54">
        <v>63880</v>
      </c>
      <c r="K301" s="1">
        <v>0</v>
      </c>
      <c r="L301" t="s">
        <v>33</v>
      </c>
      <c r="M301" t="s">
        <v>80</v>
      </c>
      <c r="N301" s="6" t="s">
        <v>21</v>
      </c>
      <c r="O301" s="54">
        <f>TBL_Employees3[[#This Row],[Annual Salary]]+TBL_Employees3[[#This Row],[Bonus %]]*TBL_Employees3[[#This Row],[Annual Salary]]</f>
        <v>63880</v>
      </c>
      <c r="P301" t="str">
        <f>IF(AND(TBL_Employees3[[#This Row],[Department]]="IT",TBL_Employees3[[#This Row],[Gender]]="Female"),"Yes","No")</f>
        <v>No</v>
      </c>
      <c r="Q301" t="str">
        <f>IF(AND(TBL_Employees3[[#This Row],[Gender]]="Female",TBL_Employees3[[#This Row],[Ethnicity]]="Black"), "Female_Black", "Others")</f>
        <v>Others</v>
      </c>
    </row>
    <row r="302" spans="1:17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6">
        <v>41525</v>
      </c>
      <c r="J302" s="54">
        <v>73248</v>
      </c>
      <c r="K302" s="1">
        <v>0</v>
      </c>
      <c r="L302" t="s">
        <v>19</v>
      </c>
      <c r="M302" t="s">
        <v>29</v>
      </c>
      <c r="N302" s="6" t="s">
        <v>21</v>
      </c>
      <c r="O302" s="54">
        <f>TBL_Employees3[[#This Row],[Annual Salary]]+TBL_Employees3[[#This Row],[Bonus %]]*TBL_Employees3[[#This Row],[Annual Salary]]</f>
        <v>73248</v>
      </c>
      <c r="P302" t="str">
        <f>IF(AND(TBL_Employees3[[#This Row],[Department]]="IT",TBL_Employees3[[#This Row],[Gender]]="Female"),"Yes","No")</f>
        <v>No</v>
      </c>
      <c r="Q302" t="str">
        <f>IF(AND(TBL_Employees3[[#This Row],[Gender]]="Female",TBL_Employees3[[#This Row],[Ethnicity]]="Black"), "Female_Black", "Others")</f>
        <v>Others</v>
      </c>
    </row>
    <row r="303" spans="1:17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6">
        <v>44113</v>
      </c>
      <c r="J303" s="54">
        <v>91853</v>
      </c>
      <c r="K303" s="1">
        <v>0</v>
      </c>
      <c r="L303" t="s">
        <v>19</v>
      </c>
      <c r="M303" t="s">
        <v>20</v>
      </c>
      <c r="N303" s="6" t="s">
        <v>21</v>
      </c>
      <c r="O303" s="54">
        <f>TBL_Employees3[[#This Row],[Annual Salary]]+TBL_Employees3[[#This Row],[Bonus %]]*TBL_Employees3[[#This Row],[Annual Salary]]</f>
        <v>91853</v>
      </c>
      <c r="P303" t="str">
        <f>IF(AND(TBL_Employees3[[#This Row],[Department]]="IT",TBL_Employees3[[#This Row],[Gender]]="Female"),"Yes","No")</f>
        <v>No</v>
      </c>
      <c r="Q303" t="str">
        <f>IF(AND(TBL_Employees3[[#This Row],[Gender]]="Female",TBL_Employees3[[#This Row],[Ethnicity]]="Black"), "Female_Black", "Others")</f>
        <v>Others</v>
      </c>
    </row>
    <row r="304" spans="1:17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6">
        <v>43844</v>
      </c>
      <c r="J304" s="54">
        <v>168014</v>
      </c>
      <c r="K304" s="1">
        <v>0.27</v>
      </c>
      <c r="L304" t="s">
        <v>19</v>
      </c>
      <c r="M304" t="s">
        <v>20</v>
      </c>
      <c r="N304" s="6">
        <v>44404</v>
      </c>
      <c r="O304" s="54">
        <f>TBL_Employees3[[#This Row],[Annual Salary]]+TBL_Employees3[[#This Row],[Bonus %]]*TBL_Employees3[[#This Row],[Annual Salary]]</f>
        <v>213377.78</v>
      </c>
      <c r="P304" t="str">
        <f>IF(AND(TBL_Employees3[[#This Row],[Department]]="IT",TBL_Employees3[[#This Row],[Gender]]="Female"),"Yes","No")</f>
        <v>No</v>
      </c>
      <c r="Q304" t="str">
        <f>IF(AND(TBL_Employees3[[#This Row],[Gender]]="Female",TBL_Employees3[[#This Row],[Ethnicity]]="Black"), "Female_Black", "Others")</f>
        <v>Others</v>
      </c>
    </row>
    <row r="305" spans="1:17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6">
        <v>42995</v>
      </c>
      <c r="J305" s="54">
        <v>70770</v>
      </c>
      <c r="K305" s="1">
        <v>0</v>
      </c>
      <c r="L305" t="s">
        <v>19</v>
      </c>
      <c r="M305" t="s">
        <v>45</v>
      </c>
      <c r="N305" s="6" t="s">
        <v>21</v>
      </c>
      <c r="O305" s="54">
        <f>TBL_Employees3[[#This Row],[Annual Salary]]+TBL_Employees3[[#This Row],[Bonus %]]*TBL_Employees3[[#This Row],[Annual Salary]]</f>
        <v>70770</v>
      </c>
      <c r="P305" t="str">
        <f>IF(AND(TBL_Employees3[[#This Row],[Department]]="IT",TBL_Employees3[[#This Row],[Gender]]="Female"),"Yes","No")</f>
        <v>No</v>
      </c>
      <c r="Q305" t="str">
        <f>IF(AND(TBL_Employees3[[#This Row],[Gender]]="Female",TBL_Employees3[[#This Row],[Ethnicity]]="Black"), "Female_Black", "Others")</f>
        <v>Others</v>
      </c>
    </row>
    <row r="306" spans="1:17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6">
        <v>38271</v>
      </c>
      <c r="J306" s="54">
        <v>50825</v>
      </c>
      <c r="K306" s="1">
        <v>0</v>
      </c>
      <c r="L306" t="s">
        <v>19</v>
      </c>
      <c r="M306" t="s">
        <v>63</v>
      </c>
      <c r="N306" s="6" t="s">
        <v>21</v>
      </c>
      <c r="O306" s="54">
        <f>TBL_Employees3[[#This Row],[Annual Salary]]+TBL_Employees3[[#This Row],[Bonus %]]*TBL_Employees3[[#This Row],[Annual Salary]]</f>
        <v>50825</v>
      </c>
      <c r="P306" t="str">
        <f>IF(AND(TBL_Employees3[[#This Row],[Department]]="IT",TBL_Employees3[[#This Row],[Gender]]="Female"),"Yes","No")</f>
        <v>No</v>
      </c>
      <c r="Q306" t="str">
        <f>IF(AND(TBL_Employees3[[#This Row],[Gender]]="Female",TBL_Employees3[[#This Row],[Ethnicity]]="Black"), "Female_Black", "Others")</f>
        <v>Others</v>
      </c>
    </row>
    <row r="307" spans="1:17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6">
        <v>42266</v>
      </c>
      <c r="J307" s="54">
        <v>145846</v>
      </c>
      <c r="K307" s="1">
        <v>0.15</v>
      </c>
      <c r="L307" t="s">
        <v>52</v>
      </c>
      <c r="M307" t="s">
        <v>81</v>
      </c>
      <c r="N307" s="6" t="s">
        <v>21</v>
      </c>
      <c r="O307" s="54">
        <f>TBL_Employees3[[#This Row],[Annual Salary]]+TBL_Employees3[[#This Row],[Bonus %]]*TBL_Employees3[[#This Row],[Annual Salary]]</f>
        <v>167722.9</v>
      </c>
      <c r="P307" t="str">
        <f>IF(AND(TBL_Employees3[[#This Row],[Department]]="IT",TBL_Employees3[[#This Row],[Gender]]="Female"),"Yes","No")</f>
        <v>No</v>
      </c>
      <c r="Q307" t="str">
        <f>IF(AND(TBL_Employees3[[#This Row],[Gender]]="Female",TBL_Employees3[[#This Row],[Ethnicity]]="Black"), "Female_Black", "Others")</f>
        <v>Others</v>
      </c>
    </row>
    <row r="308" spans="1:17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6">
        <v>37962</v>
      </c>
      <c r="J308" s="54">
        <v>125807</v>
      </c>
      <c r="K308" s="1">
        <v>0.15</v>
      </c>
      <c r="L308" t="s">
        <v>19</v>
      </c>
      <c r="M308" t="s">
        <v>20</v>
      </c>
      <c r="N308" s="6" t="s">
        <v>21</v>
      </c>
      <c r="O308" s="54">
        <f>TBL_Employees3[[#This Row],[Annual Salary]]+TBL_Employees3[[#This Row],[Bonus %]]*TBL_Employees3[[#This Row],[Annual Salary]]</f>
        <v>144678.04999999999</v>
      </c>
      <c r="P308" t="str">
        <f>IF(AND(TBL_Employees3[[#This Row],[Department]]="IT",TBL_Employees3[[#This Row],[Gender]]="Female"),"Yes","No")</f>
        <v>No</v>
      </c>
      <c r="Q308" t="str">
        <f>IF(AND(TBL_Employees3[[#This Row],[Gender]]="Female",TBL_Employees3[[#This Row],[Ethnicity]]="Black"), "Female_Black", "Others")</f>
        <v>Others</v>
      </c>
    </row>
    <row r="309" spans="1:17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6">
        <v>44405</v>
      </c>
      <c r="J309" s="54">
        <v>46845</v>
      </c>
      <c r="K309" s="1">
        <v>0</v>
      </c>
      <c r="L309" t="s">
        <v>19</v>
      </c>
      <c r="M309" t="s">
        <v>45</v>
      </c>
      <c r="N309" s="6" t="s">
        <v>21</v>
      </c>
      <c r="O309" s="54">
        <f>TBL_Employees3[[#This Row],[Annual Salary]]+TBL_Employees3[[#This Row],[Bonus %]]*TBL_Employees3[[#This Row],[Annual Salary]]</f>
        <v>46845</v>
      </c>
      <c r="P309" t="str">
        <f>IF(AND(TBL_Employees3[[#This Row],[Department]]="IT",TBL_Employees3[[#This Row],[Gender]]="Female"),"Yes","No")</f>
        <v>No</v>
      </c>
      <c r="Q309" t="str">
        <f>IF(AND(TBL_Employees3[[#This Row],[Gender]]="Female",TBL_Employees3[[#This Row],[Ethnicity]]="Black"), "Female_Black", "Others")</f>
        <v>Others</v>
      </c>
    </row>
    <row r="310" spans="1:17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6">
        <v>39689</v>
      </c>
      <c r="J310" s="54">
        <v>157969</v>
      </c>
      <c r="K310" s="1">
        <v>0.1</v>
      </c>
      <c r="L310" t="s">
        <v>33</v>
      </c>
      <c r="M310" t="s">
        <v>80</v>
      </c>
      <c r="N310" s="6" t="s">
        <v>21</v>
      </c>
      <c r="O310" s="54">
        <f>TBL_Employees3[[#This Row],[Annual Salary]]+TBL_Employees3[[#This Row],[Bonus %]]*TBL_Employees3[[#This Row],[Annual Salary]]</f>
        <v>173765.9</v>
      </c>
      <c r="P310" t="str">
        <f>IF(AND(TBL_Employees3[[#This Row],[Department]]="IT",TBL_Employees3[[#This Row],[Gender]]="Female"),"Yes","No")</f>
        <v>No</v>
      </c>
      <c r="Q310" t="str">
        <f>IF(AND(TBL_Employees3[[#This Row],[Gender]]="Female",TBL_Employees3[[#This Row],[Ethnicity]]="Black"), "Female_Black", "Others")</f>
        <v>Others</v>
      </c>
    </row>
    <row r="311" spans="1:17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6">
        <v>40522</v>
      </c>
      <c r="J311" s="54">
        <v>97807</v>
      </c>
      <c r="K311" s="1">
        <v>0</v>
      </c>
      <c r="L311" t="s">
        <v>19</v>
      </c>
      <c r="M311" t="s">
        <v>20</v>
      </c>
      <c r="N311" s="6" t="s">
        <v>21</v>
      </c>
      <c r="O311" s="54">
        <f>TBL_Employees3[[#This Row],[Annual Salary]]+TBL_Employees3[[#This Row],[Bonus %]]*TBL_Employees3[[#This Row],[Annual Salary]]</f>
        <v>97807</v>
      </c>
      <c r="P311" t="str">
        <f>IF(AND(TBL_Employees3[[#This Row],[Department]]="IT",TBL_Employees3[[#This Row],[Gender]]="Female"),"Yes","No")</f>
        <v>Yes</v>
      </c>
      <c r="Q311" t="str">
        <f>IF(AND(TBL_Employees3[[#This Row],[Gender]]="Female",TBL_Employees3[[#This Row],[Ethnicity]]="Black"), "Female_Black", "Others")</f>
        <v>Others</v>
      </c>
    </row>
    <row r="312" spans="1:17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6">
        <v>42347</v>
      </c>
      <c r="J312" s="54">
        <v>73854</v>
      </c>
      <c r="K312" s="1">
        <v>0</v>
      </c>
      <c r="L312" t="s">
        <v>19</v>
      </c>
      <c r="M312" t="s">
        <v>63</v>
      </c>
      <c r="N312" s="6" t="s">
        <v>21</v>
      </c>
      <c r="O312" s="54">
        <f>TBL_Employees3[[#This Row],[Annual Salary]]+TBL_Employees3[[#This Row],[Bonus %]]*TBL_Employees3[[#This Row],[Annual Salary]]</f>
        <v>73854</v>
      </c>
      <c r="P312" t="str">
        <f>IF(AND(TBL_Employees3[[#This Row],[Department]]="IT",TBL_Employees3[[#This Row],[Gender]]="Female"),"Yes","No")</f>
        <v>No</v>
      </c>
      <c r="Q312" t="str">
        <f>IF(AND(TBL_Employees3[[#This Row],[Gender]]="Female",TBL_Employees3[[#This Row],[Ethnicity]]="Black"), "Female_Black", "Others")</f>
        <v>Others</v>
      </c>
    </row>
    <row r="313" spans="1:17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6">
        <v>39063</v>
      </c>
      <c r="J313" s="54">
        <v>149537</v>
      </c>
      <c r="K313" s="1">
        <v>0.14000000000000001</v>
      </c>
      <c r="L313" t="s">
        <v>19</v>
      </c>
      <c r="M313" t="s">
        <v>63</v>
      </c>
      <c r="N313" s="6" t="s">
        <v>21</v>
      </c>
      <c r="O313" s="54">
        <f>TBL_Employees3[[#This Row],[Annual Salary]]+TBL_Employees3[[#This Row],[Bonus %]]*TBL_Employees3[[#This Row],[Annual Salary]]</f>
        <v>170472.18</v>
      </c>
      <c r="P313" t="str">
        <f>IF(AND(TBL_Employees3[[#This Row],[Department]]="IT",TBL_Employees3[[#This Row],[Gender]]="Female"),"Yes","No")</f>
        <v>No</v>
      </c>
      <c r="Q313" t="str">
        <f>IF(AND(TBL_Employees3[[#This Row],[Gender]]="Female",TBL_Employees3[[#This Row],[Ethnicity]]="Black"), "Female_Black", "Others")</f>
        <v>Others</v>
      </c>
    </row>
    <row r="314" spans="1:17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6">
        <v>41379</v>
      </c>
      <c r="J314" s="54">
        <v>128303</v>
      </c>
      <c r="K314" s="1">
        <v>0.15</v>
      </c>
      <c r="L314" t="s">
        <v>19</v>
      </c>
      <c r="M314" t="s">
        <v>39</v>
      </c>
      <c r="N314" s="6" t="s">
        <v>21</v>
      </c>
      <c r="O314" s="54">
        <f>TBL_Employees3[[#This Row],[Annual Salary]]+TBL_Employees3[[#This Row],[Bonus %]]*TBL_Employees3[[#This Row],[Annual Salary]]</f>
        <v>147548.45000000001</v>
      </c>
      <c r="P314" t="str">
        <f>IF(AND(TBL_Employees3[[#This Row],[Department]]="IT",TBL_Employees3[[#This Row],[Gender]]="Female"),"Yes","No")</f>
        <v>No</v>
      </c>
      <c r="Q314" t="str">
        <f>IF(AND(TBL_Employees3[[#This Row],[Gender]]="Female",TBL_Employees3[[#This Row],[Ethnicity]]="Black"), "Female_Black", "Others")</f>
        <v>Others</v>
      </c>
    </row>
    <row r="315" spans="1:17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6">
        <v>38513</v>
      </c>
      <c r="J315" s="54">
        <v>67374</v>
      </c>
      <c r="K315" s="1">
        <v>0</v>
      </c>
      <c r="L315" t="s">
        <v>19</v>
      </c>
      <c r="M315" t="s">
        <v>25</v>
      </c>
      <c r="N315" s="6" t="s">
        <v>21</v>
      </c>
      <c r="O315" s="54">
        <f>TBL_Employees3[[#This Row],[Annual Salary]]+TBL_Employees3[[#This Row],[Bonus %]]*TBL_Employees3[[#This Row],[Annual Salary]]</f>
        <v>67374</v>
      </c>
      <c r="P315" t="str">
        <f>IF(AND(TBL_Employees3[[#This Row],[Department]]="IT",TBL_Employees3[[#This Row],[Gender]]="Female"),"Yes","No")</f>
        <v>No</v>
      </c>
      <c r="Q315" t="str">
        <f>IF(AND(TBL_Employees3[[#This Row],[Gender]]="Female",TBL_Employees3[[#This Row],[Ethnicity]]="Black"), "Female_Black", "Others")</f>
        <v>Others</v>
      </c>
    </row>
    <row r="316" spans="1:17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6">
        <v>40810</v>
      </c>
      <c r="J316" s="54">
        <v>102167</v>
      </c>
      <c r="K316" s="1">
        <v>0.06</v>
      </c>
      <c r="L316" t="s">
        <v>52</v>
      </c>
      <c r="M316" t="s">
        <v>66</v>
      </c>
      <c r="N316" s="6" t="s">
        <v>21</v>
      </c>
      <c r="O316" s="54">
        <f>TBL_Employees3[[#This Row],[Annual Salary]]+TBL_Employees3[[#This Row],[Bonus %]]*TBL_Employees3[[#This Row],[Annual Salary]]</f>
        <v>108297.02</v>
      </c>
      <c r="P316" t="str">
        <f>IF(AND(TBL_Employees3[[#This Row],[Department]]="IT",TBL_Employees3[[#This Row],[Gender]]="Female"),"Yes","No")</f>
        <v>No</v>
      </c>
      <c r="Q316" t="str">
        <f>IF(AND(TBL_Employees3[[#This Row],[Gender]]="Female",TBL_Employees3[[#This Row],[Ethnicity]]="Black"), "Female_Black", "Others")</f>
        <v>Others</v>
      </c>
    </row>
    <row r="317" spans="1:17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6">
        <v>39332</v>
      </c>
      <c r="J317" s="54">
        <v>151027</v>
      </c>
      <c r="K317" s="1">
        <v>0.1</v>
      </c>
      <c r="L317" t="s">
        <v>33</v>
      </c>
      <c r="M317" t="s">
        <v>74</v>
      </c>
      <c r="N317" s="6" t="s">
        <v>21</v>
      </c>
      <c r="O317" s="54">
        <f>TBL_Employees3[[#This Row],[Annual Salary]]+TBL_Employees3[[#This Row],[Bonus %]]*TBL_Employees3[[#This Row],[Annual Salary]]</f>
        <v>166129.70000000001</v>
      </c>
      <c r="P317" t="str">
        <f>IF(AND(TBL_Employees3[[#This Row],[Department]]="IT",TBL_Employees3[[#This Row],[Gender]]="Female"),"Yes","No")</f>
        <v>No</v>
      </c>
      <c r="Q317" t="str">
        <f>IF(AND(TBL_Employees3[[#This Row],[Gender]]="Female",TBL_Employees3[[#This Row],[Ethnicity]]="Black"), "Female_Black", "Others")</f>
        <v>Others</v>
      </c>
    </row>
    <row r="318" spans="1:17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6">
        <v>43147</v>
      </c>
      <c r="J318" s="54">
        <v>120905</v>
      </c>
      <c r="K318" s="1">
        <v>0.05</v>
      </c>
      <c r="L318" t="s">
        <v>19</v>
      </c>
      <c r="M318" t="s">
        <v>63</v>
      </c>
      <c r="N318" s="6" t="s">
        <v>21</v>
      </c>
      <c r="O318" s="54">
        <f>TBL_Employees3[[#This Row],[Annual Salary]]+TBL_Employees3[[#This Row],[Bonus %]]*TBL_Employees3[[#This Row],[Annual Salary]]</f>
        <v>126950.25</v>
      </c>
      <c r="P318" t="str">
        <f>IF(AND(TBL_Employees3[[#This Row],[Department]]="IT",TBL_Employees3[[#This Row],[Gender]]="Female"),"Yes","No")</f>
        <v>No</v>
      </c>
      <c r="Q318" t="str">
        <f>IF(AND(TBL_Employees3[[#This Row],[Gender]]="Female",TBL_Employees3[[#This Row],[Ethnicity]]="Black"), "Female_Black", "Others")</f>
        <v>Others</v>
      </c>
    </row>
    <row r="319" spans="1:17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6">
        <v>43253</v>
      </c>
      <c r="J319" s="54">
        <v>231567</v>
      </c>
      <c r="K319" s="1">
        <v>0.36</v>
      </c>
      <c r="L319" t="s">
        <v>19</v>
      </c>
      <c r="M319" t="s">
        <v>63</v>
      </c>
      <c r="N319" s="6" t="s">
        <v>21</v>
      </c>
      <c r="O319" s="54">
        <f>TBL_Employees3[[#This Row],[Annual Salary]]+TBL_Employees3[[#This Row],[Bonus %]]*TBL_Employees3[[#This Row],[Annual Salary]]</f>
        <v>314931.12</v>
      </c>
      <c r="P319" t="str">
        <f>IF(AND(TBL_Employees3[[#This Row],[Department]]="IT",TBL_Employees3[[#This Row],[Gender]]="Female"),"Yes","No")</f>
        <v>No</v>
      </c>
      <c r="Q319" t="str">
        <f>IF(AND(TBL_Employees3[[#This Row],[Gender]]="Female",TBL_Employees3[[#This Row],[Ethnicity]]="Black"), "Female_Black", "Others")</f>
        <v>Others</v>
      </c>
    </row>
    <row r="320" spans="1:17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6">
        <v>42197</v>
      </c>
      <c r="J320" s="54">
        <v>215388</v>
      </c>
      <c r="K320" s="1">
        <v>0.33</v>
      </c>
      <c r="L320" t="s">
        <v>19</v>
      </c>
      <c r="M320" t="s">
        <v>45</v>
      </c>
      <c r="N320" s="6" t="s">
        <v>21</v>
      </c>
      <c r="O320" s="54">
        <f>TBL_Employees3[[#This Row],[Annual Salary]]+TBL_Employees3[[#This Row],[Bonus %]]*TBL_Employees3[[#This Row],[Annual Salary]]</f>
        <v>286466.04000000004</v>
      </c>
      <c r="P320" t="str">
        <f>IF(AND(TBL_Employees3[[#This Row],[Department]]="IT",TBL_Employees3[[#This Row],[Gender]]="Female"),"Yes","No")</f>
        <v>No</v>
      </c>
      <c r="Q320" t="str">
        <f>IF(AND(TBL_Employees3[[#This Row],[Gender]]="Female",TBL_Employees3[[#This Row],[Ethnicity]]="Black"), "Female_Black", "Others")</f>
        <v>Others</v>
      </c>
    </row>
    <row r="321" spans="1:17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6">
        <v>42168</v>
      </c>
      <c r="J321" s="54">
        <v>127972</v>
      </c>
      <c r="K321" s="1">
        <v>0.11</v>
      </c>
      <c r="L321" t="s">
        <v>19</v>
      </c>
      <c r="M321" t="s">
        <v>63</v>
      </c>
      <c r="N321" s="6" t="s">
        <v>21</v>
      </c>
      <c r="O321" s="54">
        <f>TBL_Employees3[[#This Row],[Annual Salary]]+TBL_Employees3[[#This Row],[Bonus %]]*TBL_Employees3[[#This Row],[Annual Salary]]</f>
        <v>142048.92000000001</v>
      </c>
      <c r="P321" t="str">
        <f>IF(AND(TBL_Employees3[[#This Row],[Department]]="IT",TBL_Employees3[[#This Row],[Gender]]="Female"),"Yes","No")</f>
        <v>No</v>
      </c>
      <c r="Q321" t="str">
        <f>IF(AND(TBL_Employees3[[#This Row],[Gender]]="Female",TBL_Employees3[[#This Row],[Ethnicity]]="Black"), "Female_Black", "Others")</f>
        <v>Others</v>
      </c>
    </row>
    <row r="322" spans="1:17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6">
        <v>34915</v>
      </c>
      <c r="J322" s="54">
        <v>80701</v>
      </c>
      <c r="K322" s="1">
        <v>0</v>
      </c>
      <c r="L322" t="s">
        <v>19</v>
      </c>
      <c r="M322" t="s">
        <v>20</v>
      </c>
      <c r="N322" s="6">
        <v>38456</v>
      </c>
      <c r="O322" s="54">
        <f>TBL_Employees3[[#This Row],[Annual Salary]]+TBL_Employees3[[#This Row],[Bonus %]]*TBL_Employees3[[#This Row],[Annual Salary]]</f>
        <v>80701</v>
      </c>
      <c r="P322" t="str">
        <f>IF(AND(TBL_Employees3[[#This Row],[Department]]="IT",TBL_Employees3[[#This Row],[Gender]]="Female"),"Yes","No")</f>
        <v>No</v>
      </c>
      <c r="Q322" t="str">
        <f>IF(AND(TBL_Employees3[[#This Row],[Gender]]="Female",TBL_Employees3[[#This Row],[Ethnicity]]="Black"), "Female_Black", "Others")</f>
        <v>Others</v>
      </c>
    </row>
    <row r="323" spans="1:17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6">
        <v>43863</v>
      </c>
      <c r="J323" s="54">
        <v>115417</v>
      </c>
      <c r="K323" s="1">
        <v>0.06</v>
      </c>
      <c r="L323" t="s">
        <v>33</v>
      </c>
      <c r="M323" t="s">
        <v>74</v>
      </c>
      <c r="N323" s="6" t="s">
        <v>21</v>
      </c>
      <c r="O323" s="54">
        <f>TBL_Employees3[[#This Row],[Annual Salary]]+TBL_Employees3[[#This Row],[Bonus %]]*TBL_Employees3[[#This Row],[Annual Salary]]</f>
        <v>122342.02</v>
      </c>
      <c r="P323" t="str">
        <f>IF(AND(TBL_Employees3[[#This Row],[Department]]="IT",TBL_Employees3[[#This Row],[Gender]]="Female"),"Yes","No")</f>
        <v>No</v>
      </c>
      <c r="Q323" t="str">
        <f>IF(AND(TBL_Employees3[[#This Row],[Gender]]="Female",TBL_Employees3[[#This Row],[Ethnicity]]="Black"), "Female_Black", "Others")</f>
        <v>Others</v>
      </c>
    </row>
    <row r="324" spans="1:17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6">
        <v>43635</v>
      </c>
      <c r="J324" s="54">
        <v>88045</v>
      </c>
      <c r="K324" s="1">
        <v>0</v>
      </c>
      <c r="L324" t="s">
        <v>19</v>
      </c>
      <c r="M324" t="s">
        <v>20</v>
      </c>
      <c r="N324" s="6" t="s">
        <v>21</v>
      </c>
      <c r="O324" s="54">
        <f>TBL_Employees3[[#This Row],[Annual Salary]]+TBL_Employees3[[#This Row],[Bonus %]]*TBL_Employees3[[#This Row],[Annual Salary]]</f>
        <v>88045</v>
      </c>
      <c r="P324" t="str">
        <f>IF(AND(TBL_Employees3[[#This Row],[Department]]="IT",TBL_Employees3[[#This Row],[Gender]]="Female"),"Yes","No")</f>
        <v>No</v>
      </c>
      <c r="Q324" t="str">
        <f>IF(AND(TBL_Employees3[[#This Row],[Gender]]="Female",TBL_Employees3[[#This Row],[Ethnicity]]="Black"), "Female_Black", "Others")</f>
        <v>Others</v>
      </c>
    </row>
    <row r="325" spans="1:17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6">
        <v>43185</v>
      </c>
      <c r="J325" s="54">
        <v>86478</v>
      </c>
      <c r="K325" s="1">
        <v>0.06</v>
      </c>
      <c r="L325" t="s">
        <v>19</v>
      </c>
      <c r="M325" t="s">
        <v>25</v>
      </c>
      <c r="N325" s="6" t="s">
        <v>21</v>
      </c>
      <c r="O325" s="54">
        <f>TBL_Employees3[[#This Row],[Annual Salary]]+TBL_Employees3[[#This Row],[Bonus %]]*TBL_Employees3[[#This Row],[Annual Salary]]</f>
        <v>91666.68</v>
      </c>
      <c r="P325" t="str">
        <f>IF(AND(TBL_Employees3[[#This Row],[Department]]="IT",TBL_Employees3[[#This Row],[Gender]]="Female"),"Yes","No")</f>
        <v>Yes</v>
      </c>
      <c r="Q325" t="str">
        <f>IF(AND(TBL_Employees3[[#This Row],[Gender]]="Female",TBL_Employees3[[#This Row],[Ethnicity]]="Black"), "Female_Black", "Others")</f>
        <v>Female_Black</v>
      </c>
    </row>
    <row r="326" spans="1:17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6">
        <v>42387</v>
      </c>
      <c r="J326" s="54">
        <v>180994</v>
      </c>
      <c r="K326" s="1">
        <v>0.39</v>
      </c>
      <c r="L326" t="s">
        <v>19</v>
      </c>
      <c r="M326" t="s">
        <v>63</v>
      </c>
      <c r="N326" s="6" t="s">
        <v>21</v>
      </c>
      <c r="O326" s="54">
        <f>TBL_Employees3[[#This Row],[Annual Salary]]+TBL_Employees3[[#This Row],[Bonus %]]*TBL_Employees3[[#This Row],[Annual Salary]]</f>
        <v>251581.66</v>
      </c>
      <c r="P326" t="str">
        <f>IF(AND(TBL_Employees3[[#This Row],[Department]]="IT",TBL_Employees3[[#This Row],[Gender]]="Female"),"Yes","No")</f>
        <v>No</v>
      </c>
      <c r="Q326" t="str">
        <f>IF(AND(TBL_Employees3[[#This Row],[Gender]]="Female",TBL_Employees3[[#This Row],[Ethnicity]]="Black"), "Female_Black", "Others")</f>
        <v>Others</v>
      </c>
    </row>
    <row r="327" spans="1:17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6">
        <v>39418</v>
      </c>
      <c r="J327" s="54">
        <v>64494</v>
      </c>
      <c r="K327" s="1">
        <v>0</v>
      </c>
      <c r="L327" t="s">
        <v>19</v>
      </c>
      <c r="M327" t="s">
        <v>29</v>
      </c>
      <c r="N327" s="6" t="s">
        <v>21</v>
      </c>
      <c r="O327" s="54">
        <f>TBL_Employees3[[#This Row],[Annual Salary]]+TBL_Employees3[[#This Row],[Bonus %]]*TBL_Employees3[[#This Row],[Annual Salary]]</f>
        <v>64494</v>
      </c>
      <c r="P327" t="str">
        <f>IF(AND(TBL_Employees3[[#This Row],[Department]]="IT",TBL_Employees3[[#This Row],[Gender]]="Female"),"Yes","No")</f>
        <v>No</v>
      </c>
      <c r="Q327" t="str">
        <f>IF(AND(TBL_Employees3[[#This Row],[Gender]]="Female",TBL_Employees3[[#This Row],[Ethnicity]]="Black"), "Female_Black", "Others")</f>
        <v>Others</v>
      </c>
    </row>
    <row r="328" spans="1:17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6">
        <v>37550</v>
      </c>
      <c r="J328" s="54">
        <v>70122</v>
      </c>
      <c r="K328" s="1">
        <v>0</v>
      </c>
      <c r="L328" t="s">
        <v>19</v>
      </c>
      <c r="M328" t="s">
        <v>29</v>
      </c>
      <c r="N328" s="6" t="s">
        <v>21</v>
      </c>
      <c r="O328" s="54">
        <f>TBL_Employees3[[#This Row],[Annual Salary]]+TBL_Employees3[[#This Row],[Bonus %]]*TBL_Employees3[[#This Row],[Annual Salary]]</f>
        <v>70122</v>
      </c>
      <c r="P328" t="str">
        <f>IF(AND(TBL_Employees3[[#This Row],[Department]]="IT",TBL_Employees3[[#This Row],[Gender]]="Female"),"Yes","No")</f>
        <v>No</v>
      </c>
      <c r="Q328" t="str">
        <f>IF(AND(TBL_Employees3[[#This Row],[Gender]]="Female",TBL_Employees3[[#This Row],[Ethnicity]]="Black"), "Female_Black", "Others")</f>
        <v>Others</v>
      </c>
    </row>
    <row r="329" spans="1:17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6">
        <v>42785</v>
      </c>
      <c r="J329" s="54">
        <v>181854</v>
      </c>
      <c r="K329" s="1">
        <v>0.28999999999999998</v>
      </c>
      <c r="L329" t="s">
        <v>19</v>
      </c>
      <c r="M329" t="s">
        <v>63</v>
      </c>
      <c r="N329" s="6">
        <v>43945</v>
      </c>
      <c r="O329" s="54">
        <f>TBL_Employees3[[#This Row],[Annual Salary]]+TBL_Employees3[[#This Row],[Bonus %]]*TBL_Employees3[[#This Row],[Annual Salary]]</f>
        <v>234591.66</v>
      </c>
      <c r="P329" t="str">
        <f>IF(AND(TBL_Employees3[[#This Row],[Department]]="IT",TBL_Employees3[[#This Row],[Gender]]="Female"),"Yes","No")</f>
        <v>No</v>
      </c>
      <c r="Q329" t="str">
        <f>IF(AND(TBL_Employees3[[#This Row],[Gender]]="Female",TBL_Employees3[[#This Row],[Ethnicity]]="Black"), "Female_Black", "Others")</f>
        <v>Others</v>
      </c>
    </row>
    <row r="330" spans="1:17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6">
        <v>42664</v>
      </c>
      <c r="J330" s="54">
        <v>52811</v>
      </c>
      <c r="K330" s="1">
        <v>0</v>
      </c>
      <c r="L330" t="s">
        <v>19</v>
      </c>
      <c r="M330" t="s">
        <v>45</v>
      </c>
      <c r="N330" s="6" t="s">
        <v>21</v>
      </c>
      <c r="O330" s="54">
        <f>TBL_Employees3[[#This Row],[Annual Salary]]+TBL_Employees3[[#This Row],[Bonus %]]*TBL_Employees3[[#This Row],[Annual Salary]]</f>
        <v>52811</v>
      </c>
      <c r="P330" t="str">
        <f>IF(AND(TBL_Employees3[[#This Row],[Department]]="IT",TBL_Employees3[[#This Row],[Gender]]="Female"),"Yes","No")</f>
        <v>No</v>
      </c>
      <c r="Q330" t="str">
        <f>IF(AND(TBL_Employees3[[#This Row],[Gender]]="Female",TBL_Employees3[[#This Row],[Ethnicity]]="Black"), "Female_Black", "Others")</f>
        <v>Others</v>
      </c>
    </row>
    <row r="331" spans="1:17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6">
        <v>43763</v>
      </c>
      <c r="J331" s="54">
        <v>50111</v>
      </c>
      <c r="K331" s="1">
        <v>0</v>
      </c>
      <c r="L331" t="s">
        <v>33</v>
      </c>
      <c r="M331" t="s">
        <v>34</v>
      </c>
      <c r="N331" s="6" t="s">
        <v>21</v>
      </c>
      <c r="O331" s="54">
        <f>TBL_Employees3[[#This Row],[Annual Salary]]+TBL_Employees3[[#This Row],[Bonus %]]*TBL_Employees3[[#This Row],[Annual Salary]]</f>
        <v>50111</v>
      </c>
      <c r="P331" t="str">
        <f>IF(AND(TBL_Employees3[[#This Row],[Department]]="IT",TBL_Employees3[[#This Row],[Gender]]="Female"),"Yes","No")</f>
        <v>Yes</v>
      </c>
      <c r="Q331" t="str">
        <f>IF(AND(TBL_Employees3[[#This Row],[Gender]]="Female",TBL_Employees3[[#This Row],[Ethnicity]]="Black"), "Female_Black", "Others")</f>
        <v>Others</v>
      </c>
    </row>
    <row r="332" spans="1:17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6">
        <v>42497</v>
      </c>
      <c r="J332" s="54">
        <v>71192</v>
      </c>
      <c r="K332" s="1">
        <v>0</v>
      </c>
      <c r="L332" t="s">
        <v>19</v>
      </c>
      <c r="M332" t="s">
        <v>25</v>
      </c>
      <c r="N332" s="6" t="s">
        <v>21</v>
      </c>
      <c r="O332" s="54">
        <f>TBL_Employees3[[#This Row],[Annual Salary]]+TBL_Employees3[[#This Row],[Bonus %]]*TBL_Employees3[[#This Row],[Annual Salary]]</f>
        <v>71192</v>
      </c>
      <c r="P332" t="str">
        <f>IF(AND(TBL_Employees3[[#This Row],[Department]]="IT",TBL_Employees3[[#This Row],[Gender]]="Female"),"Yes","No")</f>
        <v>No</v>
      </c>
      <c r="Q332" t="str">
        <f>IF(AND(TBL_Employees3[[#This Row],[Gender]]="Female",TBL_Employees3[[#This Row],[Ethnicity]]="Black"), "Female_Black", "Others")</f>
        <v>Others</v>
      </c>
    </row>
    <row r="333" spans="1:17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6">
        <v>43452</v>
      </c>
      <c r="J333" s="54">
        <v>155351</v>
      </c>
      <c r="K333" s="1">
        <v>0.2</v>
      </c>
      <c r="L333" t="s">
        <v>19</v>
      </c>
      <c r="M333" t="s">
        <v>63</v>
      </c>
      <c r="N333" s="6" t="s">
        <v>21</v>
      </c>
      <c r="O333" s="54">
        <f>TBL_Employees3[[#This Row],[Annual Salary]]+TBL_Employees3[[#This Row],[Bonus %]]*TBL_Employees3[[#This Row],[Annual Salary]]</f>
        <v>186421.2</v>
      </c>
      <c r="P333" t="str">
        <f>IF(AND(TBL_Employees3[[#This Row],[Department]]="IT",TBL_Employees3[[#This Row],[Gender]]="Female"),"Yes","No")</f>
        <v>No</v>
      </c>
      <c r="Q333" t="str">
        <f>IF(AND(TBL_Employees3[[#This Row],[Gender]]="Female",TBL_Employees3[[#This Row],[Ethnicity]]="Black"), "Female_Black", "Others")</f>
        <v>Others</v>
      </c>
    </row>
    <row r="334" spans="1:17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6">
        <v>39049</v>
      </c>
      <c r="J334" s="54">
        <v>161690</v>
      </c>
      <c r="K334" s="1">
        <v>0.28999999999999998</v>
      </c>
      <c r="L334" t="s">
        <v>33</v>
      </c>
      <c r="M334" t="s">
        <v>60</v>
      </c>
      <c r="N334" s="6" t="s">
        <v>21</v>
      </c>
      <c r="O334" s="54">
        <f>TBL_Employees3[[#This Row],[Annual Salary]]+TBL_Employees3[[#This Row],[Bonus %]]*TBL_Employees3[[#This Row],[Annual Salary]]</f>
        <v>208580.1</v>
      </c>
      <c r="P334" t="str">
        <f>IF(AND(TBL_Employees3[[#This Row],[Department]]="IT",TBL_Employees3[[#This Row],[Gender]]="Female"),"Yes","No")</f>
        <v>No</v>
      </c>
      <c r="Q334" t="str">
        <f>IF(AND(TBL_Employees3[[#This Row],[Gender]]="Female",TBL_Employees3[[#This Row],[Ethnicity]]="Black"), "Female_Black", "Others")</f>
        <v>Others</v>
      </c>
    </row>
    <row r="335" spans="1:17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6">
        <v>42776</v>
      </c>
      <c r="J335" s="54">
        <v>60132</v>
      </c>
      <c r="K335" s="1">
        <v>0</v>
      </c>
      <c r="L335" t="s">
        <v>33</v>
      </c>
      <c r="M335" t="s">
        <v>80</v>
      </c>
      <c r="N335" s="6" t="s">
        <v>21</v>
      </c>
      <c r="O335" s="54">
        <f>TBL_Employees3[[#This Row],[Annual Salary]]+TBL_Employees3[[#This Row],[Bonus %]]*TBL_Employees3[[#This Row],[Annual Salary]]</f>
        <v>60132</v>
      </c>
      <c r="P335" t="str">
        <f>IF(AND(TBL_Employees3[[#This Row],[Department]]="IT",TBL_Employees3[[#This Row],[Gender]]="Female"),"Yes","No")</f>
        <v>No</v>
      </c>
      <c r="Q335" t="str">
        <f>IF(AND(TBL_Employees3[[#This Row],[Gender]]="Female",TBL_Employees3[[#This Row],[Ethnicity]]="Black"), "Female_Black", "Others")</f>
        <v>Others</v>
      </c>
    </row>
    <row r="336" spans="1:17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6">
        <v>34631</v>
      </c>
      <c r="J336" s="54">
        <v>87216</v>
      </c>
      <c r="K336" s="1">
        <v>0</v>
      </c>
      <c r="L336" t="s">
        <v>19</v>
      </c>
      <c r="M336" t="s">
        <v>45</v>
      </c>
      <c r="N336" s="6" t="s">
        <v>21</v>
      </c>
      <c r="O336" s="54">
        <f>TBL_Employees3[[#This Row],[Annual Salary]]+TBL_Employees3[[#This Row],[Bonus %]]*TBL_Employees3[[#This Row],[Annual Salary]]</f>
        <v>87216</v>
      </c>
      <c r="P336" t="str">
        <f>IF(AND(TBL_Employees3[[#This Row],[Department]]="IT",TBL_Employees3[[#This Row],[Gender]]="Female"),"Yes","No")</f>
        <v>No</v>
      </c>
      <c r="Q336" t="str">
        <f>IF(AND(TBL_Employees3[[#This Row],[Gender]]="Female",TBL_Employees3[[#This Row],[Ethnicity]]="Black"), "Female_Black", "Others")</f>
        <v>Others</v>
      </c>
    </row>
    <row r="337" spans="1:17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6">
        <v>43944</v>
      </c>
      <c r="J337" s="54">
        <v>50069</v>
      </c>
      <c r="K337" s="1">
        <v>0</v>
      </c>
      <c r="L337" t="s">
        <v>19</v>
      </c>
      <c r="M337" t="s">
        <v>63</v>
      </c>
      <c r="N337" s="6" t="s">
        <v>21</v>
      </c>
      <c r="O337" s="54">
        <f>TBL_Employees3[[#This Row],[Annual Salary]]+TBL_Employees3[[#This Row],[Bonus %]]*TBL_Employees3[[#This Row],[Annual Salary]]</f>
        <v>50069</v>
      </c>
      <c r="P337" t="str">
        <f>IF(AND(TBL_Employees3[[#This Row],[Department]]="IT",TBL_Employees3[[#This Row],[Gender]]="Female"),"Yes","No")</f>
        <v>No</v>
      </c>
      <c r="Q337" t="str">
        <f>IF(AND(TBL_Employees3[[#This Row],[Gender]]="Female",TBL_Employees3[[#This Row],[Ethnicity]]="Black"), "Female_Black", "Others")</f>
        <v>Others</v>
      </c>
    </row>
    <row r="338" spans="1:17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6">
        <v>44403</v>
      </c>
      <c r="J338" s="54">
        <v>151108</v>
      </c>
      <c r="K338" s="1">
        <v>0.22</v>
      </c>
      <c r="L338" t="s">
        <v>19</v>
      </c>
      <c r="M338" t="s">
        <v>39</v>
      </c>
      <c r="N338" s="6" t="s">
        <v>21</v>
      </c>
      <c r="O338" s="54">
        <f>TBL_Employees3[[#This Row],[Annual Salary]]+TBL_Employees3[[#This Row],[Bonus %]]*TBL_Employees3[[#This Row],[Annual Salary]]</f>
        <v>184351.76</v>
      </c>
      <c r="P338" t="str">
        <f>IF(AND(TBL_Employees3[[#This Row],[Department]]="IT",TBL_Employees3[[#This Row],[Gender]]="Female"),"Yes","No")</f>
        <v>Yes</v>
      </c>
      <c r="Q338" t="str">
        <f>IF(AND(TBL_Employees3[[#This Row],[Gender]]="Female",TBL_Employees3[[#This Row],[Ethnicity]]="Black"), "Female_Black", "Others")</f>
        <v>Others</v>
      </c>
    </row>
    <row r="339" spans="1:17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6">
        <v>38640</v>
      </c>
      <c r="J339" s="54">
        <v>67398</v>
      </c>
      <c r="K339" s="1">
        <v>7.0000000000000007E-2</v>
      </c>
      <c r="L339" t="s">
        <v>19</v>
      </c>
      <c r="M339" t="s">
        <v>39</v>
      </c>
      <c r="N339" s="6" t="s">
        <v>21</v>
      </c>
      <c r="O339" s="54">
        <f>TBL_Employees3[[#This Row],[Annual Salary]]+TBL_Employees3[[#This Row],[Bonus %]]*TBL_Employees3[[#This Row],[Annual Salary]]</f>
        <v>72115.86</v>
      </c>
      <c r="P339" t="str">
        <f>IF(AND(TBL_Employees3[[#This Row],[Department]]="IT",TBL_Employees3[[#This Row],[Gender]]="Female"),"Yes","No")</f>
        <v>Yes</v>
      </c>
      <c r="Q339" t="str">
        <f>IF(AND(TBL_Employees3[[#This Row],[Gender]]="Female",TBL_Employees3[[#This Row],[Ethnicity]]="Black"), "Female_Black", "Others")</f>
        <v>Others</v>
      </c>
    </row>
    <row r="340" spans="1:17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6">
        <v>42245</v>
      </c>
      <c r="J340" s="54">
        <v>68488</v>
      </c>
      <c r="K340" s="1">
        <v>0</v>
      </c>
      <c r="L340" t="s">
        <v>19</v>
      </c>
      <c r="M340" t="s">
        <v>63</v>
      </c>
      <c r="N340" s="6" t="s">
        <v>21</v>
      </c>
      <c r="O340" s="54">
        <f>TBL_Employees3[[#This Row],[Annual Salary]]+TBL_Employees3[[#This Row],[Bonus %]]*TBL_Employees3[[#This Row],[Annual Salary]]</f>
        <v>68488</v>
      </c>
      <c r="P340" t="str">
        <f>IF(AND(TBL_Employees3[[#This Row],[Department]]="IT",TBL_Employees3[[#This Row],[Gender]]="Female"),"Yes","No")</f>
        <v>No</v>
      </c>
      <c r="Q340" t="str">
        <f>IF(AND(TBL_Employees3[[#This Row],[Gender]]="Female",TBL_Employees3[[#This Row],[Ethnicity]]="Black"), "Female_Black", "Others")</f>
        <v>Others</v>
      </c>
    </row>
    <row r="341" spans="1:17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6">
        <v>35992</v>
      </c>
      <c r="J341" s="54">
        <v>92932</v>
      </c>
      <c r="K341" s="1">
        <v>0</v>
      </c>
      <c r="L341" t="s">
        <v>19</v>
      </c>
      <c r="M341" t="s">
        <v>29</v>
      </c>
      <c r="N341" s="6" t="s">
        <v>21</v>
      </c>
      <c r="O341" s="54">
        <f>TBL_Employees3[[#This Row],[Annual Salary]]+TBL_Employees3[[#This Row],[Bonus %]]*TBL_Employees3[[#This Row],[Annual Salary]]</f>
        <v>92932</v>
      </c>
      <c r="P341" t="str">
        <f>IF(AND(TBL_Employees3[[#This Row],[Department]]="IT",TBL_Employees3[[#This Row],[Gender]]="Female"),"Yes","No")</f>
        <v>No</v>
      </c>
      <c r="Q341" t="str">
        <f>IF(AND(TBL_Employees3[[#This Row],[Gender]]="Female",TBL_Employees3[[#This Row],[Ethnicity]]="Black"), "Female_Black", "Others")</f>
        <v>Others</v>
      </c>
    </row>
    <row r="342" spans="1:17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6">
        <v>39994</v>
      </c>
      <c r="J342" s="54">
        <v>43363</v>
      </c>
      <c r="K342" s="1">
        <v>0</v>
      </c>
      <c r="L342" t="s">
        <v>19</v>
      </c>
      <c r="M342" t="s">
        <v>25</v>
      </c>
      <c r="N342" s="6" t="s">
        <v>21</v>
      </c>
      <c r="O342" s="54">
        <f>TBL_Employees3[[#This Row],[Annual Salary]]+TBL_Employees3[[#This Row],[Bonus %]]*TBL_Employees3[[#This Row],[Annual Salary]]</f>
        <v>43363</v>
      </c>
      <c r="P342" t="str">
        <f>IF(AND(TBL_Employees3[[#This Row],[Department]]="IT",TBL_Employees3[[#This Row],[Gender]]="Female"),"Yes","No")</f>
        <v>No</v>
      </c>
      <c r="Q342" t="str">
        <f>IF(AND(TBL_Employees3[[#This Row],[Gender]]="Female",TBL_Employees3[[#This Row],[Ethnicity]]="Black"), "Female_Black", "Others")</f>
        <v>Others</v>
      </c>
    </row>
    <row r="343" spans="1:17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6">
        <v>42780</v>
      </c>
      <c r="J343" s="54">
        <v>95963</v>
      </c>
      <c r="K343" s="1">
        <v>0</v>
      </c>
      <c r="L343" t="s">
        <v>33</v>
      </c>
      <c r="M343" t="s">
        <v>34</v>
      </c>
      <c r="N343" s="6" t="s">
        <v>21</v>
      </c>
      <c r="O343" s="54">
        <f>TBL_Employees3[[#This Row],[Annual Salary]]+TBL_Employees3[[#This Row],[Bonus %]]*TBL_Employees3[[#This Row],[Annual Salary]]</f>
        <v>95963</v>
      </c>
      <c r="P343" t="str">
        <f>IF(AND(TBL_Employees3[[#This Row],[Department]]="IT",TBL_Employees3[[#This Row],[Gender]]="Female"),"Yes","No")</f>
        <v>No</v>
      </c>
      <c r="Q343" t="str">
        <f>IF(AND(TBL_Employees3[[#This Row],[Gender]]="Female",TBL_Employees3[[#This Row],[Ethnicity]]="Black"), "Female_Black", "Others")</f>
        <v>Others</v>
      </c>
    </row>
    <row r="344" spans="1:17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6">
        <v>40297</v>
      </c>
      <c r="J344" s="54">
        <v>111038</v>
      </c>
      <c r="K344" s="1">
        <v>0.05</v>
      </c>
      <c r="L344" t="s">
        <v>52</v>
      </c>
      <c r="M344" t="s">
        <v>53</v>
      </c>
      <c r="N344" s="6" t="s">
        <v>21</v>
      </c>
      <c r="O344" s="54">
        <f>TBL_Employees3[[#This Row],[Annual Salary]]+TBL_Employees3[[#This Row],[Bonus %]]*TBL_Employees3[[#This Row],[Annual Salary]]</f>
        <v>116589.9</v>
      </c>
      <c r="P344" t="str">
        <f>IF(AND(TBL_Employees3[[#This Row],[Department]]="IT",TBL_Employees3[[#This Row],[Gender]]="Female"),"Yes","No")</f>
        <v>No</v>
      </c>
      <c r="Q344" t="str">
        <f>IF(AND(TBL_Employees3[[#This Row],[Gender]]="Female",TBL_Employees3[[#This Row],[Ethnicity]]="Black"), "Female_Black", "Others")</f>
        <v>Others</v>
      </c>
    </row>
    <row r="345" spans="1:17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6">
        <v>35230</v>
      </c>
      <c r="J345" s="54">
        <v>200246</v>
      </c>
      <c r="K345" s="1">
        <v>0.34</v>
      </c>
      <c r="L345" t="s">
        <v>19</v>
      </c>
      <c r="M345" t="s">
        <v>29</v>
      </c>
      <c r="N345" s="6" t="s">
        <v>21</v>
      </c>
      <c r="O345" s="54">
        <f>TBL_Employees3[[#This Row],[Annual Salary]]+TBL_Employees3[[#This Row],[Bonus %]]*TBL_Employees3[[#This Row],[Annual Salary]]</f>
        <v>268329.64</v>
      </c>
      <c r="P345" t="str">
        <f>IF(AND(TBL_Employees3[[#This Row],[Department]]="IT",TBL_Employees3[[#This Row],[Gender]]="Female"),"Yes","No")</f>
        <v>No</v>
      </c>
      <c r="Q345" t="str">
        <f>IF(AND(TBL_Employees3[[#This Row],[Gender]]="Female",TBL_Employees3[[#This Row],[Ethnicity]]="Black"), "Female_Black", "Others")</f>
        <v>Others</v>
      </c>
    </row>
    <row r="346" spans="1:17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6">
        <v>42053</v>
      </c>
      <c r="J346" s="54">
        <v>194871</v>
      </c>
      <c r="K346" s="1">
        <v>0.35</v>
      </c>
      <c r="L346" t="s">
        <v>19</v>
      </c>
      <c r="M346" t="s">
        <v>29</v>
      </c>
      <c r="N346" s="6" t="s">
        <v>21</v>
      </c>
      <c r="O346" s="54">
        <f>TBL_Employees3[[#This Row],[Annual Salary]]+TBL_Employees3[[#This Row],[Bonus %]]*TBL_Employees3[[#This Row],[Annual Salary]]</f>
        <v>263075.84999999998</v>
      </c>
      <c r="P346" t="str">
        <f>IF(AND(TBL_Employees3[[#This Row],[Department]]="IT",TBL_Employees3[[#This Row],[Gender]]="Female"),"Yes","No")</f>
        <v>Yes</v>
      </c>
      <c r="Q346" t="str">
        <f>IF(AND(TBL_Employees3[[#This Row],[Gender]]="Female",TBL_Employees3[[#This Row],[Ethnicity]]="Black"), "Female_Black", "Others")</f>
        <v>Others</v>
      </c>
    </row>
    <row r="347" spans="1:17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6">
        <v>34592</v>
      </c>
      <c r="J347" s="54">
        <v>98769</v>
      </c>
      <c r="K347" s="1">
        <v>0</v>
      </c>
      <c r="L347" t="s">
        <v>52</v>
      </c>
      <c r="M347" t="s">
        <v>66</v>
      </c>
      <c r="N347" s="6">
        <v>42646</v>
      </c>
      <c r="O347" s="54">
        <f>TBL_Employees3[[#This Row],[Annual Salary]]+TBL_Employees3[[#This Row],[Bonus %]]*TBL_Employees3[[#This Row],[Annual Salary]]</f>
        <v>98769</v>
      </c>
      <c r="P347" t="str">
        <f>IF(AND(TBL_Employees3[[#This Row],[Department]]="IT",TBL_Employees3[[#This Row],[Gender]]="Female"),"Yes","No")</f>
        <v>No</v>
      </c>
      <c r="Q347" t="str">
        <f>IF(AND(TBL_Employees3[[#This Row],[Gender]]="Female",TBL_Employees3[[#This Row],[Ethnicity]]="Black"), "Female_Black", "Others")</f>
        <v>Others</v>
      </c>
    </row>
    <row r="348" spans="1:17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6">
        <v>43239</v>
      </c>
      <c r="J348" s="54">
        <v>65334</v>
      </c>
      <c r="K348" s="1">
        <v>0</v>
      </c>
      <c r="L348" t="s">
        <v>52</v>
      </c>
      <c r="M348" t="s">
        <v>66</v>
      </c>
      <c r="N348" s="6" t="s">
        <v>21</v>
      </c>
      <c r="O348" s="54">
        <f>TBL_Employees3[[#This Row],[Annual Salary]]+TBL_Employees3[[#This Row],[Bonus %]]*TBL_Employees3[[#This Row],[Annual Salary]]</f>
        <v>65334</v>
      </c>
      <c r="P348" t="str">
        <f>IF(AND(TBL_Employees3[[#This Row],[Department]]="IT",TBL_Employees3[[#This Row],[Gender]]="Female"),"Yes","No")</f>
        <v>No</v>
      </c>
      <c r="Q348" t="str">
        <f>IF(AND(TBL_Employees3[[#This Row],[Gender]]="Female",TBL_Employees3[[#This Row],[Ethnicity]]="Black"), "Female_Black", "Others")</f>
        <v>Others</v>
      </c>
    </row>
    <row r="349" spans="1:17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6">
        <v>44327</v>
      </c>
      <c r="J349" s="54">
        <v>83934</v>
      </c>
      <c r="K349" s="1">
        <v>0</v>
      </c>
      <c r="L349" t="s">
        <v>19</v>
      </c>
      <c r="M349" t="s">
        <v>45</v>
      </c>
      <c r="N349" s="6" t="s">
        <v>21</v>
      </c>
      <c r="O349" s="54">
        <f>TBL_Employees3[[#This Row],[Annual Salary]]+TBL_Employees3[[#This Row],[Bonus %]]*TBL_Employees3[[#This Row],[Annual Salary]]</f>
        <v>83934</v>
      </c>
      <c r="P349" t="str">
        <f>IF(AND(TBL_Employees3[[#This Row],[Department]]="IT",TBL_Employees3[[#This Row],[Gender]]="Female"),"Yes","No")</f>
        <v>Yes</v>
      </c>
      <c r="Q349" t="str">
        <f>IF(AND(TBL_Employees3[[#This Row],[Gender]]="Female",TBL_Employees3[[#This Row],[Ethnicity]]="Black"), "Female_Black", "Others")</f>
        <v>Others</v>
      </c>
    </row>
    <row r="350" spans="1:17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6">
        <v>42616</v>
      </c>
      <c r="J350" s="54">
        <v>150399</v>
      </c>
      <c r="K350" s="1">
        <v>0.28000000000000003</v>
      </c>
      <c r="L350" t="s">
        <v>19</v>
      </c>
      <c r="M350" t="s">
        <v>20</v>
      </c>
      <c r="N350" s="6" t="s">
        <v>21</v>
      </c>
      <c r="O350" s="54">
        <f>TBL_Employees3[[#This Row],[Annual Salary]]+TBL_Employees3[[#This Row],[Bonus %]]*TBL_Employees3[[#This Row],[Annual Salary]]</f>
        <v>192510.72</v>
      </c>
      <c r="P350" t="str">
        <f>IF(AND(TBL_Employees3[[#This Row],[Department]]="IT",TBL_Employees3[[#This Row],[Gender]]="Female"),"Yes","No")</f>
        <v>No</v>
      </c>
      <c r="Q350" t="str">
        <f>IF(AND(TBL_Employees3[[#This Row],[Gender]]="Female",TBL_Employees3[[#This Row],[Ethnicity]]="Black"), "Female_Black", "Others")</f>
        <v>Others</v>
      </c>
    </row>
    <row r="351" spans="1:17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6">
        <v>41048</v>
      </c>
      <c r="J351" s="54">
        <v>160280</v>
      </c>
      <c r="K351" s="1">
        <v>0.19</v>
      </c>
      <c r="L351" t="s">
        <v>33</v>
      </c>
      <c r="M351" t="s">
        <v>60</v>
      </c>
      <c r="N351" s="6" t="s">
        <v>21</v>
      </c>
      <c r="O351" s="54">
        <f>TBL_Employees3[[#This Row],[Annual Salary]]+TBL_Employees3[[#This Row],[Bonus %]]*TBL_Employees3[[#This Row],[Annual Salary]]</f>
        <v>190733.2</v>
      </c>
      <c r="P351" t="str">
        <f>IF(AND(TBL_Employees3[[#This Row],[Department]]="IT",TBL_Employees3[[#This Row],[Gender]]="Female"),"Yes","No")</f>
        <v>No</v>
      </c>
      <c r="Q351" t="str">
        <f>IF(AND(TBL_Employees3[[#This Row],[Gender]]="Female",TBL_Employees3[[#This Row],[Ethnicity]]="Black"), "Female_Black", "Others")</f>
        <v>Others</v>
      </c>
    </row>
    <row r="352" spans="1:17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6">
        <v>35548</v>
      </c>
      <c r="J352" s="54">
        <v>54051</v>
      </c>
      <c r="K352" s="1">
        <v>0</v>
      </c>
      <c r="L352" t="s">
        <v>19</v>
      </c>
      <c r="M352" t="s">
        <v>45</v>
      </c>
      <c r="N352" s="6">
        <v>36079</v>
      </c>
      <c r="O352" s="54">
        <f>TBL_Employees3[[#This Row],[Annual Salary]]+TBL_Employees3[[#This Row],[Bonus %]]*TBL_Employees3[[#This Row],[Annual Salary]]</f>
        <v>54051</v>
      </c>
      <c r="P352" t="str">
        <f>IF(AND(TBL_Employees3[[#This Row],[Department]]="IT",TBL_Employees3[[#This Row],[Gender]]="Female"),"Yes","No")</f>
        <v>No</v>
      </c>
      <c r="Q352" t="str">
        <f>IF(AND(TBL_Employees3[[#This Row],[Gender]]="Female",TBL_Employees3[[#This Row],[Ethnicity]]="Black"), "Female_Black", "Others")</f>
        <v>Others</v>
      </c>
    </row>
    <row r="353" spans="1:17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6">
        <v>37726</v>
      </c>
      <c r="J353" s="54">
        <v>150699</v>
      </c>
      <c r="K353" s="1">
        <v>0.28999999999999998</v>
      </c>
      <c r="L353" t="s">
        <v>52</v>
      </c>
      <c r="M353" t="s">
        <v>53</v>
      </c>
      <c r="N353" s="6" t="s">
        <v>21</v>
      </c>
      <c r="O353" s="54">
        <f>TBL_Employees3[[#This Row],[Annual Salary]]+TBL_Employees3[[#This Row],[Bonus %]]*TBL_Employees3[[#This Row],[Annual Salary]]</f>
        <v>194401.71</v>
      </c>
      <c r="P353" t="str">
        <f>IF(AND(TBL_Employees3[[#This Row],[Department]]="IT",TBL_Employees3[[#This Row],[Gender]]="Female"),"Yes","No")</f>
        <v>No</v>
      </c>
      <c r="Q353" t="str">
        <f>IF(AND(TBL_Employees3[[#This Row],[Gender]]="Female",TBL_Employees3[[#This Row],[Ethnicity]]="Black"), "Female_Black", "Others")</f>
        <v>Others</v>
      </c>
    </row>
    <row r="354" spans="1:17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6">
        <v>41363</v>
      </c>
      <c r="J354" s="54">
        <v>69570</v>
      </c>
      <c r="K354" s="1">
        <v>0</v>
      </c>
      <c r="L354" t="s">
        <v>19</v>
      </c>
      <c r="M354" t="s">
        <v>45</v>
      </c>
      <c r="N354" s="6" t="s">
        <v>21</v>
      </c>
      <c r="O354" s="54">
        <f>TBL_Employees3[[#This Row],[Annual Salary]]+TBL_Employees3[[#This Row],[Bonus %]]*TBL_Employees3[[#This Row],[Annual Salary]]</f>
        <v>69570</v>
      </c>
      <c r="P354" t="str">
        <f>IF(AND(TBL_Employees3[[#This Row],[Department]]="IT",TBL_Employees3[[#This Row],[Gender]]="Female"),"Yes","No")</f>
        <v>No</v>
      </c>
      <c r="Q354" t="str">
        <f>IF(AND(TBL_Employees3[[#This Row],[Gender]]="Female",TBL_Employees3[[#This Row],[Ethnicity]]="Black"), "Female_Black", "Others")</f>
        <v>Others</v>
      </c>
    </row>
    <row r="355" spans="1:17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6">
        <v>43553</v>
      </c>
      <c r="J355" s="54">
        <v>86774</v>
      </c>
      <c r="K355" s="1">
        <v>0</v>
      </c>
      <c r="L355" t="s">
        <v>33</v>
      </c>
      <c r="M355" t="s">
        <v>34</v>
      </c>
      <c r="N355" s="6" t="s">
        <v>21</v>
      </c>
      <c r="O355" s="54">
        <f>TBL_Employees3[[#This Row],[Annual Salary]]+TBL_Employees3[[#This Row],[Bonus %]]*TBL_Employees3[[#This Row],[Annual Salary]]</f>
        <v>86774</v>
      </c>
      <c r="P355" t="str">
        <f>IF(AND(TBL_Employees3[[#This Row],[Department]]="IT",TBL_Employees3[[#This Row],[Gender]]="Female"),"Yes","No")</f>
        <v>Yes</v>
      </c>
      <c r="Q355" t="str">
        <f>IF(AND(TBL_Employees3[[#This Row],[Gender]]="Female",TBL_Employees3[[#This Row],[Ethnicity]]="Black"), "Female_Black", "Others")</f>
        <v>Others</v>
      </c>
    </row>
    <row r="356" spans="1:17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6">
        <v>36979</v>
      </c>
      <c r="J356" s="54">
        <v>57606</v>
      </c>
      <c r="K356" s="1">
        <v>0</v>
      </c>
      <c r="L356" t="s">
        <v>19</v>
      </c>
      <c r="M356" t="s">
        <v>45</v>
      </c>
      <c r="N356" s="6" t="s">
        <v>21</v>
      </c>
      <c r="O356" s="54">
        <f>TBL_Employees3[[#This Row],[Annual Salary]]+TBL_Employees3[[#This Row],[Bonus %]]*TBL_Employees3[[#This Row],[Annual Salary]]</f>
        <v>57606</v>
      </c>
      <c r="P356" t="str">
        <f>IF(AND(TBL_Employees3[[#This Row],[Department]]="IT",TBL_Employees3[[#This Row],[Gender]]="Female"),"Yes","No")</f>
        <v>No</v>
      </c>
      <c r="Q356" t="str">
        <f>IF(AND(TBL_Employees3[[#This Row],[Gender]]="Female",TBL_Employees3[[#This Row],[Ethnicity]]="Black"), "Female_Black", "Others")</f>
        <v>Others</v>
      </c>
    </row>
    <row r="357" spans="1:17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6">
        <v>37144</v>
      </c>
      <c r="J357" s="54">
        <v>125730</v>
      </c>
      <c r="K357" s="1">
        <v>0.11</v>
      </c>
      <c r="L357" t="s">
        <v>33</v>
      </c>
      <c r="M357" t="s">
        <v>80</v>
      </c>
      <c r="N357" s="6" t="s">
        <v>21</v>
      </c>
      <c r="O357" s="54">
        <f>TBL_Employees3[[#This Row],[Annual Salary]]+TBL_Employees3[[#This Row],[Bonus %]]*TBL_Employees3[[#This Row],[Annual Salary]]</f>
        <v>139560.29999999999</v>
      </c>
      <c r="P357" t="str">
        <f>IF(AND(TBL_Employees3[[#This Row],[Department]]="IT",TBL_Employees3[[#This Row],[Gender]]="Female"),"Yes","No")</f>
        <v>No</v>
      </c>
      <c r="Q357" t="str">
        <f>IF(AND(TBL_Employees3[[#This Row],[Gender]]="Female",TBL_Employees3[[#This Row],[Ethnicity]]="Black"), "Female_Black", "Others")</f>
        <v>Others</v>
      </c>
    </row>
    <row r="358" spans="1:17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6">
        <v>40964</v>
      </c>
      <c r="J358" s="54">
        <v>64170</v>
      </c>
      <c r="K358" s="1">
        <v>0</v>
      </c>
      <c r="L358" t="s">
        <v>19</v>
      </c>
      <c r="M358" t="s">
        <v>29</v>
      </c>
      <c r="N358" s="6" t="s">
        <v>21</v>
      </c>
      <c r="O358" s="54">
        <f>TBL_Employees3[[#This Row],[Annual Salary]]+TBL_Employees3[[#This Row],[Bonus %]]*TBL_Employees3[[#This Row],[Annual Salary]]</f>
        <v>64170</v>
      </c>
      <c r="P358" t="str">
        <f>IF(AND(TBL_Employees3[[#This Row],[Department]]="IT",TBL_Employees3[[#This Row],[Gender]]="Female"),"Yes","No")</f>
        <v>Yes</v>
      </c>
      <c r="Q358" t="str">
        <f>IF(AND(TBL_Employees3[[#This Row],[Gender]]="Female",TBL_Employees3[[#This Row],[Ethnicity]]="Black"), "Female_Black", "Others")</f>
        <v>Others</v>
      </c>
    </row>
    <row r="359" spans="1:17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6">
        <v>35816</v>
      </c>
      <c r="J359" s="54">
        <v>72303</v>
      </c>
      <c r="K359" s="1">
        <v>0</v>
      </c>
      <c r="L359" t="s">
        <v>19</v>
      </c>
      <c r="M359" t="s">
        <v>39</v>
      </c>
      <c r="N359" s="6" t="s">
        <v>21</v>
      </c>
      <c r="O359" s="54">
        <f>TBL_Employees3[[#This Row],[Annual Salary]]+TBL_Employees3[[#This Row],[Bonus %]]*TBL_Employees3[[#This Row],[Annual Salary]]</f>
        <v>72303</v>
      </c>
      <c r="P359" t="str">
        <f>IF(AND(TBL_Employees3[[#This Row],[Department]]="IT",TBL_Employees3[[#This Row],[Gender]]="Female"),"Yes","No")</f>
        <v>No</v>
      </c>
      <c r="Q359" t="str">
        <f>IF(AND(TBL_Employees3[[#This Row],[Gender]]="Female",TBL_Employees3[[#This Row],[Ethnicity]]="Black"), "Female_Black", "Others")</f>
        <v>Others</v>
      </c>
    </row>
    <row r="360" spans="1:17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6">
        <v>41116</v>
      </c>
      <c r="J360" s="54">
        <v>105891</v>
      </c>
      <c r="K360" s="1">
        <v>7.0000000000000007E-2</v>
      </c>
      <c r="L360" t="s">
        <v>19</v>
      </c>
      <c r="M360" t="s">
        <v>63</v>
      </c>
      <c r="N360" s="6" t="s">
        <v>21</v>
      </c>
      <c r="O360" s="54">
        <f>TBL_Employees3[[#This Row],[Annual Salary]]+TBL_Employees3[[#This Row],[Bonus %]]*TBL_Employees3[[#This Row],[Annual Salary]]</f>
        <v>113303.37</v>
      </c>
      <c r="P360" t="str">
        <f>IF(AND(TBL_Employees3[[#This Row],[Department]]="IT",TBL_Employees3[[#This Row],[Gender]]="Female"),"Yes","No")</f>
        <v>No</v>
      </c>
      <c r="Q360" t="str">
        <f>IF(AND(TBL_Employees3[[#This Row],[Gender]]="Female",TBL_Employees3[[#This Row],[Ethnicity]]="Black"), "Female_Black", "Others")</f>
        <v>Others</v>
      </c>
    </row>
    <row r="361" spans="1:17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6">
        <v>44433</v>
      </c>
      <c r="J361" s="54">
        <v>255230</v>
      </c>
      <c r="K361" s="1">
        <v>0.36</v>
      </c>
      <c r="L361" t="s">
        <v>19</v>
      </c>
      <c r="M361" t="s">
        <v>25</v>
      </c>
      <c r="N361" s="6" t="s">
        <v>21</v>
      </c>
      <c r="O361" s="54">
        <f>TBL_Employees3[[#This Row],[Annual Salary]]+TBL_Employees3[[#This Row],[Bonus %]]*TBL_Employees3[[#This Row],[Annual Salary]]</f>
        <v>347112.8</v>
      </c>
      <c r="P361" t="str">
        <f>IF(AND(TBL_Employees3[[#This Row],[Department]]="IT",TBL_Employees3[[#This Row],[Gender]]="Female"),"Yes","No")</f>
        <v>No</v>
      </c>
      <c r="Q361" t="str">
        <f>IF(AND(TBL_Employees3[[#This Row],[Gender]]="Female",TBL_Employees3[[#This Row],[Ethnicity]]="Black"), "Female_Black", "Others")</f>
        <v>Others</v>
      </c>
    </row>
    <row r="362" spans="1:17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6">
        <v>33770</v>
      </c>
      <c r="J362" s="54">
        <v>59591</v>
      </c>
      <c r="K362" s="1">
        <v>0</v>
      </c>
      <c r="L362" t="s">
        <v>52</v>
      </c>
      <c r="M362" t="s">
        <v>53</v>
      </c>
      <c r="N362" s="6" t="s">
        <v>21</v>
      </c>
      <c r="O362" s="54">
        <f>TBL_Employees3[[#This Row],[Annual Salary]]+TBL_Employees3[[#This Row],[Bonus %]]*TBL_Employees3[[#This Row],[Annual Salary]]</f>
        <v>59591</v>
      </c>
      <c r="P362" t="str">
        <f>IF(AND(TBL_Employees3[[#This Row],[Department]]="IT",TBL_Employees3[[#This Row],[Gender]]="Female"),"Yes","No")</f>
        <v>No</v>
      </c>
      <c r="Q362" t="str">
        <f>IF(AND(TBL_Employees3[[#This Row],[Gender]]="Female",TBL_Employees3[[#This Row],[Ethnicity]]="Black"), "Female_Black", "Others")</f>
        <v>Others</v>
      </c>
    </row>
    <row r="363" spans="1:17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6">
        <v>41113</v>
      </c>
      <c r="J363" s="54">
        <v>187048</v>
      </c>
      <c r="K363" s="1">
        <v>0.32</v>
      </c>
      <c r="L363" t="s">
        <v>33</v>
      </c>
      <c r="M363" t="s">
        <v>34</v>
      </c>
      <c r="N363" s="6" t="s">
        <v>21</v>
      </c>
      <c r="O363" s="54">
        <f>TBL_Employees3[[#This Row],[Annual Salary]]+TBL_Employees3[[#This Row],[Bonus %]]*TBL_Employees3[[#This Row],[Annual Salary]]</f>
        <v>246903.36</v>
      </c>
      <c r="P363" t="str">
        <f>IF(AND(TBL_Employees3[[#This Row],[Department]]="IT",TBL_Employees3[[#This Row],[Gender]]="Female"),"Yes","No")</f>
        <v>No</v>
      </c>
      <c r="Q363" t="str">
        <f>IF(AND(TBL_Employees3[[#This Row],[Gender]]="Female",TBL_Employees3[[#This Row],[Ethnicity]]="Black"), "Female_Black", "Others")</f>
        <v>Others</v>
      </c>
    </row>
    <row r="364" spans="1:17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6">
        <v>37296</v>
      </c>
      <c r="J364" s="54">
        <v>58605</v>
      </c>
      <c r="K364" s="1">
        <v>0</v>
      </c>
      <c r="L364" t="s">
        <v>19</v>
      </c>
      <c r="M364" t="s">
        <v>39</v>
      </c>
      <c r="N364" s="6" t="s">
        <v>21</v>
      </c>
      <c r="O364" s="54">
        <f>TBL_Employees3[[#This Row],[Annual Salary]]+TBL_Employees3[[#This Row],[Bonus %]]*TBL_Employees3[[#This Row],[Annual Salary]]</f>
        <v>58605</v>
      </c>
      <c r="P364" t="str">
        <f>IF(AND(TBL_Employees3[[#This Row],[Department]]="IT",TBL_Employees3[[#This Row],[Gender]]="Female"),"Yes","No")</f>
        <v>No</v>
      </c>
      <c r="Q364" t="str">
        <f>IF(AND(TBL_Employees3[[#This Row],[Gender]]="Female",TBL_Employees3[[#This Row],[Ethnicity]]="Black"), "Female_Black", "Others")</f>
        <v>Others</v>
      </c>
    </row>
    <row r="365" spans="1:17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6">
        <v>42739</v>
      </c>
      <c r="J365" s="54">
        <v>178502</v>
      </c>
      <c r="K365" s="1">
        <v>0.2</v>
      </c>
      <c r="L365" t="s">
        <v>19</v>
      </c>
      <c r="M365" t="s">
        <v>25</v>
      </c>
      <c r="N365" s="6" t="s">
        <v>21</v>
      </c>
      <c r="O365" s="54">
        <f>TBL_Employees3[[#This Row],[Annual Salary]]+TBL_Employees3[[#This Row],[Bonus %]]*TBL_Employees3[[#This Row],[Annual Salary]]</f>
        <v>214202.4</v>
      </c>
      <c r="P365" t="str">
        <f>IF(AND(TBL_Employees3[[#This Row],[Department]]="IT",TBL_Employees3[[#This Row],[Gender]]="Female"),"Yes","No")</f>
        <v>No</v>
      </c>
      <c r="Q365" t="str">
        <f>IF(AND(TBL_Employees3[[#This Row],[Gender]]="Female",TBL_Employees3[[#This Row],[Ethnicity]]="Black"), "Female_Black", "Others")</f>
        <v>Others</v>
      </c>
    </row>
    <row r="366" spans="1:17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6">
        <v>42214</v>
      </c>
      <c r="J366" s="54">
        <v>103724</v>
      </c>
      <c r="K366" s="1">
        <v>0.05</v>
      </c>
      <c r="L366" t="s">
        <v>33</v>
      </c>
      <c r="M366" t="s">
        <v>74</v>
      </c>
      <c r="N366" s="6" t="s">
        <v>21</v>
      </c>
      <c r="O366" s="54">
        <f>TBL_Employees3[[#This Row],[Annual Salary]]+TBL_Employees3[[#This Row],[Bonus %]]*TBL_Employees3[[#This Row],[Annual Salary]]</f>
        <v>108910.2</v>
      </c>
      <c r="P366" t="str">
        <f>IF(AND(TBL_Employees3[[#This Row],[Department]]="IT",TBL_Employees3[[#This Row],[Gender]]="Female"),"Yes","No")</f>
        <v>No</v>
      </c>
      <c r="Q366" t="str">
        <f>IF(AND(TBL_Employees3[[#This Row],[Gender]]="Female",TBL_Employees3[[#This Row],[Ethnicity]]="Black"), "Female_Black", "Others")</f>
        <v>Others</v>
      </c>
    </row>
    <row r="367" spans="1:17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6">
        <v>39528</v>
      </c>
      <c r="J367" s="54">
        <v>156277</v>
      </c>
      <c r="K367" s="1">
        <v>0.22</v>
      </c>
      <c r="L367" t="s">
        <v>52</v>
      </c>
      <c r="M367" t="s">
        <v>81</v>
      </c>
      <c r="N367" s="6" t="s">
        <v>21</v>
      </c>
      <c r="O367" s="54">
        <f>TBL_Employees3[[#This Row],[Annual Salary]]+TBL_Employees3[[#This Row],[Bonus %]]*TBL_Employees3[[#This Row],[Annual Salary]]</f>
        <v>190657.94</v>
      </c>
      <c r="P367" t="str">
        <f>IF(AND(TBL_Employees3[[#This Row],[Department]]="IT",TBL_Employees3[[#This Row],[Gender]]="Female"),"Yes","No")</f>
        <v>No</v>
      </c>
      <c r="Q367" t="str">
        <f>IF(AND(TBL_Employees3[[#This Row],[Gender]]="Female",TBL_Employees3[[#This Row],[Ethnicity]]="Black"), "Female_Black", "Others")</f>
        <v>Others</v>
      </c>
    </row>
    <row r="368" spans="1:17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6">
        <v>43086</v>
      </c>
      <c r="J368" s="54">
        <v>87744</v>
      </c>
      <c r="K368" s="1">
        <v>0</v>
      </c>
      <c r="L368" t="s">
        <v>52</v>
      </c>
      <c r="M368" t="s">
        <v>53</v>
      </c>
      <c r="N368" s="6" t="s">
        <v>21</v>
      </c>
      <c r="O368" s="54">
        <f>TBL_Employees3[[#This Row],[Annual Salary]]+TBL_Employees3[[#This Row],[Bonus %]]*TBL_Employees3[[#This Row],[Annual Salary]]</f>
        <v>87744</v>
      </c>
      <c r="P368" t="str">
        <f>IF(AND(TBL_Employees3[[#This Row],[Department]]="IT",TBL_Employees3[[#This Row],[Gender]]="Female"),"Yes","No")</f>
        <v>No</v>
      </c>
      <c r="Q368" t="str">
        <f>IF(AND(TBL_Employees3[[#This Row],[Gender]]="Female",TBL_Employees3[[#This Row],[Ethnicity]]="Black"), "Female_Black", "Others")</f>
        <v>Others</v>
      </c>
    </row>
    <row r="369" spans="1:17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6">
        <v>43542</v>
      </c>
      <c r="J369" s="54">
        <v>54714</v>
      </c>
      <c r="K369" s="1">
        <v>0</v>
      </c>
      <c r="L369" t="s">
        <v>19</v>
      </c>
      <c r="M369" t="s">
        <v>29</v>
      </c>
      <c r="N369" s="6" t="s">
        <v>21</v>
      </c>
      <c r="O369" s="54">
        <f>TBL_Employees3[[#This Row],[Annual Salary]]+TBL_Employees3[[#This Row],[Bonus %]]*TBL_Employees3[[#This Row],[Annual Salary]]</f>
        <v>54714</v>
      </c>
      <c r="P369" t="str">
        <f>IF(AND(TBL_Employees3[[#This Row],[Department]]="IT",TBL_Employees3[[#This Row],[Gender]]="Female"),"Yes","No")</f>
        <v>No</v>
      </c>
      <c r="Q369" t="str">
        <f>IF(AND(TBL_Employees3[[#This Row],[Gender]]="Female",TBL_Employees3[[#This Row],[Ethnicity]]="Black"), "Female_Black", "Others")</f>
        <v>Others</v>
      </c>
    </row>
    <row r="370" spans="1:17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6">
        <v>41511</v>
      </c>
      <c r="J370" s="54">
        <v>99169</v>
      </c>
      <c r="K370" s="1">
        <v>0</v>
      </c>
      <c r="L370" t="s">
        <v>33</v>
      </c>
      <c r="M370" t="s">
        <v>60</v>
      </c>
      <c r="N370" s="6" t="s">
        <v>21</v>
      </c>
      <c r="O370" s="54">
        <f>TBL_Employees3[[#This Row],[Annual Salary]]+TBL_Employees3[[#This Row],[Bonus %]]*TBL_Employees3[[#This Row],[Annual Salary]]</f>
        <v>99169</v>
      </c>
      <c r="P370" t="str">
        <f>IF(AND(TBL_Employees3[[#This Row],[Department]]="IT",TBL_Employees3[[#This Row],[Gender]]="Female"),"Yes","No")</f>
        <v>Yes</v>
      </c>
      <c r="Q370" t="str">
        <f>IF(AND(TBL_Employees3[[#This Row],[Gender]]="Female",TBL_Employees3[[#This Row],[Ethnicity]]="Black"), "Female_Black", "Others")</f>
        <v>Others</v>
      </c>
    </row>
    <row r="371" spans="1:17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6">
        <v>38888</v>
      </c>
      <c r="J371" s="54">
        <v>142628</v>
      </c>
      <c r="K371" s="1">
        <v>0.12</v>
      </c>
      <c r="L371" t="s">
        <v>33</v>
      </c>
      <c r="M371" t="s">
        <v>80</v>
      </c>
      <c r="N371" s="6" t="s">
        <v>21</v>
      </c>
      <c r="O371" s="54">
        <f>TBL_Employees3[[#This Row],[Annual Salary]]+TBL_Employees3[[#This Row],[Bonus %]]*TBL_Employees3[[#This Row],[Annual Salary]]</f>
        <v>159743.35999999999</v>
      </c>
      <c r="P371" t="str">
        <f>IF(AND(TBL_Employees3[[#This Row],[Department]]="IT",TBL_Employees3[[#This Row],[Gender]]="Female"),"Yes","No")</f>
        <v>No</v>
      </c>
      <c r="Q371" t="str">
        <f>IF(AND(TBL_Employees3[[#This Row],[Gender]]="Female",TBL_Employees3[[#This Row],[Ethnicity]]="Black"), "Female_Black", "Others")</f>
        <v>Others</v>
      </c>
    </row>
    <row r="372" spans="1:17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6">
        <v>41756</v>
      </c>
      <c r="J372" s="54">
        <v>75869</v>
      </c>
      <c r="K372" s="1">
        <v>0</v>
      </c>
      <c r="L372" t="s">
        <v>52</v>
      </c>
      <c r="M372" t="s">
        <v>53</v>
      </c>
      <c r="N372" s="6" t="s">
        <v>21</v>
      </c>
      <c r="O372" s="54">
        <f>TBL_Employees3[[#This Row],[Annual Salary]]+TBL_Employees3[[#This Row],[Bonus %]]*TBL_Employees3[[#This Row],[Annual Salary]]</f>
        <v>75869</v>
      </c>
      <c r="P372" t="str">
        <f>IF(AND(TBL_Employees3[[#This Row],[Department]]="IT",TBL_Employees3[[#This Row],[Gender]]="Female"),"Yes","No")</f>
        <v>No</v>
      </c>
      <c r="Q372" t="str">
        <f>IF(AND(TBL_Employees3[[#This Row],[Gender]]="Female",TBL_Employees3[[#This Row],[Ethnicity]]="Black"), "Female_Black", "Others")</f>
        <v>Others</v>
      </c>
    </row>
    <row r="373" spans="1:17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6">
        <v>43234</v>
      </c>
      <c r="J373" s="54">
        <v>60985</v>
      </c>
      <c r="K373" s="1">
        <v>0</v>
      </c>
      <c r="L373" t="s">
        <v>19</v>
      </c>
      <c r="M373" t="s">
        <v>63</v>
      </c>
      <c r="N373" s="6" t="s">
        <v>21</v>
      </c>
      <c r="O373" s="54">
        <f>TBL_Employees3[[#This Row],[Annual Salary]]+TBL_Employees3[[#This Row],[Bonus %]]*TBL_Employees3[[#This Row],[Annual Salary]]</f>
        <v>60985</v>
      </c>
      <c r="P373" t="str">
        <f>IF(AND(TBL_Employees3[[#This Row],[Department]]="IT",TBL_Employees3[[#This Row],[Gender]]="Female"),"Yes","No")</f>
        <v>Yes</v>
      </c>
      <c r="Q373" t="str">
        <f>IF(AND(TBL_Employees3[[#This Row],[Gender]]="Female",TBL_Employees3[[#This Row],[Ethnicity]]="Black"), "Female_Black", "Others")</f>
        <v>Others</v>
      </c>
    </row>
    <row r="374" spans="1:17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6">
        <v>40383</v>
      </c>
      <c r="J374" s="54">
        <v>126911</v>
      </c>
      <c r="K374" s="1">
        <v>0.1</v>
      </c>
      <c r="L374" t="s">
        <v>33</v>
      </c>
      <c r="M374" t="s">
        <v>74</v>
      </c>
      <c r="N374" s="6" t="s">
        <v>21</v>
      </c>
      <c r="O374" s="54">
        <f>TBL_Employees3[[#This Row],[Annual Salary]]+TBL_Employees3[[#This Row],[Bonus %]]*TBL_Employees3[[#This Row],[Annual Salary]]</f>
        <v>139602.1</v>
      </c>
      <c r="P374" t="str">
        <f>IF(AND(TBL_Employees3[[#This Row],[Department]]="IT",TBL_Employees3[[#This Row],[Gender]]="Female"),"Yes","No")</f>
        <v>Yes</v>
      </c>
      <c r="Q374" t="str">
        <f>IF(AND(TBL_Employees3[[#This Row],[Gender]]="Female",TBL_Employees3[[#This Row],[Ethnicity]]="Black"), "Female_Black", "Others")</f>
        <v>Others</v>
      </c>
    </row>
    <row r="375" spans="1:17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6">
        <v>38042</v>
      </c>
      <c r="J375" s="54">
        <v>216949</v>
      </c>
      <c r="K375" s="1">
        <v>0.32</v>
      </c>
      <c r="L375" t="s">
        <v>33</v>
      </c>
      <c r="M375" t="s">
        <v>74</v>
      </c>
      <c r="N375" s="6" t="s">
        <v>21</v>
      </c>
      <c r="O375" s="54">
        <f>TBL_Employees3[[#This Row],[Annual Salary]]+TBL_Employees3[[#This Row],[Bonus %]]*TBL_Employees3[[#This Row],[Annual Salary]]</f>
        <v>286372.68</v>
      </c>
      <c r="P375" t="str">
        <f>IF(AND(TBL_Employees3[[#This Row],[Department]]="IT",TBL_Employees3[[#This Row],[Gender]]="Female"),"Yes","No")</f>
        <v>No</v>
      </c>
      <c r="Q375" t="str">
        <f>IF(AND(TBL_Employees3[[#This Row],[Gender]]="Female",TBL_Employees3[[#This Row],[Ethnicity]]="Black"), "Female_Black", "Others")</f>
        <v>Others</v>
      </c>
    </row>
    <row r="376" spans="1:17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6">
        <v>41204</v>
      </c>
      <c r="J376" s="54">
        <v>168510</v>
      </c>
      <c r="K376" s="1">
        <v>0.28999999999999998</v>
      </c>
      <c r="L376" t="s">
        <v>19</v>
      </c>
      <c r="M376" t="s">
        <v>63</v>
      </c>
      <c r="N376" s="6" t="s">
        <v>21</v>
      </c>
      <c r="O376" s="54">
        <f>TBL_Employees3[[#This Row],[Annual Salary]]+TBL_Employees3[[#This Row],[Bonus %]]*TBL_Employees3[[#This Row],[Annual Salary]]</f>
        <v>217377.9</v>
      </c>
      <c r="P376" t="str">
        <f>IF(AND(TBL_Employees3[[#This Row],[Department]]="IT",TBL_Employees3[[#This Row],[Gender]]="Female"),"Yes","No")</f>
        <v>No</v>
      </c>
      <c r="Q376" t="str">
        <f>IF(AND(TBL_Employees3[[#This Row],[Gender]]="Female",TBL_Employees3[[#This Row],[Ethnicity]]="Black"), "Female_Black", "Others")</f>
        <v>Others</v>
      </c>
    </row>
    <row r="377" spans="1:17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6">
        <v>42443</v>
      </c>
      <c r="J377" s="54">
        <v>85870</v>
      </c>
      <c r="K377" s="1">
        <v>0</v>
      </c>
      <c r="L377" t="s">
        <v>52</v>
      </c>
      <c r="M377" t="s">
        <v>53</v>
      </c>
      <c r="N377" s="6" t="s">
        <v>21</v>
      </c>
      <c r="O377" s="54">
        <f>TBL_Employees3[[#This Row],[Annual Salary]]+TBL_Employees3[[#This Row],[Bonus %]]*TBL_Employees3[[#This Row],[Annual Salary]]</f>
        <v>85870</v>
      </c>
      <c r="P377" t="str">
        <f>IF(AND(TBL_Employees3[[#This Row],[Department]]="IT",TBL_Employees3[[#This Row],[Gender]]="Female"),"Yes","No")</f>
        <v>No</v>
      </c>
      <c r="Q377" t="str">
        <f>IF(AND(TBL_Employees3[[#This Row],[Gender]]="Female",TBL_Employees3[[#This Row],[Ethnicity]]="Black"), "Female_Black", "Others")</f>
        <v>Others</v>
      </c>
    </row>
    <row r="378" spans="1:17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6">
        <v>37271</v>
      </c>
      <c r="J378" s="54">
        <v>86510</v>
      </c>
      <c r="K378" s="1">
        <v>0</v>
      </c>
      <c r="L378" t="s">
        <v>33</v>
      </c>
      <c r="M378" t="s">
        <v>60</v>
      </c>
      <c r="N378" s="6">
        <v>37623</v>
      </c>
      <c r="O378" s="54">
        <f>TBL_Employees3[[#This Row],[Annual Salary]]+TBL_Employees3[[#This Row],[Bonus %]]*TBL_Employees3[[#This Row],[Annual Salary]]</f>
        <v>86510</v>
      </c>
      <c r="P378" t="str">
        <f>IF(AND(TBL_Employees3[[#This Row],[Department]]="IT",TBL_Employees3[[#This Row],[Gender]]="Female"),"Yes","No")</f>
        <v>No</v>
      </c>
      <c r="Q378" t="str">
        <f>IF(AND(TBL_Employees3[[#This Row],[Gender]]="Female",TBL_Employees3[[#This Row],[Ethnicity]]="Black"), "Female_Black", "Others")</f>
        <v>Others</v>
      </c>
    </row>
    <row r="379" spans="1:17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6">
        <v>42999</v>
      </c>
      <c r="J379" s="54">
        <v>119647</v>
      </c>
      <c r="K379" s="1">
        <v>0.09</v>
      </c>
      <c r="L379" t="s">
        <v>52</v>
      </c>
      <c r="M379" t="s">
        <v>53</v>
      </c>
      <c r="N379" s="6" t="s">
        <v>21</v>
      </c>
      <c r="O379" s="54">
        <f>TBL_Employees3[[#This Row],[Annual Salary]]+TBL_Employees3[[#This Row],[Bonus %]]*TBL_Employees3[[#This Row],[Annual Salary]]</f>
        <v>130415.23</v>
      </c>
      <c r="P379" t="str">
        <f>IF(AND(TBL_Employees3[[#This Row],[Department]]="IT",TBL_Employees3[[#This Row],[Gender]]="Female"),"Yes","No")</f>
        <v>No</v>
      </c>
      <c r="Q379" t="str">
        <f>IF(AND(TBL_Employees3[[#This Row],[Gender]]="Female",TBL_Employees3[[#This Row],[Ethnicity]]="Black"), "Female_Black", "Others")</f>
        <v>Others</v>
      </c>
    </row>
    <row r="380" spans="1:17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6">
        <v>36996</v>
      </c>
      <c r="J380" s="54">
        <v>80921</v>
      </c>
      <c r="K380" s="1">
        <v>0</v>
      </c>
      <c r="L380" t="s">
        <v>19</v>
      </c>
      <c r="M380" t="s">
        <v>29</v>
      </c>
      <c r="N380" s="6" t="s">
        <v>21</v>
      </c>
      <c r="O380" s="54">
        <f>TBL_Employees3[[#This Row],[Annual Salary]]+TBL_Employees3[[#This Row],[Bonus %]]*TBL_Employees3[[#This Row],[Annual Salary]]</f>
        <v>80921</v>
      </c>
      <c r="P380" t="str">
        <f>IF(AND(TBL_Employees3[[#This Row],[Department]]="IT",TBL_Employees3[[#This Row],[Gender]]="Female"),"Yes","No")</f>
        <v>No</v>
      </c>
      <c r="Q380" t="str">
        <f>IF(AND(TBL_Employees3[[#This Row],[Gender]]="Female",TBL_Employees3[[#This Row],[Ethnicity]]="Black"), "Female_Black", "Others")</f>
        <v>Others</v>
      </c>
    </row>
    <row r="381" spans="1:17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6">
        <v>40193</v>
      </c>
      <c r="J381" s="54">
        <v>98110</v>
      </c>
      <c r="K381" s="1">
        <v>0.13</v>
      </c>
      <c r="L381" t="s">
        <v>19</v>
      </c>
      <c r="M381" t="s">
        <v>20</v>
      </c>
      <c r="N381" s="6" t="s">
        <v>21</v>
      </c>
      <c r="O381" s="54">
        <f>TBL_Employees3[[#This Row],[Annual Salary]]+TBL_Employees3[[#This Row],[Bonus %]]*TBL_Employees3[[#This Row],[Annual Salary]]</f>
        <v>110864.3</v>
      </c>
      <c r="P381" t="str">
        <f>IF(AND(TBL_Employees3[[#This Row],[Department]]="IT",TBL_Employees3[[#This Row],[Gender]]="Female"),"Yes","No")</f>
        <v>No</v>
      </c>
      <c r="Q381" t="str">
        <f>IF(AND(TBL_Employees3[[#This Row],[Gender]]="Female",TBL_Employees3[[#This Row],[Ethnicity]]="Black"), "Female_Black", "Others")</f>
        <v>Others</v>
      </c>
    </row>
    <row r="382" spans="1:17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6">
        <v>43028</v>
      </c>
      <c r="J382" s="54">
        <v>86831</v>
      </c>
      <c r="K382" s="1">
        <v>0</v>
      </c>
      <c r="L382" t="s">
        <v>19</v>
      </c>
      <c r="M382" t="s">
        <v>39</v>
      </c>
      <c r="N382" s="6" t="s">
        <v>21</v>
      </c>
      <c r="O382" s="54">
        <f>TBL_Employees3[[#This Row],[Annual Salary]]+TBL_Employees3[[#This Row],[Bonus %]]*TBL_Employees3[[#This Row],[Annual Salary]]</f>
        <v>86831</v>
      </c>
      <c r="P382" t="str">
        <f>IF(AND(TBL_Employees3[[#This Row],[Department]]="IT",TBL_Employees3[[#This Row],[Gender]]="Female"),"Yes","No")</f>
        <v>Yes</v>
      </c>
      <c r="Q382" t="str">
        <f>IF(AND(TBL_Employees3[[#This Row],[Gender]]="Female",TBL_Employees3[[#This Row],[Ethnicity]]="Black"), "Female_Black", "Others")</f>
        <v>Others</v>
      </c>
    </row>
    <row r="383" spans="1:17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6">
        <v>40431</v>
      </c>
      <c r="J383" s="54">
        <v>72826</v>
      </c>
      <c r="K383" s="1">
        <v>0</v>
      </c>
      <c r="L383" t="s">
        <v>33</v>
      </c>
      <c r="M383" t="s">
        <v>60</v>
      </c>
      <c r="N383" s="6" t="s">
        <v>21</v>
      </c>
      <c r="O383" s="54">
        <f>TBL_Employees3[[#This Row],[Annual Salary]]+TBL_Employees3[[#This Row],[Bonus %]]*TBL_Employees3[[#This Row],[Annual Salary]]</f>
        <v>72826</v>
      </c>
      <c r="P383" t="str">
        <f>IF(AND(TBL_Employees3[[#This Row],[Department]]="IT",TBL_Employees3[[#This Row],[Gender]]="Female"),"Yes","No")</f>
        <v>Yes</v>
      </c>
      <c r="Q383" t="str">
        <f>IF(AND(TBL_Employees3[[#This Row],[Gender]]="Female",TBL_Employees3[[#This Row],[Ethnicity]]="Black"), "Female_Black", "Others")</f>
        <v>Others</v>
      </c>
    </row>
    <row r="384" spans="1:17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6">
        <v>40588</v>
      </c>
      <c r="J384" s="54">
        <v>171217</v>
      </c>
      <c r="K384" s="1">
        <v>0.19</v>
      </c>
      <c r="L384" t="s">
        <v>19</v>
      </c>
      <c r="M384" t="s">
        <v>63</v>
      </c>
      <c r="N384" s="6" t="s">
        <v>21</v>
      </c>
      <c r="O384" s="54">
        <f>TBL_Employees3[[#This Row],[Annual Salary]]+TBL_Employees3[[#This Row],[Bonus %]]*TBL_Employees3[[#This Row],[Annual Salary]]</f>
        <v>203748.23</v>
      </c>
      <c r="P384" t="str">
        <f>IF(AND(TBL_Employees3[[#This Row],[Department]]="IT",TBL_Employees3[[#This Row],[Gender]]="Female"),"Yes","No")</f>
        <v>No</v>
      </c>
      <c r="Q384" t="str">
        <f>IF(AND(TBL_Employees3[[#This Row],[Gender]]="Female",TBL_Employees3[[#This Row],[Ethnicity]]="Black"), "Female_Black", "Others")</f>
        <v>Others</v>
      </c>
    </row>
    <row r="385" spans="1:17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6">
        <v>43948</v>
      </c>
      <c r="J385" s="54">
        <v>103058</v>
      </c>
      <c r="K385" s="1">
        <v>7.0000000000000007E-2</v>
      </c>
      <c r="L385" t="s">
        <v>19</v>
      </c>
      <c r="M385" t="s">
        <v>29</v>
      </c>
      <c r="N385" s="6" t="s">
        <v>21</v>
      </c>
      <c r="O385" s="54">
        <f>TBL_Employees3[[#This Row],[Annual Salary]]+TBL_Employees3[[#This Row],[Bonus %]]*TBL_Employees3[[#This Row],[Annual Salary]]</f>
        <v>110272.06</v>
      </c>
      <c r="P385" t="str">
        <f>IF(AND(TBL_Employees3[[#This Row],[Department]]="IT",TBL_Employees3[[#This Row],[Gender]]="Female"),"Yes","No")</f>
        <v>Yes</v>
      </c>
      <c r="Q385" t="str">
        <f>IF(AND(TBL_Employees3[[#This Row],[Gender]]="Female",TBL_Employees3[[#This Row],[Ethnicity]]="Black"), "Female_Black", "Others")</f>
        <v>Others</v>
      </c>
    </row>
    <row r="386" spans="1:17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6">
        <v>41858</v>
      </c>
      <c r="J386" s="54">
        <v>117062</v>
      </c>
      <c r="K386" s="1">
        <v>7.0000000000000007E-2</v>
      </c>
      <c r="L386" t="s">
        <v>19</v>
      </c>
      <c r="M386" t="s">
        <v>39</v>
      </c>
      <c r="N386" s="6" t="s">
        <v>21</v>
      </c>
      <c r="O386" s="54">
        <f>TBL_Employees3[[#This Row],[Annual Salary]]+TBL_Employees3[[#This Row],[Bonus %]]*TBL_Employees3[[#This Row],[Annual Salary]]</f>
        <v>125256.34</v>
      </c>
      <c r="P386" t="str">
        <f>IF(AND(TBL_Employees3[[#This Row],[Department]]="IT",TBL_Employees3[[#This Row],[Gender]]="Female"),"Yes","No")</f>
        <v>No</v>
      </c>
      <c r="Q386" t="str">
        <f>IF(AND(TBL_Employees3[[#This Row],[Gender]]="Female",TBL_Employees3[[#This Row],[Ethnicity]]="Black"), "Female_Black", "Others")</f>
        <v>Others</v>
      </c>
    </row>
    <row r="387" spans="1:17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6">
        <v>43488</v>
      </c>
      <c r="J387" s="54">
        <v>159031</v>
      </c>
      <c r="K387" s="1">
        <v>0.1</v>
      </c>
      <c r="L387" t="s">
        <v>19</v>
      </c>
      <c r="M387" t="s">
        <v>45</v>
      </c>
      <c r="N387" s="6" t="s">
        <v>21</v>
      </c>
      <c r="O387" s="54">
        <f>TBL_Employees3[[#This Row],[Annual Salary]]+TBL_Employees3[[#This Row],[Bonus %]]*TBL_Employees3[[#This Row],[Annual Salary]]</f>
        <v>174934.1</v>
      </c>
      <c r="P387" t="str">
        <f>IF(AND(TBL_Employees3[[#This Row],[Department]]="IT",TBL_Employees3[[#This Row],[Gender]]="Female"),"Yes","No")</f>
        <v>No</v>
      </c>
      <c r="Q387" t="str">
        <f>IF(AND(TBL_Employees3[[#This Row],[Gender]]="Female",TBL_Employees3[[#This Row],[Ethnicity]]="Black"), "Female_Black", "Others")</f>
        <v>Others</v>
      </c>
    </row>
    <row r="388" spans="1:17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6">
        <v>38000</v>
      </c>
      <c r="J388" s="54">
        <v>125086</v>
      </c>
      <c r="K388" s="1">
        <v>0.1</v>
      </c>
      <c r="L388" t="s">
        <v>52</v>
      </c>
      <c r="M388" t="s">
        <v>53</v>
      </c>
      <c r="N388" s="6" t="s">
        <v>21</v>
      </c>
      <c r="O388" s="54">
        <f>TBL_Employees3[[#This Row],[Annual Salary]]+TBL_Employees3[[#This Row],[Bonus %]]*TBL_Employees3[[#This Row],[Annual Salary]]</f>
        <v>137594.6</v>
      </c>
      <c r="P388" t="str">
        <f>IF(AND(TBL_Employees3[[#This Row],[Department]]="IT",TBL_Employees3[[#This Row],[Gender]]="Female"),"Yes","No")</f>
        <v>Yes</v>
      </c>
      <c r="Q388" t="str">
        <f>IF(AND(TBL_Employees3[[#This Row],[Gender]]="Female",TBL_Employees3[[#This Row],[Ethnicity]]="Black"), "Female_Black", "Others")</f>
        <v>Others</v>
      </c>
    </row>
    <row r="389" spans="1:17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6">
        <v>42467</v>
      </c>
      <c r="J389" s="54">
        <v>67976</v>
      </c>
      <c r="K389" s="1">
        <v>0</v>
      </c>
      <c r="L389" t="s">
        <v>19</v>
      </c>
      <c r="M389" t="s">
        <v>63</v>
      </c>
      <c r="N389" s="6" t="s">
        <v>21</v>
      </c>
      <c r="O389" s="54">
        <f>TBL_Employees3[[#This Row],[Annual Salary]]+TBL_Employees3[[#This Row],[Bonus %]]*TBL_Employees3[[#This Row],[Annual Salary]]</f>
        <v>67976</v>
      </c>
      <c r="P389" t="str">
        <f>IF(AND(TBL_Employees3[[#This Row],[Department]]="IT",TBL_Employees3[[#This Row],[Gender]]="Female"),"Yes","No")</f>
        <v>No</v>
      </c>
      <c r="Q389" t="str">
        <f>IF(AND(TBL_Employees3[[#This Row],[Gender]]="Female",TBL_Employees3[[#This Row],[Ethnicity]]="Black"), "Female_Black", "Others")</f>
        <v>Others</v>
      </c>
    </row>
    <row r="390" spans="1:17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6">
        <v>44308</v>
      </c>
      <c r="J390" s="54">
        <v>74215</v>
      </c>
      <c r="K390" s="1">
        <v>0</v>
      </c>
      <c r="L390" t="s">
        <v>19</v>
      </c>
      <c r="M390" t="s">
        <v>39</v>
      </c>
      <c r="N390" s="6" t="s">
        <v>21</v>
      </c>
      <c r="O390" s="54">
        <f>TBL_Employees3[[#This Row],[Annual Salary]]+TBL_Employees3[[#This Row],[Bonus %]]*TBL_Employees3[[#This Row],[Annual Salary]]</f>
        <v>74215</v>
      </c>
      <c r="P390" t="str">
        <f>IF(AND(TBL_Employees3[[#This Row],[Department]]="IT",TBL_Employees3[[#This Row],[Gender]]="Female"),"Yes","No")</f>
        <v>No</v>
      </c>
      <c r="Q390" t="str">
        <f>IF(AND(TBL_Employees3[[#This Row],[Gender]]="Female",TBL_Employees3[[#This Row],[Ethnicity]]="Black"), "Female_Black", "Others")</f>
        <v>Others</v>
      </c>
    </row>
    <row r="391" spans="1:17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6">
        <v>40340</v>
      </c>
      <c r="J391" s="54">
        <v>187389</v>
      </c>
      <c r="K391" s="1">
        <v>0.25</v>
      </c>
      <c r="L391" t="s">
        <v>33</v>
      </c>
      <c r="M391" t="s">
        <v>34</v>
      </c>
      <c r="N391" s="6" t="s">
        <v>21</v>
      </c>
      <c r="O391" s="54">
        <f>TBL_Employees3[[#This Row],[Annual Salary]]+TBL_Employees3[[#This Row],[Bonus %]]*TBL_Employees3[[#This Row],[Annual Salary]]</f>
        <v>234236.25</v>
      </c>
      <c r="P391" t="str">
        <f>IF(AND(TBL_Employees3[[#This Row],[Department]]="IT",TBL_Employees3[[#This Row],[Gender]]="Female"),"Yes","No")</f>
        <v>No</v>
      </c>
      <c r="Q391" t="str">
        <f>IF(AND(TBL_Employees3[[#This Row],[Gender]]="Female",TBL_Employees3[[#This Row],[Ethnicity]]="Black"), "Female_Black", "Others")</f>
        <v>Others</v>
      </c>
    </row>
    <row r="392" spans="1:17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6">
        <v>39747</v>
      </c>
      <c r="J392" s="54">
        <v>131841</v>
      </c>
      <c r="K392" s="1">
        <v>0.13</v>
      </c>
      <c r="L392" t="s">
        <v>19</v>
      </c>
      <c r="M392" t="s">
        <v>29</v>
      </c>
      <c r="N392" s="6" t="s">
        <v>21</v>
      </c>
      <c r="O392" s="54">
        <f>TBL_Employees3[[#This Row],[Annual Salary]]+TBL_Employees3[[#This Row],[Bonus %]]*TBL_Employees3[[#This Row],[Annual Salary]]</f>
        <v>148980.33000000002</v>
      </c>
      <c r="P392" t="str">
        <f>IF(AND(TBL_Employees3[[#This Row],[Department]]="IT",TBL_Employees3[[#This Row],[Gender]]="Female"),"Yes","No")</f>
        <v>No</v>
      </c>
      <c r="Q392" t="str">
        <f>IF(AND(TBL_Employees3[[#This Row],[Gender]]="Female",TBL_Employees3[[#This Row],[Ethnicity]]="Black"), "Female_Black", "Others")</f>
        <v>Others</v>
      </c>
    </row>
    <row r="393" spans="1:17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6">
        <v>40750</v>
      </c>
      <c r="J393" s="54">
        <v>97231</v>
      </c>
      <c r="K393" s="1">
        <v>0</v>
      </c>
      <c r="L393" t="s">
        <v>33</v>
      </c>
      <c r="M393" t="s">
        <v>60</v>
      </c>
      <c r="N393" s="6" t="s">
        <v>21</v>
      </c>
      <c r="O393" s="54">
        <f>TBL_Employees3[[#This Row],[Annual Salary]]+TBL_Employees3[[#This Row],[Bonus %]]*TBL_Employees3[[#This Row],[Annual Salary]]</f>
        <v>97231</v>
      </c>
      <c r="P393" t="str">
        <f>IF(AND(TBL_Employees3[[#This Row],[Department]]="IT",TBL_Employees3[[#This Row],[Gender]]="Female"),"Yes","No")</f>
        <v>No</v>
      </c>
      <c r="Q393" t="str">
        <f>IF(AND(TBL_Employees3[[#This Row],[Gender]]="Female",TBL_Employees3[[#This Row],[Ethnicity]]="Black"), "Female_Black", "Others")</f>
        <v>Others</v>
      </c>
    </row>
    <row r="394" spans="1:17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6">
        <v>38060</v>
      </c>
      <c r="J394" s="54">
        <v>155004</v>
      </c>
      <c r="K394" s="1">
        <v>0.12</v>
      </c>
      <c r="L394" t="s">
        <v>19</v>
      </c>
      <c r="M394" t="s">
        <v>25</v>
      </c>
      <c r="N394" s="6" t="s">
        <v>21</v>
      </c>
      <c r="O394" s="54">
        <f>TBL_Employees3[[#This Row],[Annual Salary]]+TBL_Employees3[[#This Row],[Bonus %]]*TBL_Employees3[[#This Row],[Annual Salary]]</f>
        <v>173604.48000000001</v>
      </c>
      <c r="P394" t="str">
        <f>IF(AND(TBL_Employees3[[#This Row],[Department]]="IT",TBL_Employees3[[#This Row],[Gender]]="Female"),"Yes","No")</f>
        <v>No</v>
      </c>
      <c r="Q394" t="str">
        <f>IF(AND(TBL_Employees3[[#This Row],[Gender]]="Female",TBL_Employees3[[#This Row],[Ethnicity]]="Black"), "Female_Black", "Others")</f>
        <v>Others</v>
      </c>
    </row>
    <row r="395" spans="1:17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6">
        <v>39293</v>
      </c>
      <c r="J395" s="54">
        <v>41859</v>
      </c>
      <c r="K395" s="1">
        <v>0</v>
      </c>
      <c r="L395" t="s">
        <v>19</v>
      </c>
      <c r="M395" t="s">
        <v>63</v>
      </c>
      <c r="N395" s="6" t="s">
        <v>21</v>
      </c>
      <c r="O395" s="54">
        <f>TBL_Employees3[[#This Row],[Annual Salary]]+TBL_Employees3[[#This Row],[Bonus %]]*TBL_Employees3[[#This Row],[Annual Salary]]</f>
        <v>41859</v>
      </c>
      <c r="P395" t="str">
        <f>IF(AND(TBL_Employees3[[#This Row],[Department]]="IT",TBL_Employees3[[#This Row],[Gender]]="Female"),"Yes","No")</f>
        <v>No</v>
      </c>
      <c r="Q395" t="str">
        <f>IF(AND(TBL_Employees3[[#This Row],[Gender]]="Female",TBL_Employees3[[#This Row],[Ethnicity]]="Black"), "Female_Black", "Others")</f>
        <v>Others</v>
      </c>
    </row>
    <row r="396" spans="1:17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6">
        <v>38984</v>
      </c>
      <c r="J396" s="54">
        <v>52733</v>
      </c>
      <c r="K396" s="1">
        <v>0</v>
      </c>
      <c r="L396" t="s">
        <v>19</v>
      </c>
      <c r="M396" t="s">
        <v>20</v>
      </c>
      <c r="N396" s="6" t="s">
        <v>21</v>
      </c>
      <c r="O396" s="54">
        <f>TBL_Employees3[[#This Row],[Annual Salary]]+TBL_Employees3[[#This Row],[Bonus %]]*TBL_Employees3[[#This Row],[Annual Salary]]</f>
        <v>52733</v>
      </c>
      <c r="P396" t="str">
        <f>IF(AND(TBL_Employees3[[#This Row],[Department]]="IT",TBL_Employees3[[#This Row],[Gender]]="Female"),"Yes","No")</f>
        <v>No</v>
      </c>
      <c r="Q396" t="str">
        <f>IF(AND(TBL_Employees3[[#This Row],[Gender]]="Female",TBL_Employees3[[#This Row],[Ethnicity]]="Black"), "Female_Black", "Others")</f>
        <v>Others</v>
      </c>
    </row>
    <row r="397" spans="1:17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6">
        <v>42250</v>
      </c>
      <c r="J397" s="54">
        <v>250953</v>
      </c>
      <c r="K397" s="1">
        <v>0.34</v>
      </c>
      <c r="L397" t="s">
        <v>19</v>
      </c>
      <c r="M397" t="s">
        <v>29</v>
      </c>
      <c r="N397" s="6" t="s">
        <v>21</v>
      </c>
      <c r="O397" s="54">
        <f>TBL_Employees3[[#This Row],[Annual Salary]]+TBL_Employees3[[#This Row],[Bonus %]]*TBL_Employees3[[#This Row],[Annual Salary]]</f>
        <v>336277.02</v>
      </c>
      <c r="P397" t="str">
        <f>IF(AND(TBL_Employees3[[#This Row],[Department]]="IT",TBL_Employees3[[#This Row],[Gender]]="Female"),"Yes","No")</f>
        <v>No</v>
      </c>
      <c r="Q397" t="str">
        <f>IF(AND(TBL_Employees3[[#This Row],[Gender]]="Female",TBL_Employees3[[#This Row],[Ethnicity]]="Black"), "Female_Black", "Others")</f>
        <v>Others</v>
      </c>
    </row>
    <row r="398" spans="1:17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6">
        <v>36210</v>
      </c>
      <c r="J398" s="54">
        <v>191807</v>
      </c>
      <c r="K398" s="1">
        <v>0.21</v>
      </c>
      <c r="L398" t="s">
        <v>33</v>
      </c>
      <c r="M398" t="s">
        <v>80</v>
      </c>
      <c r="N398" s="6" t="s">
        <v>21</v>
      </c>
      <c r="O398" s="54">
        <f>TBL_Employees3[[#This Row],[Annual Salary]]+TBL_Employees3[[#This Row],[Bonus %]]*TBL_Employees3[[#This Row],[Annual Salary]]</f>
        <v>232086.47</v>
      </c>
      <c r="P398" t="str">
        <f>IF(AND(TBL_Employees3[[#This Row],[Department]]="IT",TBL_Employees3[[#This Row],[Gender]]="Female"),"Yes","No")</f>
        <v>No</v>
      </c>
      <c r="Q398" t="str">
        <f>IF(AND(TBL_Employees3[[#This Row],[Gender]]="Female",TBL_Employees3[[#This Row],[Ethnicity]]="Black"), "Female_Black", "Others")</f>
        <v>Others</v>
      </c>
    </row>
    <row r="399" spans="1:17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6">
        <v>41813</v>
      </c>
      <c r="J399" s="54">
        <v>64677</v>
      </c>
      <c r="K399" s="1">
        <v>0</v>
      </c>
      <c r="L399" t="s">
        <v>33</v>
      </c>
      <c r="M399" t="s">
        <v>80</v>
      </c>
      <c r="N399" s="6" t="s">
        <v>21</v>
      </c>
      <c r="O399" s="54">
        <f>TBL_Employees3[[#This Row],[Annual Salary]]+TBL_Employees3[[#This Row],[Bonus %]]*TBL_Employees3[[#This Row],[Annual Salary]]</f>
        <v>64677</v>
      </c>
      <c r="P399" t="str">
        <f>IF(AND(TBL_Employees3[[#This Row],[Department]]="IT",TBL_Employees3[[#This Row],[Gender]]="Female"),"Yes","No")</f>
        <v>No</v>
      </c>
      <c r="Q399" t="str">
        <f>IF(AND(TBL_Employees3[[#This Row],[Gender]]="Female",TBL_Employees3[[#This Row],[Ethnicity]]="Black"), "Female_Black", "Others")</f>
        <v>Others</v>
      </c>
    </row>
    <row r="400" spans="1:17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6">
        <v>38244</v>
      </c>
      <c r="J400" s="54">
        <v>130274</v>
      </c>
      <c r="K400" s="1">
        <v>0.11</v>
      </c>
      <c r="L400" t="s">
        <v>19</v>
      </c>
      <c r="M400" t="s">
        <v>20</v>
      </c>
      <c r="N400" s="6" t="s">
        <v>21</v>
      </c>
      <c r="O400" s="54">
        <f>TBL_Employees3[[#This Row],[Annual Salary]]+TBL_Employees3[[#This Row],[Bonus %]]*TBL_Employees3[[#This Row],[Annual Salary]]</f>
        <v>144604.14000000001</v>
      </c>
      <c r="P400" t="str">
        <f>IF(AND(TBL_Employees3[[#This Row],[Department]]="IT",TBL_Employees3[[#This Row],[Gender]]="Female"),"Yes","No")</f>
        <v>No</v>
      </c>
      <c r="Q400" t="str">
        <f>IF(AND(TBL_Employees3[[#This Row],[Gender]]="Female",TBL_Employees3[[#This Row],[Ethnicity]]="Black"), "Female_Black", "Others")</f>
        <v>Others</v>
      </c>
    </row>
    <row r="401" spans="1:17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6">
        <v>42922</v>
      </c>
      <c r="J401" s="54">
        <v>96331</v>
      </c>
      <c r="K401" s="1">
        <v>0</v>
      </c>
      <c r="L401" t="s">
        <v>33</v>
      </c>
      <c r="M401" t="s">
        <v>74</v>
      </c>
      <c r="N401" s="6" t="s">
        <v>21</v>
      </c>
      <c r="O401" s="54">
        <f>TBL_Employees3[[#This Row],[Annual Salary]]+TBL_Employees3[[#This Row],[Bonus %]]*TBL_Employees3[[#This Row],[Annual Salary]]</f>
        <v>96331</v>
      </c>
      <c r="P401" t="str">
        <f>IF(AND(TBL_Employees3[[#This Row],[Department]]="IT",TBL_Employees3[[#This Row],[Gender]]="Female"),"Yes","No")</f>
        <v>No</v>
      </c>
      <c r="Q401" t="str">
        <f>IF(AND(TBL_Employees3[[#This Row],[Gender]]="Female",TBL_Employees3[[#This Row],[Ethnicity]]="Black"), "Female_Black", "Others")</f>
        <v>Others</v>
      </c>
    </row>
    <row r="402" spans="1:17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6">
        <v>38835</v>
      </c>
      <c r="J402" s="54">
        <v>150758</v>
      </c>
      <c r="K402" s="1">
        <v>0.13</v>
      </c>
      <c r="L402" t="s">
        <v>19</v>
      </c>
      <c r="M402" t="s">
        <v>20</v>
      </c>
      <c r="N402" s="6">
        <v>39310</v>
      </c>
      <c r="O402" s="54">
        <f>TBL_Employees3[[#This Row],[Annual Salary]]+TBL_Employees3[[#This Row],[Bonus %]]*TBL_Employees3[[#This Row],[Annual Salary]]</f>
        <v>170356.54</v>
      </c>
      <c r="P402" t="str">
        <f>IF(AND(TBL_Employees3[[#This Row],[Department]]="IT",TBL_Employees3[[#This Row],[Gender]]="Female"),"Yes","No")</f>
        <v>No</v>
      </c>
      <c r="Q402" t="str">
        <f>IF(AND(TBL_Employees3[[#This Row],[Gender]]="Female",TBL_Employees3[[#This Row],[Ethnicity]]="Black"), "Female_Black", "Others")</f>
        <v>Others</v>
      </c>
    </row>
    <row r="403" spans="1:17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6">
        <v>41839</v>
      </c>
      <c r="J403" s="54">
        <v>173629</v>
      </c>
      <c r="K403" s="1">
        <v>0.21</v>
      </c>
      <c r="L403" t="s">
        <v>52</v>
      </c>
      <c r="M403" t="s">
        <v>53</v>
      </c>
      <c r="N403" s="6" t="s">
        <v>21</v>
      </c>
      <c r="O403" s="54">
        <f>TBL_Employees3[[#This Row],[Annual Salary]]+TBL_Employees3[[#This Row],[Bonus %]]*TBL_Employees3[[#This Row],[Annual Salary]]</f>
        <v>210091.09</v>
      </c>
      <c r="P403" t="str">
        <f>IF(AND(TBL_Employees3[[#This Row],[Department]]="IT",TBL_Employees3[[#This Row],[Gender]]="Female"),"Yes","No")</f>
        <v>No</v>
      </c>
      <c r="Q403" t="str">
        <f>IF(AND(TBL_Employees3[[#This Row],[Gender]]="Female",TBL_Employees3[[#This Row],[Ethnicity]]="Black"), "Female_Black", "Others")</f>
        <v>Others</v>
      </c>
    </row>
    <row r="404" spans="1:17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6">
        <v>35919</v>
      </c>
      <c r="J404" s="54">
        <v>62174</v>
      </c>
      <c r="K404" s="1">
        <v>0</v>
      </c>
      <c r="L404" t="s">
        <v>19</v>
      </c>
      <c r="M404" t="s">
        <v>20</v>
      </c>
      <c r="N404" s="6" t="s">
        <v>21</v>
      </c>
      <c r="O404" s="54">
        <f>TBL_Employees3[[#This Row],[Annual Salary]]+TBL_Employees3[[#This Row],[Bonus %]]*TBL_Employees3[[#This Row],[Annual Salary]]</f>
        <v>62174</v>
      </c>
      <c r="P404" t="str">
        <f>IF(AND(TBL_Employees3[[#This Row],[Department]]="IT",TBL_Employees3[[#This Row],[Gender]]="Female"),"Yes","No")</f>
        <v>No</v>
      </c>
      <c r="Q404" t="str">
        <f>IF(AND(TBL_Employees3[[#This Row],[Gender]]="Female",TBL_Employees3[[#This Row],[Ethnicity]]="Black"), "Female_Black", "Others")</f>
        <v>Others</v>
      </c>
    </row>
    <row r="405" spans="1:17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6">
        <v>43028</v>
      </c>
      <c r="J405" s="54">
        <v>56555</v>
      </c>
      <c r="K405" s="1">
        <v>0</v>
      </c>
      <c r="L405" t="s">
        <v>19</v>
      </c>
      <c r="M405" t="s">
        <v>39</v>
      </c>
      <c r="N405" s="6" t="s">
        <v>21</v>
      </c>
      <c r="O405" s="54">
        <f>TBL_Employees3[[#This Row],[Annual Salary]]+TBL_Employees3[[#This Row],[Bonus %]]*TBL_Employees3[[#This Row],[Annual Salary]]</f>
        <v>56555</v>
      </c>
      <c r="P405" t="str">
        <f>IF(AND(TBL_Employees3[[#This Row],[Department]]="IT",TBL_Employees3[[#This Row],[Gender]]="Female"),"Yes","No")</f>
        <v>No</v>
      </c>
      <c r="Q405" t="str">
        <f>IF(AND(TBL_Employees3[[#This Row],[Gender]]="Female",TBL_Employees3[[#This Row],[Ethnicity]]="Black"), "Female_Black", "Others")</f>
        <v>Others</v>
      </c>
    </row>
    <row r="406" spans="1:17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6">
        <v>38623</v>
      </c>
      <c r="J406" s="54">
        <v>74655</v>
      </c>
      <c r="K406" s="1">
        <v>0</v>
      </c>
      <c r="L406" t="s">
        <v>19</v>
      </c>
      <c r="M406" t="s">
        <v>25</v>
      </c>
      <c r="N406" s="6" t="s">
        <v>21</v>
      </c>
      <c r="O406" s="54">
        <f>TBL_Employees3[[#This Row],[Annual Salary]]+TBL_Employees3[[#This Row],[Bonus %]]*TBL_Employees3[[#This Row],[Annual Salary]]</f>
        <v>74655</v>
      </c>
      <c r="P406" t="str">
        <f>IF(AND(TBL_Employees3[[#This Row],[Department]]="IT",TBL_Employees3[[#This Row],[Gender]]="Female"),"Yes","No")</f>
        <v>No</v>
      </c>
      <c r="Q406" t="str">
        <f>IF(AND(TBL_Employees3[[#This Row],[Gender]]="Female",TBL_Employees3[[#This Row],[Ethnicity]]="Black"), "Female_Black", "Others")</f>
        <v>Others</v>
      </c>
    </row>
    <row r="407" spans="1:17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6">
        <v>37844</v>
      </c>
      <c r="J407" s="54">
        <v>93017</v>
      </c>
      <c r="K407" s="1">
        <v>0</v>
      </c>
      <c r="L407" t="s">
        <v>19</v>
      </c>
      <c r="M407" t="s">
        <v>63</v>
      </c>
      <c r="N407" s="6" t="s">
        <v>21</v>
      </c>
      <c r="O407" s="54">
        <f>TBL_Employees3[[#This Row],[Annual Salary]]+TBL_Employees3[[#This Row],[Bonus %]]*TBL_Employees3[[#This Row],[Annual Salary]]</f>
        <v>93017</v>
      </c>
      <c r="P407" t="str">
        <f>IF(AND(TBL_Employees3[[#This Row],[Department]]="IT",TBL_Employees3[[#This Row],[Gender]]="Female"),"Yes","No")</f>
        <v>No</v>
      </c>
      <c r="Q407" t="str">
        <f>IF(AND(TBL_Employees3[[#This Row],[Gender]]="Female",TBL_Employees3[[#This Row],[Ethnicity]]="Black"), "Female_Black", "Others")</f>
        <v>Others</v>
      </c>
    </row>
    <row r="408" spans="1:17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6">
        <v>41013</v>
      </c>
      <c r="J408" s="54">
        <v>82300</v>
      </c>
      <c r="K408" s="1">
        <v>0</v>
      </c>
      <c r="L408" t="s">
        <v>33</v>
      </c>
      <c r="M408" t="s">
        <v>34</v>
      </c>
      <c r="N408" s="6" t="s">
        <v>21</v>
      </c>
      <c r="O408" s="54">
        <f>TBL_Employees3[[#This Row],[Annual Salary]]+TBL_Employees3[[#This Row],[Bonus %]]*TBL_Employees3[[#This Row],[Annual Salary]]</f>
        <v>82300</v>
      </c>
      <c r="P408" t="str">
        <f>IF(AND(TBL_Employees3[[#This Row],[Department]]="IT",TBL_Employees3[[#This Row],[Gender]]="Female"),"Yes","No")</f>
        <v>No</v>
      </c>
      <c r="Q408" t="str">
        <f>IF(AND(TBL_Employees3[[#This Row],[Gender]]="Female",TBL_Employees3[[#This Row],[Ethnicity]]="Black"), "Female_Black", "Others")</f>
        <v>Others</v>
      </c>
    </row>
    <row r="409" spans="1:17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6">
        <v>39471</v>
      </c>
      <c r="J409" s="54">
        <v>91621</v>
      </c>
      <c r="K409" s="1">
        <v>0</v>
      </c>
      <c r="L409" t="s">
        <v>19</v>
      </c>
      <c r="M409" t="s">
        <v>20</v>
      </c>
      <c r="N409" s="6" t="s">
        <v>21</v>
      </c>
      <c r="O409" s="54">
        <f>TBL_Employees3[[#This Row],[Annual Salary]]+TBL_Employees3[[#This Row],[Bonus %]]*TBL_Employees3[[#This Row],[Annual Salary]]</f>
        <v>91621</v>
      </c>
      <c r="P409" t="str">
        <f>IF(AND(TBL_Employees3[[#This Row],[Department]]="IT",TBL_Employees3[[#This Row],[Gender]]="Female"),"Yes","No")</f>
        <v>No</v>
      </c>
      <c r="Q409" t="str">
        <f>IF(AND(TBL_Employees3[[#This Row],[Gender]]="Female",TBL_Employees3[[#This Row],[Ethnicity]]="Black"), "Female_Black", "Others")</f>
        <v>Others</v>
      </c>
    </row>
    <row r="410" spans="1:17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6">
        <v>41973</v>
      </c>
      <c r="J410" s="54">
        <v>91280</v>
      </c>
      <c r="K410" s="1">
        <v>0</v>
      </c>
      <c r="L410" t="s">
        <v>19</v>
      </c>
      <c r="M410" t="s">
        <v>45</v>
      </c>
      <c r="N410" s="6" t="s">
        <v>21</v>
      </c>
      <c r="O410" s="54">
        <f>TBL_Employees3[[#This Row],[Annual Salary]]+TBL_Employees3[[#This Row],[Bonus %]]*TBL_Employees3[[#This Row],[Annual Salary]]</f>
        <v>91280</v>
      </c>
      <c r="P410" t="str">
        <f>IF(AND(TBL_Employees3[[#This Row],[Department]]="IT",TBL_Employees3[[#This Row],[Gender]]="Female"),"Yes","No")</f>
        <v>No</v>
      </c>
      <c r="Q410" t="str">
        <f>IF(AND(TBL_Employees3[[#This Row],[Gender]]="Female",TBL_Employees3[[#This Row],[Ethnicity]]="Black"), "Female_Black", "Others")</f>
        <v>Others</v>
      </c>
    </row>
    <row r="411" spans="1:17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6">
        <v>44092</v>
      </c>
      <c r="J411" s="54">
        <v>47071</v>
      </c>
      <c r="K411" s="1">
        <v>0</v>
      </c>
      <c r="L411" t="s">
        <v>19</v>
      </c>
      <c r="M411" t="s">
        <v>29</v>
      </c>
      <c r="N411" s="6" t="s">
        <v>21</v>
      </c>
      <c r="O411" s="54">
        <f>TBL_Employees3[[#This Row],[Annual Salary]]+TBL_Employees3[[#This Row],[Bonus %]]*TBL_Employees3[[#This Row],[Annual Salary]]</f>
        <v>47071</v>
      </c>
      <c r="P411" t="str">
        <f>IF(AND(TBL_Employees3[[#This Row],[Department]]="IT",TBL_Employees3[[#This Row],[Gender]]="Female"),"Yes","No")</f>
        <v>No</v>
      </c>
      <c r="Q411" t="str">
        <f>IF(AND(TBL_Employees3[[#This Row],[Gender]]="Female",TBL_Employees3[[#This Row],[Ethnicity]]="Black"), "Female_Black", "Others")</f>
        <v>Female_Black</v>
      </c>
    </row>
    <row r="412" spans="1:17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6">
        <v>40868</v>
      </c>
      <c r="J412" s="54">
        <v>81218</v>
      </c>
      <c r="K412" s="1">
        <v>0</v>
      </c>
      <c r="L412" t="s">
        <v>19</v>
      </c>
      <c r="M412" t="s">
        <v>20</v>
      </c>
      <c r="N412" s="6" t="s">
        <v>21</v>
      </c>
      <c r="O412" s="54">
        <f>TBL_Employees3[[#This Row],[Annual Salary]]+TBL_Employees3[[#This Row],[Bonus %]]*TBL_Employees3[[#This Row],[Annual Salary]]</f>
        <v>81218</v>
      </c>
      <c r="P412" t="str">
        <f>IF(AND(TBL_Employees3[[#This Row],[Department]]="IT",TBL_Employees3[[#This Row],[Gender]]="Female"),"Yes","No")</f>
        <v>Yes</v>
      </c>
      <c r="Q412" t="str">
        <f>IF(AND(TBL_Employees3[[#This Row],[Gender]]="Female",TBL_Employees3[[#This Row],[Ethnicity]]="Black"), "Female_Black", "Others")</f>
        <v>Others</v>
      </c>
    </row>
    <row r="413" spans="1:17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6">
        <v>39734</v>
      </c>
      <c r="J413" s="54">
        <v>181801</v>
      </c>
      <c r="K413" s="1">
        <v>0.4</v>
      </c>
      <c r="L413" t="s">
        <v>33</v>
      </c>
      <c r="M413" t="s">
        <v>80</v>
      </c>
      <c r="N413" s="6">
        <v>43810</v>
      </c>
      <c r="O413" s="54">
        <f>TBL_Employees3[[#This Row],[Annual Salary]]+TBL_Employees3[[#This Row],[Bonus %]]*TBL_Employees3[[#This Row],[Annual Salary]]</f>
        <v>254521.40000000002</v>
      </c>
      <c r="P413" t="str">
        <f>IF(AND(TBL_Employees3[[#This Row],[Department]]="IT",TBL_Employees3[[#This Row],[Gender]]="Female"),"Yes","No")</f>
        <v>No</v>
      </c>
      <c r="Q413" t="str">
        <f>IF(AND(TBL_Employees3[[#This Row],[Gender]]="Female",TBL_Employees3[[#This Row],[Ethnicity]]="Black"), "Female_Black", "Others")</f>
        <v>Others</v>
      </c>
    </row>
    <row r="414" spans="1:17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6">
        <v>44521</v>
      </c>
      <c r="J414" s="54">
        <v>63137</v>
      </c>
      <c r="K414" s="1">
        <v>0</v>
      </c>
      <c r="L414" t="s">
        <v>19</v>
      </c>
      <c r="M414" t="s">
        <v>20</v>
      </c>
      <c r="N414" s="6" t="s">
        <v>21</v>
      </c>
      <c r="O414" s="54">
        <f>TBL_Employees3[[#This Row],[Annual Salary]]+TBL_Employees3[[#This Row],[Bonus %]]*TBL_Employees3[[#This Row],[Annual Salary]]</f>
        <v>63137</v>
      </c>
      <c r="P414" t="str">
        <f>IF(AND(TBL_Employees3[[#This Row],[Department]]="IT",TBL_Employees3[[#This Row],[Gender]]="Female"),"Yes","No")</f>
        <v>No</v>
      </c>
      <c r="Q414" t="str">
        <f>IF(AND(TBL_Employees3[[#This Row],[Gender]]="Female",TBL_Employees3[[#This Row],[Ethnicity]]="Black"), "Female_Black", "Others")</f>
        <v>Others</v>
      </c>
    </row>
    <row r="415" spans="1:17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6">
        <v>43345</v>
      </c>
      <c r="J415" s="54">
        <v>221465</v>
      </c>
      <c r="K415" s="1">
        <v>0.34</v>
      </c>
      <c r="L415" t="s">
        <v>33</v>
      </c>
      <c r="M415" t="s">
        <v>34</v>
      </c>
      <c r="N415" s="6" t="s">
        <v>21</v>
      </c>
      <c r="O415" s="54">
        <f>TBL_Employees3[[#This Row],[Annual Salary]]+TBL_Employees3[[#This Row],[Bonus %]]*TBL_Employees3[[#This Row],[Annual Salary]]</f>
        <v>296763.09999999998</v>
      </c>
      <c r="P415" t="str">
        <f>IF(AND(TBL_Employees3[[#This Row],[Department]]="IT",TBL_Employees3[[#This Row],[Gender]]="Female"),"Yes","No")</f>
        <v>No</v>
      </c>
      <c r="Q415" t="str">
        <f>IF(AND(TBL_Employees3[[#This Row],[Gender]]="Female",TBL_Employees3[[#This Row],[Ethnicity]]="Black"), "Female_Black", "Others")</f>
        <v>Others</v>
      </c>
    </row>
    <row r="416" spans="1:17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6">
        <v>41404</v>
      </c>
      <c r="J416" s="54">
        <v>79388</v>
      </c>
      <c r="K416" s="1">
        <v>0</v>
      </c>
      <c r="L416" t="s">
        <v>19</v>
      </c>
      <c r="M416" t="s">
        <v>25</v>
      </c>
      <c r="N416" s="6">
        <v>43681</v>
      </c>
      <c r="O416" s="54">
        <f>TBL_Employees3[[#This Row],[Annual Salary]]+TBL_Employees3[[#This Row],[Bonus %]]*TBL_Employees3[[#This Row],[Annual Salary]]</f>
        <v>79388</v>
      </c>
      <c r="P416" t="str">
        <f>IF(AND(TBL_Employees3[[#This Row],[Department]]="IT",TBL_Employees3[[#This Row],[Gender]]="Female"),"Yes","No")</f>
        <v>No</v>
      </c>
      <c r="Q416" t="str">
        <f>IF(AND(TBL_Employees3[[#This Row],[Gender]]="Female",TBL_Employees3[[#This Row],[Ethnicity]]="Black"), "Female_Black", "Others")</f>
        <v>Others</v>
      </c>
    </row>
    <row r="417" spans="1:17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6">
        <v>43122</v>
      </c>
      <c r="J417" s="54">
        <v>68176</v>
      </c>
      <c r="K417" s="1">
        <v>0</v>
      </c>
      <c r="L417" t="s">
        <v>19</v>
      </c>
      <c r="M417" t="s">
        <v>63</v>
      </c>
      <c r="N417" s="6" t="s">
        <v>21</v>
      </c>
      <c r="O417" s="54">
        <f>TBL_Employees3[[#This Row],[Annual Salary]]+TBL_Employees3[[#This Row],[Bonus %]]*TBL_Employees3[[#This Row],[Annual Salary]]</f>
        <v>68176</v>
      </c>
      <c r="P417" t="str">
        <f>IF(AND(TBL_Employees3[[#This Row],[Department]]="IT",TBL_Employees3[[#This Row],[Gender]]="Female"),"Yes","No")</f>
        <v>Yes</v>
      </c>
      <c r="Q417" t="str">
        <f>IF(AND(TBL_Employees3[[#This Row],[Gender]]="Female",TBL_Employees3[[#This Row],[Ethnicity]]="Black"), "Female_Black", "Others")</f>
        <v>Others</v>
      </c>
    </row>
    <row r="418" spans="1:17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6">
        <v>43756</v>
      </c>
      <c r="J418" s="54">
        <v>122829</v>
      </c>
      <c r="K418" s="1">
        <v>0.11</v>
      </c>
      <c r="L418" t="s">
        <v>19</v>
      </c>
      <c r="M418" t="s">
        <v>20</v>
      </c>
      <c r="N418" s="6" t="s">
        <v>21</v>
      </c>
      <c r="O418" s="54">
        <f>TBL_Employees3[[#This Row],[Annual Salary]]+TBL_Employees3[[#This Row],[Bonus %]]*TBL_Employees3[[#This Row],[Annual Salary]]</f>
        <v>136340.19</v>
      </c>
      <c r="P418" t="str">
        <f>IF(AND(TBL_Employees3[[#This Row],[Department]]="IT",TBL_Employees3[[#This Row],[Gender]]="Female"),"Yes","No")</f>
        <v>No</v>
      </c>
      <c r="Q418" t="str">
        <f>IF(AND(TBL_Employees3[[#This Row],[Gender]]="Female",TBL_Employees3[[#This Row],[Ethnicity]]="Black"), "Female_Black", "Others")</f>
        <v>Others</v>
      </c>
    </row>
    <row r="419" spans="1:17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6">
        <v>43695</v>
      </c>
      <c r="J419" s="54">
        <v>126353</v>
      </c>
      <c r="K419" s="1">
        <v>0.12</v>
      </c>
      <c r="L419" t="s">
        <v>33</v>
      </c>
      <c r="M419" t="s">
        <v>74</v>
      </c>
      <c r="N419" s="6" t="s">
        <v>21</v>
      </c>
      <c r="O419" s="54">
        <f>TBL_Employees3[[#This Row],[Annual Salary]]+TBL_Employees3[[#This Row],[Bonus %]]*TBL_Employees3[[#This Row],[Annual Salary]]</f>
        <v>141515.35999999999</v>
      </c>
      <c r="P419" t="str">
        <f>IF(AND(TBL_Employees3[[#This Row],[Department]]="IT",TBL_Employees3[[#This Row],[Gender]]="Female"),"Yes","No")</f>
        <v>No</v>
      </c>
      <c r="Q419" t="str">
        <f>IF(AND(TBL_Employees3[[#This Row],[Gender]]="Female",TBL_Employees3[[#This Row],[Ethnicity]]="Black"), "Female_Black", "Others")</f>
        <v>Others</v>
      </c>
    </row>
    <row r="420" spans="1:17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6">
        <v>40468</v>
      </c>
      <c r="J420" s="54">
        <v>188727</v>
      </c>
      <c r="K420" s="1">
        <v>0.23</v>
      </c>
      <c r="L420" t="s">
        <v>33</v>
      </c>
      <c r="M420" t="s">
        <v>34</v>
      </c>
      <c r="N420" s="6" t="s">
        <v>21</v>
      </c>
      <c r="O420" s="54">
        <f>TBL_Employees3[[#This Row],[Annual Salary]]+TBL_Employees3[[#This Row],[Bonus %]]*TBL_Employees3[[#This Row],[Annual Salary]]</f>
        <v>232134.21</v>
      </c>
      <c r="P420" t="str">
        <f>IF(AND(TBL_Employees3[[#This Row],[Department]]="IT",TBL_Employees3[[#This Row],[Gender]]="Female"),"Yes","No")</f>
        <v>No</v>
      </c>
      <c r="Q420" t="str">
        <f>IF(AND(TBL_Employees3[[#This Row],[Gender]]="Female",TBL_Employees3[[#This Row],[Ethnicity]]="Black"), "Female_Black", "Others")</f>
        <v>Others</v>
      </c>
    </row>
    <row r="421" spans="1:17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6">
        <v>34383</v>
      </c>
      <c r="J421" s="54">
        <v>99624</v>
      </c>
      <c r="K421" s="1">
        <v>0</v>
      </c>
      <c r="L421" t="s">
        <v>19</v>
      </c>
      <c r="M421" t="s">
        <v>63</v>
      </c>
      <c r="N421" s="6" t="s">
        <v>21</v>
      </c>
      <c r="O421" s="54">
        <f>TBL_Employees3[[#This Row],[Annual Salary]]+TBL_Employees3[[#This Row],[Bonus %]]*TBL_Employees3[[#This Row],[Annual Salary]]</f>
        <v>99624</v>
      </c>
      <c r="P421" t="str">
        <f>IF(AND(TBL_Employees3[[#This Row],[Department]]="IT",TBL_Employees3[[#This Row],[Gender]]="Female"),"Yes","No")</f>
        <v>No</v>
      </c>
      <c r="Q421" t="str">
        <f>IF(AND(TBL_Employees3[[#This Row],[Gender]]="Female",TBL_Employees3[[#This Row],[Ethnicity]]="Black"), "Female_Black", "Others")</f>
        <v>Others</v>
      </c>
    </row>
    <row r="422" spans="1:17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6">
        <v>41202</v>
      </c>
      <c r="J422" s="54">
        <v>108686</v>
      </c>
      <c r="K422" s="1">
        <v>0.06</v>
      </c>
      <c r="L422" t="s">
        <v>19</v>
      </c>
      <c r="M422" t="s">
        <v>29</v>
      </c>
      <c r="N422" s="6" t="s">
        <v>21</v>
      </c>
      <c r="O422" s="54">
        <f>TBL_Employees3[[#This Row],[Annual Salary]]+TBL_Employees3[[#This Row],[Bonus %]]*TBL_Employees3[[#This Row],[Annual Salary]]</f>
        <v>115207.16</v>
      </c>
      <c r="P422" t="str">
        <f>IF(AND(TBL_Employees3[[#This Row],[Department]]="IT",TBL_Employees3[[#This Row],[Gender]]="Female"),"Yes","No")</f>
        <v>No</v>
      </c>
      <c r="Q422" t="str">
        <f>IF(AND(TBL_Employees3[[#This Row],[Gender]]="Female",TBL_Employees3[[#This Row],[Ethnicity]]="Black"), "Female_Black", "Others")</f>
        <v>Others</v>
      </c>
    </row>
    <row r="423" spans="1:17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6">
        <v>34802</v>
      </c>
      <c r="J423" s="54">
        <v>50857</v>
      </c>
      <c r="K423" s="1">
        <v>0</v>
      </c>
      <c r="L423" t="s">
        <v>52</v>
      </c>
      <c r="M423" t="s">
        <v>81</v>
      </c>
      <c r="N423" s="6" t="s">
        <v>21</v>
      </c>
      <c r="O423" s="54">
        <f>TBL_Employees3[[#This Row],[Annual Salary]]+TBL_Employees3[[#This Row],[Bonus %]]*TBL_Employees3[[#This Row],[Annual Salary]]</f>
        <v>50857</v>
      </c>
      <c r="P423" t="str">
        <f>IF(AND(TBL_Employees3[[#This Row],[Department]]="IT",TBL_Employees3[[#This Row],[Gender]]="Female"),"Yes","No")</f>
        <v>No</v>
      </c>
      <c r="Q423" t="str">
        <f>IF(AND(TBL_Employees3[[#This Row],[Gender]]="Female",TBL_Employees3[[#This Row],[Ethnicity]]="Black"), "Female_Black", "Others")</f>
        <v>Others</v>
      </c>
    </row>
    <row r="424" spans="1:17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6">
        <v>36893</v>
      </c>
      <c r="J424" s="54">
        <v>120628</v>
      </c>
      <c r="K424" s="1">
        <v>0</v>
      </c>
      <c r="L424" t="s">
        <v>19</v>
      </c>
      <c r="M424" t="s">
        <v>20</v>
      </c>
      <c r="N424" s="6" t="s">
        <v>21</v>
      </c>
      <c r="O424" s="54">
        <f>TBL_Employees3[[#This Row],[Annual Salary]]+TBL_Employees3[[#This Row],[Bonus %]]*TBL_Employees3[[#This Row],[Annual Salary]]</f>
        <v>120628</v>
      </c>
      <c r="P424" t="str">
        <f>IF(AND(TBL_Employees3[[#This Row],[Department]]="IT",TBL_Employees3[[#This Row],[Gender]]="Female"),"Yes","No")</f>
        <v>No</v>
      </c>
      <c r="Q424" t="str">
        <f>IF(AND(TBL_Employees3[[#This Row],[Gender]]="Female",TBL_Employees3[[#This Row],[Ethnicity]]="Black"), "Female_Black", "Others")</f>
        <v>Others</v>
      </c>
    </row>
    <row r="425" spans="1:17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6">
        <v>43996</v>
      </c>
      <c r="J425" s="54">
        <v>181216</v>
      </c>
      <c r="K425" s="1">
        <v>0.27</v>
      </c>
      <c r="L425" t="s">
        <v>19</v>
      </c>
      <c r="M425" t="s">
        <v>29</v>
      </c>
      <c r="N425" s="6" t="s">
        <v>21</v>
      </c>
      <c r="O425" s="54">
        <f>TBL_Employees3[[#This Row],[Annual Salary]]+TBL_Employees3[[#This Row],[Bonus %]]*TBL_Employees3[[#This Row],[Annual Salary]]</f>
        <v>230144.32</v>
      </c>
      <c r="P425" t="str">
        <f>IF(AND(TBL_Employees3[[#This Row],[Department]]="IT",TBL_Employees3[[#This Row],[Gender]]="Female"),"Yes","No")</f>
        <v>No</v>
      </c>
      <c r="Q425" t="str">
        <f>IF(AND(TBL_Employees3[[#This Row],[Gender]]="Female",TBL_Employees3[[#This Row],[Ethnicity]]="Black"), "Female_Black", "Others")</f>
        <v>Others</v>
      </c>
    </row>
    <row r="426" spans="1:17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6">
        <v>40984</v>
      </c>
      <c r="J426" s="54">
        <v>46081</v>
      </c>
      <c r="K426" s="1">
        <v>0</v>
      </c>
      <c r="L426" t="s">
        <v>19</v>
      </c>
      <c r="M426" t="s">
        <v>20</v>
      </c>
      <c r="N426" s="6" t="s">
        <v>21</v>
      </c>
      <c r="O426" s="54">
        <f>TBL_Employees3[[#This Row],[Annual Salary]]+TBL_Employees3[[#This Row],[Bonus %]]*TBL_Employees3[[#This Row],[Annual Salary]]</f>
        <v>46081</v>
      </c>
      <c r="P426" t="str">
        <f>IF(AND(TBL_Employees3[[#This Row],[Department]]="IT",TBL_Employees3[[#This Row],[Gender]]="Female"),"Yes","No")</f>
        <v>No</v>
      </c>
      <c r="Q426" t="str">
        <f>IF(AND(TBL_Employees3[[#This Row],[Gender]]="Female",TBL_Employees3[[#This Row],[Ethnicity]]="Black"), "Female_Black", "Others")</f>
        <v>Others</v>
      </c>
    </row>
    <row r="427" spans="1:17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6">
        <v>38135</v>
      </c>
      <c r="J427" s="54">
        <v>159885</v>
      </c>
      <c r="K427" s="1">
        <v>0.12</v>
      </c>
      <c r="L427" t="s">
        <v>19</v>
      </c>
      <c r="M427" t="s">
        <v>29</v>
      </c>
      <c r="N427" s="6" t="s">
        <v>21</v>
      </c>
      <c r="O427" s="54">
        <f>TBL_Employees3[[#This Row],[Annual Salary]]+TBL_Employees3[[#This Row],[Bonus %]]*TBL_Employees3[[#This Row],[Annual Salary]]</f>
        <v>179071.2</v>
      </c>
      <c r="P427" t="str">
        <f>IF(AND(TBL_Employees3[[#This Row],[Department]]="IT",TBL_Employees3[[#This Row],[Gender]]="Female"),"Yes","No")</f>
        <v>No</v>
      </c>
      <c r="Q427" t="str">
        <f>IF(AND(TBL_Employees3[[#This Row],[Gender]]="Female",TBL_Employees3[[#This Row],[Ethnicity]]="Black"), "Female_Black", "Others")</f>
        <v>Others</v>
      </c>
    </row>
    <row r="428" spans="1:17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6">
        <v>35001</v>
      </c>
      <c r="J428" s="54">
        <v>153271</v>
      </c>
      <c r="K428" s="1">
        <v>0.15</v>
      </c>
      <c r="L428" t="s">
        <v>19</v>
      </c>
      <c r="M428" t="s">
        <v>25</v>
      </c>
      <c r="N428" s="6" t="s">
        <v>21</v>
      </c>
      <c r="O428" s="54">
        <f>TBL_Employees3[[#This Row],[Annual Salary]]+TBL_Employees3[[#This Row],[Bonus %]]*TBL_Employees3[[#This Row],[Annual Salary]]</f>
        <v>176261.65</v>
      </c>
      <c r="P428" t="str">
        <f>IF(AND(TBL_Employees3[[#This Row],[Department]]="IT",TBL_Employees3[[#This Row],[Gender]]="Female"),"Yes","No")</f>
        <v>No</v>
      </c>
      <c r="Q428" t="str">
        <f>IF(AND(TBL_Employees3[[#This Row],[Gender]]="Female",TBL_Employees3[[#This Row],[Ethnicity]]="Black"), "Female_Black", "Others")</f>
        <v>Others</v>
      </c>
    </row>
    <row r="429" spans="1:17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6">
        <v>40159</v>
      </c>
      <c r="J429" s="54">
        <v>114242</v>
      </c>
      <c r="K429" s="1">
        <v>0.08</v>
      </c>
      <c r="L429" t="s">
        <v>19</v>
      </c>
      <c r="M429" t="s">
        <v>39</v>
      </c>
      <c r="N429" s="6" t="s">
        <v>21</v>
      </c>
      <c r="O429" s="54">
        <f>TBL_Employees3[[#This Row],[Annual Salary]]+TBL_Employees3[[#This Row],[Bonus %]]*TBL_Employees3[[#This Row],[Annual Salary]]</f>
        <v>123381.36</v>
      </c>
      <c r="P429" t="str">
        <f>IF(AND(TBL_Employees3[[#This Row],[Department]]="IT",TBL_Employees3[[#This Row],[Gender]]="Female"),"Yes","No")</f>
        <v>No</v>
      </c>
      <c r="Q429" t="str">
        <f>IF(AND(TBL_Employees3[[#This Row],[Gender]]="Female",TBL_Employees3[[#This Row],[Ethnicity]]="Black"), "Female_Black", "Others")</f>
        <v>Others</v>
      </c>
    </row>
    <row r="430" spans="1:17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6">
        <v>44153</v>
      </c>
      <c r="J430" s="54">
        <v>48415</v>
      </c>
      <c r="K430" s="1">
        <v>0</v>
      </c>
      <c r="L430" t="s">
        <v>33</v>
      </c>
      <c r="M430" t="s">
        <v>74</v>
      </c>
      <c r="N430" s="6" t="s">
        <v>21</v>
      </c>
      <c r="O430" s="54">
        <f>TBL_Employees3[[#This Row],[Annual Salary]]+TBL_Employees3[[#This Row],[Bonus %]]*TBL_Employees3[[#This Row],[Annual Salary]]</f>
        <v>48415</v>
      </c>
      <c r="P430" t="str">
        <f>IF(AND(TBL_Employees3[[#This Row],[Department]]="IT",TBL_Employees3[[#This Row],[Gender]]="Female"),"Yes","No")</f>
        <v>Yes</v>
      </c>
      <c r="Q430" t="str">
        <f>IF(AND(TBL_Employees3[[#This Row],[Gender]]="Female",TBL_Employees3[[#This Row],[Ethnicity]]="Black"), "Female_Black", "Others")</f>
        <v>Others</v>
      </c>
    </row>
    <row r="431" spans="1:17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6">
        <v>42878</v>
      </c>
      <c r="J431" s="54">
        <v>65566</v>
      </c>
      <c r="K431" s="1">
        <v>0</v>
      </c>
      <c r="L431" t="s">
        <v>19</v>
      </c>
      <c r="M431" t="s">
        <v>63</v>
      </c>
      <c r="N431" s="6" t="s">
        <v>21</v>
      </c>
      <c r="O431" s="54">
        <f>TBL_Employees3[[#This Row],[Annual Salary]]+TBL_Employees3[[#This Row],[Bonus %]]*TBL_Employees3[[#This Row],[Annual Salary]]</f>
        <v>65566</v>
      </c>
      <c r="P431" t="str">
        <f>IF(AND(TBL_Employees3[[#This Row],[Department]]="IT",TBL_Employees3[[#This Row],[Gender]]="Female"),"Yes","No")</f>
        <v>No</v>
      </c>
      <c r="Q431" t="str">
        <f>IF(AND(TBL_Employees3[[#This Row],[Gender]]="Female",TBL_Employees3[[#This Row],[Ethnicity]]="Black"), "Female_Black", "Others")</f>
        <v>Others</v>
      </c>
    </row>
    <row r="432" spans="1:17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6">
        <v>37014</v>
      </c>
      <c r="J432" s="54">
        <v>147752</v>
      </c>
      <c r="K432" s="1">
        <v>0.12</v>
      </c>
      <c r="L432" t="s">
        <v>33</v>
      </c>
      <c r="M432" t="s">
        <v>74</v>
      </c>
      <c r="N432" s="6">
        <v>40903</v>
      </c>
      <c r="O432" s="54">
        <f>TBL_Employees3[[#This Row],[Annual Salary]]+TBL_Employees3[[#This Row],[Bonus %]]*TBL_Employees3[[#This Row],[Annual Salary]]</f>
        <v>165482.23999999999</v>
      </c>
      <c r="P432" t="str">
        <f>IF(AND(TBL_Employees3[[#This Row],[Department]]="IT",TBL_Employees3[[#This Row],[Gender]]="Female"),"Yes","No")</f>
        <v>No</v>
      </c>
      <c r="Q432" t="str">
        <f>IF(AND(TBL_Employees3[[#This Row],[Gender]]="Female",TBL_Employees3[[#This Row],[Ethnicity]]="Black"), "Female_Black", "Others")</f>
        <v>Others</v>
      </c>
    </row>
    <row r="433" spans="1:17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6">
        <v>44453</v>
      </c>
      <c r="J433" s="54">
        <v>136810</v>
      </c>
      <c r="K433" s="1">
        <v>0.14000000000000001</v>
      </c>
      <c r="L433" t="s">
        <v>33</v>
      </c>
      <c r="M433" t="s">
        <v>80</v>
      </c>
      <c r="N433" s="6" t="s">
        <v>21</v>
      </c>
      <c r="O433" s="54">
        <f>TBL_Employees3[[#This Row],[Annual Salary]]+TBL_Employees3[[#This Row],[Bonus %]]*TBL_Employees3[[#This Row],[Annual Salary]]</f>
        <v>155963.4</v>
      </c>
      <c r="P433" t="str">
        <f>IF(AND(TBL_Employees3[[#This Row],[Department]]="IT",TBL_Employees3[[#This Row],[Gender]]="Female"),"Yes","No")</f>
        <v>No</v>
      </c>
      <c r="Q433" t="str">
        <f>IF(AND(TBL_Employees3[[#This Row],[Gender]]="Female",TBL_Employees3[[#This Row],[Ethnicity]]="Black"), "Female_Black", "Others")</f>
        <v>Others</v>
      </c>
    </row>
    <row r="434" spans="1:17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6">
        <v>41333</v>
      </c>
      <c r="J434" s="54">
        <v>54635</v>
      </c>
      <c r="K434" s="1">
        <v>0</v>
      </c>
      <c r="L434" t="s">
        <v>19</v>
      </c>
      <c r="M434" t="s">
        <v>20</v>
      </c>
      <c r="N434" s="6" t="s">
        <v>21</v>
      </c>
      <c r="O434" s="54">
        <f>TBL_Employees3[[#This Row],[Annual Salary]]+TBL_Employees3[[#This Row],[Bonus %]]*TBL_Employees3[[#This Row],[Annual Salary]]</f>
        <v>54635</v>
      </c>
      <c r="P434" t="str">
        <f>IF(AND(TBL_Employees3[[#This Row],[Department]]="IT",TBL_Employees3[[#This Row],[Gender]]="Female"),"Yes","No")</f>
        <v>No</v>
      </c>
      <c r="Q434" t="str">
        <f>IF(AND(TBL_Employees3[[#This Row],[Gender]]="Female",TBL_Employees3[[#This Row],[Ethnicity]]="Black"), "Female_Black", "Others")</f>
        <v>Others</v>
      </c>
    </row>
    <row r="435" spans="1:17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6">
        <v>43866</v>
      </c>
      <c r="J435" s="54">
        <v>96636</v>
      </c>
      <c r="K435" s="1">
        <v>0</v>
      </c>
      <c r="L435" t="s">
        <v>19</v>
      </c>
      <c r="M435" t="s">
        <v>29</v>
      </c>
      <c r="N435" s="6" t="s">
        <v>21</v>
      </c>
      <c r="O435" s="54">
        <f>TBL_Employees3[[#This Row],[Annual Salary]]+TBL_Employees3[[#This Row],[Bonus %]]*TBL_Employees3[[#This Row],[Annual Salary]]</f>
        <v>96636</v>
      </c>
      <c r="P435" t="str">
        <f>IF(AND(TBL_Employees3[[#This Row],[Department]]="IT",TBL_Employees3[[#This Row],[Gender]]="Female"),"Yes","No")</f>
        <v>Yes</v>
      </c>
      <c r="Q435" t="str">
        <f>IF(AND(TBL_Employees3[[#This Row],[Gender]]="Female",TBL_Employees3[[#This Row],[Ethnicity]]="Black"), "Female_Black", "Others")</f>
        <v>Others</v>
      </c>
    </row>
    <row r="436" spans="1:17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6">
        <v>41941</v>
      </c>
      <c r="J436" s="54">
        <v>91592</v>
      </c>
      <c r="K436" s="1">
        <v>0</v>
      </c>
      <c r="L436" t="s">
        <v>19</v>
      </c>
      <c r="M436" t="s">
        <v>20</v>
      </c>
      <c r="N436" s="6" t="s">
        <v>21</v>
      </c>
      <c r="O436" s="54">
        <f>TBL_Employees3[[#This Row],[Annual Salary]]+TBL_Employees3[[#This Row],[Bonus %]]*TBL_Employees3[[#This Row],[Annual Salary]]</f>
        <v>91592</v>
      </c>
      <c r="P436" t="str">
        <f>IF(AND(TBL_Employees3[[#This Row],[Department]]="IT",TBL_Employees3[[#This Row],[Gender]]="Female"),"Yes","No")</f>
        <v>Yes</v>
      </c>
      <c r="Q436" t="str">
        <f>IF(AND(TBL_Employees3[[#This Row],[Gender]]="Female",TBL_Employees3[[#This Row],[Ethnicity]]="Black"), "Female_Black", "Others")</f>
        <v>Female_Black</v>
      </c>
    </row>
    <row r="437" spans="1:17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6">
        <v>36755</v>
      </c>
      <c r="J437" s="54">
        <v>55563</v>
      </c>
      <c r="K437" s="1">
        <v>0</v>
      </c>
      <c r="L437" t="s">
        <v>33</v>
      </c>
      <c r="M437" t="s">
        <v>34</v>
      </c>
      <c r="N437" s="6" t="s">
        <v>21</v>
      </c>
      <c r="O437" s="54">
        <f>TBL_Employees3[[#This Row],[Annual Salary]]+TBL_Employees3[[#This Row],[Bonus %]]*TBL_Employees3[[#This Row],[Annual Salary]]</f>
        <v>55563</v>
      </c>
      <c r="P437" t="str">
        <f>IF(AND(TBL_Employees3[[#This Row],[Department]]="IT",TBL_Employees3[[#This Row],[Gender]]="Female"),"Yes","No")</f>
        <v>No</v>
      </c>
      <c r="Q437" t="str">
        <f>IF(AND(TBL_Employees3[[#This Row],[Gender]]="Female",TBL_Employees3[[#This Row],[Ethnicity]]="Black"), "Female_Black", "Others")</f>
        <v>Others</v>
      </c>
    </row>
    <row r="438" spans="1:17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6">
        <v>35109</v>
      </c>
      <c r="J438" s="54">
        <v>159724</v>
      </c>
      <c r="K438" s="1">
        <v>0.23</v>
      </c>
      <c r="L438" t="s">
        <v>33</v>
      </c>
      <c r="M438" t="s">
        <v>60</v>
      </c>
      <c r="N438" s="6" t="s">
        <v>21</v>
      </c>
      <c r="O438" s="54">
        <f>TBL_Employees3[[#This Row],[Annual Salary]]+TBL_Employees3[[#This Row],[Bonus %]]*TBL_Employees3[[#This Row],[Annual Salary]]</f>
        <v>196460.52000000002</v>
      </c>
      <c r="P438" t="str">
        <f>IF(AND(TBL_Employees3[[#This Row],[Department]]="IT",TBL_Employees3[[#This Row],[Gender]]="Female"),"Yes","No")</f>
        <v>Yes</v>
      </c>
      <c r="Q438" t="str">
        <f>IF(AND(TBL_Employees3[[#This Row],[Gender]]="Female",TBL_Employees3[[#This Row],[Ethnicity]]="Black"), "Female_Black", "Others")</f>
        <v>Others</v>
      </c>
    </row>
    <row r="439" spans="1:17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6">
        <v>42951</v>
      </c>
      <c r="J439" s="54">
        <v>183190</v>
      </c>
      <c r="K439" s="1">
        <v>0.36</v>
      </c>
      <c r="L439" t="s">
        <v>19</v>
      </c>
      <c r="M439" t="s">
        <v>20</v>
      </c>
      <c r="N439" s="6" t="s">
        <v>21</v>
      </c>
      <c r="O439" s="54">
        <f>TBL_Employees3[[#This Row],[Annual Salary]]+TBL_Employees3[[#This Row],[Bonus %]]*TBL_Employees3[[#This Row],[Annual Salary]]</f>
        <v>249138.4</v>
      </c>
      <c r="P439" t="str">
        <f>IF(AND(TBL_Employees3[[#This Row],[Department]]="IT",TBL_Employees3[[#This Row],[Gender]]="Female"),"Yes","No")</f>
        <v>No</v>
      </c>
      <c r="Q439" t="str">
        <f>IF(AND(TBL_Employees3[[#This Row],[Gender]]="Female",TBL_Employees3[[#This Row],[Ethnicity]]="Black"), "Female_Black", "Others")</f>
        <v>Others</v>
      </c>
    </row>
    <row r="440" spans="1:17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6">
        <v>43824</v>
      </c>
      <c r="J440" s="54">
        <v>54829</v>
      </c>
      <c r="K440" s="1">
        <v>0</v>
      </c>
      <c r="L440" t="s">
        <v>19</v>
      </c>
      <c r="M440" t="s">
        <v>39</v>
      </c>
      <c r="N440" s="6" t="s">
        <v>21</v>
      </c>
      <c r="O440" s="54">
        <f>TBL_Employees3[[#This Row],[Annual Salary]]+TBL_Employees3[[#This Row],[Bonus %]]*TBL_Employees3[[#This Row],[Annual Salary]]</f>
        <v>54829</v>
      </c>
      <c r="P440" t="str">
        <f>IF(AND(TBL_Employees3[[#This Row],[Department]]="IT",TBL_Employees3[[#This Row],[Gender]]="Female"),"Yes","No")</f>
        <v>No</v>
      </c>
      <c r="Q440" t="str">
        <f>IF(AND(TBL_Employees3[[#This Row],[Gender]]="Female",TBL_Employees3[[#This Row],[Ethnicity]]="Black"), "Female_Black", "Others")</f>
        <v>Others</v>
      </c>
    </row>
    <row r="441" spans="1:17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6">
        <v>38464</v>
      </c>
      <c r="J441" s="54">
        <v>96639</v>
      </c>
      <c r="K441" s="1">
        <v>0</v>
      </c>
      <c r="L441" t="s">
        <v>52</v>
      </c>
      <c r="M441" t="s">
        <v>66</v>
      </c>
      <c r="N441" s="6" t="s">
        <v>21</v>
      </c>
      <c r="O441" s="54">
        <f>TBL_Employees3[[#This Row],[Annual Salary]]+TBL_Employees3[[#This Row],[Bonus %]]*TBL_Employees3[[#This Row],[Annual Salary]]</f>
        <v>96639</v>
      </c>
      <c r="P441" t="str">
        <f>IF(AND(TBL_Employees3[[#This Row],[Department]]="IT",TBL_Employees3[[#This Row],[Gender]]="Female"),"Yes","No")</f>
        <v>No</v>
      </c>
      <c r="Q441" t="str">
        <f>IF(AND(TBL_Employees3[[#This Row],[Gender]]="Female",TBL_Employees3[[#This Row],[Ethnicity]]="Black"), "Female_Black", "Others")</f>
        <v>Others</v>
      </c>
    </row>
    <row r="442" spans="1:17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6">
        <v>38879</v>
      </c>
      <c r="J442" s="54">
        <v>117278</v>
      </c>
      <c r="K442" s="1">
        <v>0.09</v>
      </c>
      <c r="L442" t="s">
        <v>19</v>
      </c>
      <c r="M442" t="s">
        <v>45</v>
      </c>
      <c r="N442" s="6" t="s">
        <v>21</v>
      </c>
      <c r="O442" s="54">
        <f>TBL_Employees3[[#This Row],[Annual Salary]]+TBL_Employees3[[#This Row],[Bonus %]]*TBL_Employees3[[#This Row],[Annual Salary]]</f>
        <v>127833.02</v>
      </c>
      <c r="P442" t="str">
        <f>IF(AND(TBL_Employees3[[#This Row],[Department]]="IT",TBL_Employees3[[#This Row],[Gender]]="Female"),"Yes","No")</f>
        <v>No</v>
      </c>
      <c r="Q442" t="str">
        <f>IF(AND(TBL_Employees3[[#This Row],[Gender]]="Female",TBL_Employees3[[#This Row],[Ethnicity]]="Black"), "Female_Black", "Others")</f>
        <v>Others</v>
      </c>
    </row>
    <row r="443" spans="1:17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6">
        <v>39487</v>
      </c>
      <c r="J443" s="54">
        <v>84193</v>
      </c>
      <c r="K443" s="1">
        <v>0.09</v>
      </c>
      <c r="L443" t="s">
        <v>33</v>
      </c>
      <c r="M443" t="s">
        <v>74</v>
      </c>
      <c r="N443" s="6" t="s">
        <v>21</v>
      </c>
      <c r="O443" s="54">
        <f>TBL_Employees3[[#This Row],[Annual Salary]]+TBL_Employees3[[#This Row],[Bonus %]]*TBL_Employees3[[#This Row],[Annual Salary]]</f>
        <v>91770.37</v>
      </c>
      <c r="P443" t="str">
        <f>IF(AND(TBL_Employees3[[#This Row],[Department]]="IT",TBL_Employees3[[#This Row],[Gender]]="Female"),"Yes","No")</f>
        <v>No</v>
      </c>
      <c r="Q443" t="str">
        <f>IF(AND(TBL_Employees3[[#This Row],[Gender]]="Female",TBL_Employees3[[#This Row],[Ethnicity]]="Black"), "Female_Black", "Others")</f>
        <v>Others</v>
      </c>
    </row>
    <row r="444" spans="1:17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6">
        <v>43309</v>
      </c>
      <c r="J444" s="54">
        <v>87806</v>
      </c>
      <c r="K444" s="1">
        <v>0</v>
      </c>
      <c r="L444" t="s">
        <v>19</v>
      </c>
      <c r="M444" t="s">
        <v>63</v>
      </c>
      <c r="N444" s="6" t="s">
        <v>21</v>
      </c>
      <c r="O444" s="54">
        <f>TBL_Employees3[[#This Row],[Annual Salary]]+TBL_Employees3[[#This Row],[Bonus %]]*TBL_Employees3[[#This Row],[Annual Salary]]</f>
        <v>87806</v>
      </c>
      <c r="P444" t="str">
        <f>IF(AND(TBL_Employees3[[#This Row],[Department]]="IT",TBL_Employees3[[#This Row],[Gender]]="Female"),"Yes","No")</f>
        <v>Yes</v>
      </c>
      <c r="Q444" t="str">
        <f>IF(AND(TBL_Employees3[[#This Row],[Gender]]="Female",TBL_Employees3[[#This Row],[Ethnicity]]="Black"), "Female_Black", "Others")</f>
        <v>Others</v>
      </c>
    </row>
    <row r="445" spans="1:17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6">
        <v>40820</v>
      </c>
      <c r="J445" s="54">
        <v>63959</v>
      </c>
      <c r="K445" s="1">
        <v>0</v>
      </c>
      <c r="L445" t="s">
        <v>19</v>
      </c>
      <c r="M445" t="s">
        <v>63</v>
      </c>
      <c r="N445" s="6" t="s">
        <v>21</v>
      </c>
      <c r="O445" s="54">
        <f>TBL_Employees3[[#This Row],[Annual Salary]]+TBL_Employees3[[#This Row],[Bonus %]]*TBL_Employees3[[#This Row],[Annual Salary]]</f>
        <v>63959</v>
      </c>
      <c r="P445" t="str">
        <f>IF(AND(TBL_Employees3[[#This Row],[Department]]="IT",TBL_Employees3[[#This Row],[Gender]]="Female"),"Yes","No")</f>
        <v>No</v>
      </c>
      <c r="Q445" t="str">
        <f>IF(AND(TBL_Employees3[[#This Row],[Gender]]="Female",TBL_Employees3[[#This Row],[Ethnicity]]="Black"), "Female_Black", "Others")</f>
        <v>Others</v>
      </c>
    </row>
    <row r="446" spans="1:17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6">
        <v>42166</v>
      </c>
      <c r="J446" s="54">
        <v>234723</v>
      </c>
      <c r="K446" s="1">
        <v>0.36</v>
      </c>
      <c r="L446" t="s">
        <v>33</v>
      </c>
      <c r="M446" t="s">
        <v>74</v>
      </c>
      <c r="N446" s="6" t="s">
        <v>21</v>
      </c>
      <c r="O446" s="54">
        <f>TBL_Employees3[[#This Row],[Annual Salary]]+TBL_Employees3[[#This Row],[Bonus %]]*TBL_Employees3[[#This Row],[Annual Salary]]</f>
        <v>319223.28000000003</v>
      </c>
      <c r="P446" t="str">
        <f>IF(AND(TBL_Employees3[[#This Row],[Department]]="IT",TBL_Employees3[[#This Row],[Gender]]="Female"),"Yes","No")</f>
        <v>No</v>
      </c>
      <c r="Q446" t="str">
        <f>IF(AND(TBL_Employees3[[#This Row],[Gender]]="Female",TBL_Employees3[[#This Row],[Ethnicity]]="Black"), "Female_Black", "Others")</f>
        <v>Others</v>
      </c>
    </row>
    <row r="447" spans="1:17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6">
        <v>43701</v>
      </c>
      <c r="J447" s="54">
        <v>50809</v>
      </c>
      <c r="K447" s="1">
        <v>0</v>
      </c>
      <c r="L447" t="s">
        <v>33</v>
      </c>
      <c r="M447" t="s">
        <v>80</v>
      </c>
      <c r="N447" s="6" t="s">
        <v>21</v>
      </c>
      <c r="O447" s="54">
        <f>TBL_Employees3[[#This Row],[Annual Salary]]+TBL_Employees3[[#This Row],[Bonus %]]*TBL_Employees3[[#This Row],[Annual Salary]]</f>
        <v>50809</v>
      </c>
      <c r="P447" t="str">
        <f>IF(AND(TBL_Employees3[[#This Row],[Department]]="IT",TBL_Employees3[[#This Row],[Gender]]="Female"),"Yes","No")</f>
        <v>No</v>
      </c>
      <c r="Q447" t="str">
        <f>IF(AND(TBL_Employees3[[#This Row],[Gender]]="Female",TBL_Employees3[[#This Row],[Ethnicity]]="Black"), "Female_Black", "Others")</f>
        <v>Others</v>
      </c>
    </row>
    <row r="448" spans="1:17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6">
        <v>37456</v>
      </c>
      <c r="J448" s="54">
        <v>77396</v>
      </c>
      <c r="K448" s="1">
        <v>0</v>
      </c>
      <c r="L448" t="s">
        <v>19</v>
      </c>
      <c r="M448" t="s">
        <v>45</v>
      </c>
      <c r="N448" s="6" t="s">
        <v>21</v>
      </c>
      <c r="O448" s="54">
        <f>TBL_Employees3[[#This Row],[Annual Salary]]+TBL_Employees3[[#This Row],[Bonus %]]*TBL_Employees3[[#This Row],[Annual Salary]]</f>
        <v>77396</v>
      </c>
      <c r="P448" t="str">
        <f>IF(AND(TBL_Employees3[[#This Row],[Department]]="IT",TBL_Employees3[[#This Row],[Gender]]="Female"),"Yes","No")</f>
        <v>No</v>
      </c>
      <c r="Q448" t="str">
        <f>IF(AND(TBL_Employees3[[#This Row],[Gender]]="Female",TBL_Employees3[[#This Row],[Ethnicity]]="Black"), "Female_Black", "Others")</f>
        <v>Others</v>
      </c>
    </row>
    <row r="449" spans="1:17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6">
        <v>36525</v>
      </c>
      <c r="J449" s="54">
        <v>89523</v>
      </c>
      <c r="K449" s="1">
        <v>0</v>
      </c>
      <c r="L449" t="s">
        <v>19</v>
      </c>
      <c r="M449" t="s">
        <v>39</v>
      </c>
      <c r="N449" s="6" t="s">
        <v>21</v>
      </c>
      <c r="O449" s="54">
        <f>TBL_Employees3[[#This Row],[Annual Salary]]+TBL_Employees3[[#This Row],[Bonus %]]*TBL_Employees3[[#This Row],[Annual Salary]]</f>
        <v>89523</v>
      </c>
      <c r="P449" t="str">
        <f>IF(AND(TBL_Employees3[[#This Row],[Department]]="IT",TBL_Employees3[[#This Row],[Gender]]="Female"),"Yes","No")</f>
        <v>No</v>
      </c>
      <c r="Q449" t="str">
        <f>IF(AND(TBL_Employees3[[#This Row],[Gender]]="Female",TBL_Employees3[[#This Row],[Ethnicity]]="Black"), "Female_Black", "Others")</f>
        <v>Others</v>
      </c>
    </row>
    <row r="450" spans="1:17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6">
        <v>40744</v>
      </c>
      <c r="J450" s="54">
        <v>86173</v>
      </c>
      <c r="K450" s="1">
        <v>0</v>
      </c>
      <c r="L450" t="s">
        <v>33</v>
      </c>
      <c r="M450" t="s">
        <v>80</v>
      </c>
      <c r="N450" s="6" t="s">
        <v>21</v>
      </c>
      <c r="O450" s="54">
        <f>TBL_Employees3[[#This Row],[Annual Salary]]+TBL_Employees3[[#This Row],[Bonus %]]*TBL_Employees3[[#This Row],[Annual Salary]]</f>
        <v>86173</v>
      </c>
      <c r="P450" t="str">
        <f>IF(AND(TBL_Employees3[[#This Row],[Department]]="IT",TBL_Employees3[[#This Row],[Gender]]="Female"),"Yes","No")</f>
        <v>Yes</v>
      </c>
      <c r="Q450" t="str">
        <f>IF(AND(TBL_Employees3[[#This Row],[Gender]]="Female",TBL_Employees3[[#This Row],[Ethnicity]]="Black"), "Female_Black", "Others")</f>
        <v>Others</v>
      </c>
    </row>
    <row r="451" spans="1:17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6">
        <v>36757</v>
      </c>
      <c r="J451" s="54">
        <v>222224</v>
      </c>
      <c r="K451" s="1">
        <v>0.38</v>
      </c>
      <c r="L451" t="s">
        <v>19</v>
      </c>
      <c r="M451" t="s">
        <v>29</v>
      </c>
      <c r="N451" s="6" t="s">
        <v>21</v>
      </c>
      <c r="O451" s="54">
        <f>TBL_Employees3[[#This Row],[Annual Salary]]+TBL_Employees3[[#This Row],[Bonus %]]*TBL_Employees3[[#This Row],[Annual Salary]]</f>
        <v>306669.12</v>
      </c>
      <c r="P451" t="str">
        <f>IF(AND(TBL_Employees3[[#This Row],[Department]]="IT",TBL_Employees3[[#This Row],[Gender]]="Female"),"Yes","No")</f>
        <v>No</v>
      </c>
      <c r="Q451" t="str">
        <f>IF(AND(TBL_Employees3[[#This Row],[Gender]]="Female",TBL_Employees3[[#This Row],[Ethnicity]]="Black"), "Female_Black", "Others")</f>
        <v>Female_Black</v>
      </c>
    </row>
    <row r="452" spans="1:17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6">
        <v>44303</v>
      </c>
      <c r="J452" s="54">
        <v>146140</v>
      </c>
      <c r="K452" s="1">
        <v>0.15</v>
      </c>
      <c r="L452" t="s">
        <v>19</v>
      </c>
      <c r="M452" t="s">
        <v>63</v>
      </c>
      <c r="N452" s="6" t="s">
        <v>21</v>
      </c>
      <c r="O452" s="54">
        <f>TBL_Employees3[[#This Row],[Annual Salary]]+TBL_Employees3[[#This Row],[Bonus %]]*TBL_Employees3[[#This Row],[Annual Salary]]</f>
        <v>168061</v>
      </c>
      <c r="P452" t="str">
        <f>IF(AND(TBL_Employees3[[#This Row],[Department]]="IT",TBL_Employees3[[#This Row],[Gender]]="Female"),"Yes","No")</f>
        <v>No</v>
      </c>
      <c r="Q452" t="str">
        <f>IF(AND(TBL_Employees3[[#This Row],[Gender]]="Female",TBL_Employees3[[#This Row],[Ethnicity]]="Black"), "Female_Black", "Others")</f>
        <v>Others</v>
      </c>
    </row>
    <row r="453" spans="1:17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6">
        <v>34505</v>
      </c>
      <c r="J453" s="54">
        <v>109456</v>
      </c>
      <c r="K453" s="1">
        <v>0.1</v>
      </c>
      <c r="L453" t="s">
        <v>19</v>
      </c>
      <c r="M453" t="s">
        <v>20</v>
      </c>
      <c r="N453" s="6" t="s">
        <v>21</v>
      </c>
      <c r="O453" s="54">
        <f>TBL_Employees3[[#This Row],[Annual Salary]]+TBL_Employees3[[#This Row],[Bonus %]]*TBL_Employees3[[#This Row],[Annual Salary]]</f>
        <v>120401.60000000001</v>
      </c>
      <c r="P453" t="str">
        <f>IF(AND(TBL_Employees3[[#This Row],[Department]]="IT",TBL_Employees3[[#This Row],[Gender]]="Female"),"Yes","No")</f>
        <v>No</v>
      </c>
      <c r="Q453" t="str">
        <f>IF(AND(TBL_Employees3[[#This Row],[Gender]]="Female",TBL_Employees3[[#This Row],[Ethnicity]]="Black"), "Female_Black", "Others")</f>
        <v>Others</v>
      </c>
    </row>
    <row r="454" spans="1:17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6">
        <v>39728</v>
      </c>
      <c r="J454" s="54">
        <v>170221</v>
      </c>
      <c r="K454" s="1">
        <v>0.15</v>
      </c>
      <c r="L454" t="s">
        <v>52</v>
      </c>
      <c r="M454" t="s">
        <v>81</v>
      </c>
      <c r="N454" s="6" t="s">
        <v>21</v>
      </c>
      <c r="O454" s="54">
        <f>TBL_Employees3[[#This Row],[Annual Salary]]+TBL_Employees3[[#This Row],[Bonus %]]*TBL_Employees3[[#This Row],[Annual Salary]]</f>
        <v>195754.15</v>
      </c>
      <c r="P454" t="str">
        <f>IF(AND(TBL_Employees3[[#This Row],[Department]]="IT",TBL_Employees3[[#This Row],[Gender]]="Female"),"Yes","No")</f>
        <v>No</v>
      </c>
      <c r="Q454" t="str">
        <f>IF(AND(TBL_Employees3[[#This Row],[Gender]]="Female",TBL_Employees3[[#This Row],[Ethnicity]]="Black"), "Female_Black", "Others")</f>
        <v>Others</v>
      </c>
    </row>
    <row r="455" spans="1:17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6">
        <v>38777</v>
      </c>
      <c r="J455" s="54">
        <v>97433</v>
      </c>
      <c r="K455" s="1">
        <v>0.05</v>
      </c>
      <c r="L455" t="s">
        <v>19</v>
      </c>
      <c r="M455" t="s">
        <v>63</v>
      </c>
      <c r="N455" s="6">
        <v>42224</v>
      </c>
      <c r="O455" s="54">
        <f>TBL_Employees3[[#This Row],[Annual Salary]]+TBL_Employees3[[#This Row],[Bonus %]]*TBL_Employees3[[#This Row],[Annual Salary]]</f>
        <v>102304.65</v>
      </c>
      <c r="P455" t="str">
        <f>IF(AND(TBL_Employees3[[#This Row],[Department]]="IT",TBL_Employees3[[#This Row],[Gender]]="Female"),"Yes","No")</f>
        <v>Yes</v>
      </c>
      <c r="Q455" t="str">
        <f>IF(AND(TBL_Employees3[[#This Row],[Gender]]="Female",TBL_Employees3[[#This Row],[Ethnicity]]="Black"), "Female_Black", "Others")</f>
        <v>Others</v>
      </c>
    </row>
    <row r="456" spans="1:17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6">
        <v>41516</v>
      </c>
      <c r="J456" s="54">
        <v>59646</v>
      </c>
      <c r="K456" s="1">
        <v>0</v>
      </c>
      <c r="L456" t="s">
        <v>33</v>
      </c>
      <c r="M456" t="s">
        <v>74</v>
      </c>
      <c r="N456" s="6" t="s">
        <v>21</v>
      </c>
      <c r="O456" s="54">
        <f>TBL_Employees3[[#This Row],[Annual Salary]]+TBL_Employees3[[#This Row],[Bonus %]]*TBL_Employees3[[#This Row],[Annual Salary]]</f>
        <v>59646</v>
      </c>
      <c r="P456" t="str">
        <f>IF(AND(TBL_Employees3[[#This Row],[Department]]="IT",TBL_Employees3[[#This Row],[Gender]]="Female"),"Yes","No")</f>
        <v>No</v>
      </c>
      <c r="Q456" t="str">
        <f>IF(AND(TBL_Employees3[[#This Row],[Gender]]="Female",TBL_Employees3[[#This Row],[Ethnicity]]="Black"), "Female_Black", "Others")</f>
        <v>Others</v>
      </c>
    </row>
    <row r="457" spans="1:17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6">
        <v>34940</v>
      </c>
      <c r="J457" s="54">
        <v>158787</v>
      </c>
      <c r="K457" s="1">
        <v>0.18</v>
      </c>
      <c r="L457" t="s">
        <v>33</v>
      </c>
      <c r="M457" t="s">
        <v>34</v>
      </c>
      <c r="N457" s="6" t="s">
        <v>21</v>
      </c>
      <c r="O457" s="54">
        <f>TBL_Employees3[[#This Row],[Annual Salary]]+TBL_Employees3[[#This Row],[Bonus %]]*TBL_Employees3[[#This Row],[Annual Salary]]</f>
        <v>187368.66</v>
      </c>
      <c r="P457" t="str">
        <f>IF(AND(TBL_Employees3[[#This Row],[Department]]="IT",TBL_Employees3[[#This Row],[Gender]]="Female"),"Yes","No")</f>
        <v>No</v>
      </c>
      <c r="Q457" t="str">
        <f>IF(AND(TBL_Employees3[[#This Row],[Gender]]="Female",TBL_Employees3[[#This Row],[Ethnicity]]="Black"), "Female_Black", "Others")</f>
        <v>Others</v>
      </c>
    </row>
    <row r="458" spans="1:17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6">
        <v>43219</v>
      </c>
      <c r="J458" s="54">
        <v>83378</v>
      </c>
      <c r="K458" s="1">
        <v>0</v>
      </c>
      <c r="L458" t="s">
        <v>33</v>
      </c>
      <c r="M458" t="s">
        <v>60</v>
      </c>
      <c r="N458" s="6" t="s">
        <v>21</v>
      </c>
      <c r="O458" s="54">
        <f>TBL_Employees3[[#This Row],[Annual Salary]]+TBL_Employees3[[#This Row],[Bonus %]]*TBL_Employees3[[#This Row],[Annual Salary]]</f>
        <v>83378</v>
      </c>
      <c r="P458" t="str">
        <f>IF(AND(TBL_Employees3[[#This Row],[Department]]="IT",TBL_Employees3[[#This Row],[Gender]]="Female"),"Yes","No")</f>
        <v>No</v>
      </c>
      <c r="Q458" t="str">
        <f>IF(AND(TBL_Employees3[[#This Row],[Gender]]="Female",TBL_Employees3[[#This Row],[Ethnicity]]="Black"), "Female_Black", "Others")</f>
        <v>Others</v>
      </c>
    </row>
    <row r="459" spans="1:17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6">
        <v>41590</v>
      </c>
      <c r="J459" s="54">
        <v>88895</v>
      </c>
      <c r="K459" s="1">
        <v>0</v>
      </c>
      <c r="L459" t="s">
        <v>19</v>
      </c>
      <c r="M459" t="s">
        <v>20</v>
      </c>
      <c r="N459" s="6" t="s">
        <v>21</v>
      </c>
      <c r="O459" s="54">
        <f>TBL_Employees3[[#This Row],[Annual Salary]]+TBL_Employees3[[#This Row],[Bonus %]]*TBL_Employees3[[#This Row],[Annual Salary]]</f>
        <v>88895</v>
      </c>
      <c r="P459" t="str">
        <f>IF(AND(TBL_Employees3[[#This Row],[Department]]="IT",TBL_Employees3[[#This Row],[Gender]]="Female"),"Yes","No")</f>
        <v>No</v>
      </c>
      <c r="Q459" t="str">
        <f>IF(AND(TBL_Employees3[[#This Row],[Gender]]="Female",TBL_Employees3[[#This Row],[Ethnicity]]="Black"), "Female_Black", "Others")</f>
        <v>Others</v>
      </c>
    </row>
    <row r="460" spans="1:17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6">
        <v>38332</v>
      </c>
      <c r="J460" s="54">
        <v>168846</v>
      </c>
      <c r="K460" s="1">
        <v>0.24</v>
      </c>
      <c r="L460" t="s">
        <v>33</v>
      </c>
      <c r="M460" t="s">
        <v>80</v>
      </c>
      <c r="N460" s="6" t="s">
        <v>21</v>
      </c>
      <c r="O460" s="54">
        <f>TBL_Employees3[[#This Row],[Annual Salary]]+TBL_Employees3[[#This Row],[Bonus %]]*TBL_Employees3[[#This Row],[Annual Salary]]</f>
        <v>209369.04</v>
      </c>
      <c r="P460" t="str">
        <f>IF(AND(TBL_Employees3[[#This Row],[Department]]="IT",TBL_Employees3[[#This Row],[Gender]]="Female"),"Yes","No")</f>
        <v>No</v>
      </c>
      <c r="Q460" t="str">
        <f>IF(AND(TBL_Employees3[[#This Row],[Gender]]="Female",TBL_Employees3[[#This Row],[Ethnicity]]="Black"), "Female_Black", "Others")</f>
        <v>Others</v>
      </c>
    </row>
    <row r="461" spans="1:17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6">
        <v>40596</v>
      </c>
      <c r="J461" s="54">
        <v>43336</v>
      </c>
      <c r="K461" s="1">
        <v>0</v>
      </c>
      <c r="L461" t="s">
        <v>19</v>
      </c>
      <c r="M461" t="s">
        <v>25</v>
      </c>
      <c r="N461" s="6">
        <v>44024</v>
      </c>
      <c r="O461" s="54">
        <f>TBL_Employees3[[#This Row],[Annual Salary]]+TBL_Employees3[[#This Row],[Bonus %]]*TBL_Employees3[[#This Row],[Annual Salary]]</f>
        <v>43336</v>
      </c>
      <c r="P461" t="str">
        <f>IF(AND(TBL_Employees3[[#This Row],[Department]]="IT",TBL_Employees3[[#This Row],[Gender]]="Female"),"Yes","No")</f>
        <v>No</v>
      </c>
      <c r="Q461" t="str">
        <f>IF(AND(TBL_Employees3[[#This Row],[Gender]]="Female",TBL_Employees3[[#This Row],[Ethnicity]]="Black"), "Female_Black", "Others")</f>
        <v>Others</v>
      </c>
    </row>
    <row r="462" spans="1:17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6">
        <v>40083</v>
      </c>
      <c r="J462" s="54">
        <v>127801</v>
      </c>
      <c r="K462" s="1">
        <v>0.15</v>
      </c>
      <c r="L462" t="s">
        <v>19</v>
      </c>
      <c r="M462" t="s">
        <v>39</v>
      </c>
      <c r="N462" s="6" t="s">
        <v>21</v>
      </c>
      <c r="O462" s="54">
        <f>TBL_Employees3[[#This Row],[Annual Salary]]+TBL_Employees3[[#This Row],[Bonus %]]*TBL_Employees3[[#This Row],[Annual Salary]]</f>
        <v>146971.15</v>
      </c>
      <c r="P462" t="str">
        <f>IF(AND(TBL_Employees3[[#This Row],[Department]]="IT",TBL_Employees3[[#This Row],[Gender]]="Female"),"Yes","No")</f>
        <v>No</v>
      </c>
      <c r="Q462" t="str">
        <f>IF(AND(TBL_Employees3[[#This Row],[Gender]]="Female",TBL_Employees3[[#This Row],[Ethnicity]]="Black"), "Female_Black", "Others")</f>
        <v>Others</v>
      </c>
    </row>
    <row r="463" spans="1:17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6">
        <v>36617</v>
      </c>
      <c r="J463" s="54">
        <v>76352</v>
      </c>
      <c r="K463" s="1">
        <v>0</v>
      </c>
      <c r="L463" t="s">
        <v>19</v>
      </c>
      <c r="M463" t="s">
        <v>25</v>
      </c>
      <c r="N463" s="6" t="s">
        <v>21</v>
      </c>
      <c r="O463" s="54">
        <f>TBL_Employees3[[#This Row],[Annual Salary]]+TBL_Employees3[[#This Row],[Bonus %]]*TBL_Employees3[[#This Row],[Annual Salary]]</f>
        <v>76352</v>
      </c>
      <c r="P463" t="str">
        <f>IF(AND(TBL_Employees3[[#This Row],[Department]]="IT",TBL_Employees3[[#This Row],[Gender]]="Female"),"Yes","No")</f>
        <v>No</v>
      </c>
      <c r="Q463" t="str">
        <f>IF(AND(TBL_Employees3[[#This Row],[Gender]]="Female",TBL_Employees3[[#This Row],[Ethnicity]]="Black"), "Female_Black", "Others")</f>
        <v>Others</v>
      </c>
    </row>
    <row r="464" spans="1:17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6">
        <v>43638</v>
      </c>
      <c r="J464" s="54">
        <v>250767</v>
      </c>
      <c r="K464" s="1">
        <v>0.38</v>
      </c>
      <c r="L464" t="s">
        <v>19</v>
      </c>
      <c r="M464" t="s">
        <v>63</v>
      </c>
      <c r="N464" s="6" t="s">
        <v>21</v>
      </c>
      <c r="O464" s="54">
        <f>TBL_Employees3[[#This Row],[Annual Salary]]+TBL_Employees3[[#This Row],[Bonus %]]*TBL_Employees3[[#This Row],[Annual Salary]]</f>
        <v>346058.46</v>
      </c>
      <c r="P464" t="str">
        <f>IF(AND(TBL_Employees3[[#This Row],[Department]]="IT",TBL_Employees3[[#This Row],[Gender]]="Female"),"Yes","No")</f>
        <v>No</v>
      </c>
      <c r="Q464" t="str">
        <f>IF(AND(TBL_Employees3[[#This Row],[Gender]]="Female",TBL_Employees3[[#This Row],[Ethnicity]]="Black"), "Female_Black", "Others")</f>
        <v>Others</v>
      </c>
    </row>
    <row r="465" spans="1:17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6">
        <v>44101</v>
      </c>
      <c r="J465" s="54">
        <v>223055</v>
      </c>
      <c r="K465" s="1">
        <v>0.3</v>
      </c>
      <c r="L465" t="s">
        <v>19</v>
      </c>
      <c r="M465" t="s">
        <v>29</v>
      </c>
      <c r="N465" s="6" t="s">
        <v>21</v>
      </c>
      <c r="O465" s="54">
        <f>TBL_Employees3[[#This Row],[Annual Salary]]+TBL_Employees3[[#This Row],[Bonus %]]*TBL_Employees3[[#This Row],[Annual Salary]]</f>
        <v>289971.5</v>
      </c>
      <c r="P465" t="str">
        <f>IF(AND(TBL_Employees3[[#This Row],[Department]]="IT",TBL_Employees3[[#This Row],[Gender]]="Female"),"Yes","No")</f>
        <v>No</v>
      </c>
      <c r="Q465" t="str">
        <f>IF(AND(TBL_Employees3[[#This Row],[Gender]]="Female",TBL_Employees3[[#This Row],[Ethnicity]]="Black"), "Female_Black", "Others")</f>
        <v>Others</v>
      </c>
    </row>
    <row r="466" spans="1:17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6">
        <v>39185</v>
      </c>
      <c r="J466" s="54">
        <v>189680</v>
      </c>
      <c r="K466" s="1">
        <v>0.23</v>
      </c>
      <c r="L466" t="s">
        <v>52</v>
      </c>
      <c r="M466" t="s">
        <v>53</v>
      </c>
      <c r="N466" s="6" t="s">
        <v>21</v>
      </c>
      <c r="O466" s="54">
        <f>TBL_Employees3[[#This Row],[Annual Salary]]+TBL_Employees3[[#This Row],[Bonus %]]*TBL_Employees3[[#This Row],[Annual Salary]]</f>
        <v>233306.4</v>
      </c>
      <c r="P466" t="str">
        <f>IF(AND(TBL_Employees3[[#This Row],[Department]]="IT",TBL_Employees3[[#This Row],[Gender]]="Female"),"Yes","No")</f>
        <v>No</v>
      </c>
      <c r="Q466" t="str">
        <f>IF(AND(TBL_Employees3[[#This Row],[Gender]]="Female",TBL_Employees3[[#This Row],[Ethnicity]]="Black"), "Female_Black", "Others")</f>
        <v>Others</v>
      </c>
    </row>
    <row r="467" spans="1:17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6">
        <v>43299</v>
      </c>
      <c r="J467" s="54">
        <v>71167</v>
      </c>
      <c r="K467" s="1">
        <v>0</v>
      </c>
      <c r="L467" t="s">
        <v>19</v>
      </c>
      <c r="M467" t="s">
        <v>29</v>
      </c>
      <c r="N467" s="6" t="s">
        <v>21</v>
      </c>
      <c r="O467" s="54">
        <f>TBL_Employees3[[#This Row],[Annual Salary]]+TBL_Employees3[[#This Row],[Bonus %]]*TBL_Employees3[[#This Row],[Annual Salary]]</f>
        <v>71167</v>
      </c>
      <c r="P467" t="str">
        <f>IF(AND(TBL_Employees3[[#This Row],[Department]]="IT",TBL_Employees3[[#This Row],[Gender]]="Female"),"Yes","No")</f>
        <v>No</v>
      </c>
      <c r="Q467" t="str">
        <f>IF(AND(TBL_Employees3[[#This Row],[Gender]]="Female",TBL_Employees3[[#This Row],[Ethnicity]]="Black"), "Female_Black", "Others")</f>
        <v>Others</v>
      </c>
    </row>
    <row r="468" spans="1:17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6">
        <v>40272</v>
      </c>
      <c r="J468" s="54">
        <v>76027</v>
      </c>
      <c r="K468" s="1">
        <v>0</v>
      </c>
      <c r="L468" t="s">
        <v>19</v>
      </c>
      <c r="M468" t="s">
        <v>63</v>
      </c>
      <c r="N468" s="6" t="s">
        <v>21</v>
      </c>
      <c r="O468" s="54">
        <f>TBL_Employees3[[#This Row],[Annual Salary]]+TBL_Employees3[[#This Row],[Bonus %]]*TBL_Employees3[[#This Row],[Annual Salary]]</f>
        <v>76027</v>
      </c>
      <c r="P468" t="str">
        <f>IF(AND(TBL_Employees3[[#This Row],[Department]]="IT",TBL_Employees3[[#This Row],[Gender]]="Female"),"Yes","No")</f>
        <v>Yes</v>
      </c>
      <c r="Q468" t="str">
        <f>IF(AND(TBL_Employees3[[#This Row],[Gender]]="Female",TBL_Employees3[[#This Row],[Ethnicity]]="Black"), "Female_Black", "Others")</f>
        <v>Others</v>
      </c>
    </row>
    <row r="469" spans="1:17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6">
        <v>43809</v>
      </c>
      <c r="J469" s="54">
        <v>183113</v>
      </c>
      <c r="K469" s="1">
        <v>0.24</v>
      </c>
      <c r="L469" t="s">
        <v>52</v>
      </c>
      <c r="M469" t="s">
        <v>66</v>
      </c>
      <c r="N469" s="6" t="s">
        <v>21</v>
      </c>
      <c r="O469" s="54">
        <f>TBL_Employees3[[#This Row],[Annual Salary]]+TBL_Employees3[[#This Row],[Bonus %]]*TBL_Employees3[[#This Row],[Annual Salary]]</f>
        <v>227060.12</v>
      </c>
      <c r="P469" t="str">
        <f>IF(AND(TBL_Employees3[[#This Row],[Department]]="IT",TBL_Employees3[[#This Row],[Gender]]="Female"),"Yes","No")</f>
        <v>No</v>
      </c>
      <c r="Q469" t="str">
        <f>IF(AND(TBL_Employees3[[#This Row],[Gender]]="Female",TBL_Employees3[[#This Row],[Ethnicity]]="Black"), "Female_Black", "Others")</f>
        <v>Others</v>
      </c>
    </row>
    <row r="470" spans="1:17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6">
        <v>44124</v>
      </c>
      <c r="J470" s="54">
        <v>67753</v>
      </c>
      <c r="K470" s="1">
        <v>0</v>
      </c>
      <c r="L470" t="s">
        <v>19</v>
      </c>
      <c r="M470" t="s">
        <v>39</v>
      </c>
      <c r="N470" s="6" t="s">
        <v>21</v>
      </c>
      <c r="O470" s="54">
        <f>TBL_Employees3[[#This Row],[Annual Salary]]+TBL_Employees3[[#This Row],[Bonus %]]*TBL_Employees3[[#This Row],[Annual Salary]]</f>
        <v>67753</v>
      </c>
      <c r="P470" t="str">
        <f>IF(AND(TBL_Employees3[[#This Row],[Department]]="IT",TBL_Employees3[[#This Row],[Gender]]="Female"),"Yes","No")</f>
        <v>No</v>
      </c>
      <c r="Q470" t="str">
        <f>IF(AND(TBL_Employees3[[#This Row],[Gender]]="Female",TBL_Employees3[[#This Row],[Ethnicity]]="Black"), "Female_Black", "Others")</f>
        <v>Others</v>
      </c>
    </row>
    <row r="471" spans="1:17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6">
        <v>42656</v>
      </c>
      <c r="J471" s="54">
        <v>63744</v>
      </c>
      <c r="K471" s="1">
        <v>0.08</v>
      </c>
      <c r="L471" t="s">
        <v>19</v>
      </c>
      <c r="M471" t="s">
        <v>25</v>
      </c>
      <c r="N471" s="6" t="s">
        <v>21</v>
      </c>
      <c r="O471" s="54">
        <f>TBL_Employees3[[#This Row],[Annual Salary]]+TBL_Employees3[[#This Row],[Bonus %]]*TBL_Employees3[[#This Row],[Annual Salary]]</f>
        <v>68843.520000000004</v>
      </c>
      <c r="P471" t="str">
        <f>IF(AND(TBL_Employees3[[#This Row],[Department]]="IT",TBL_Employees3[[#This Row],[Gender]]="Female"),"Yes","No")</f>
        <v>No</v>
      </c>
      <c r="Q471" t="str">
        <f>IF(AND(TBL_Employees3[[#This Row],[Gender]]="Female",TBL_Employees3[[#This Row],[Ethnicity]]="Black"), "Female_Black", "Others")</f>
        <v>Others</v>
      </c>
    </row>
    <row r="472" spans="1:17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6">
        <v>37446</v>
      </c>
      <c r="J472" s="54">
        <v>92209</v>
      </c>
      <c r="K472" s="1">
        <v>0</v>
      </c>
      <c r="L472" t="s">
        <v>33</v>
      </c>
      <c r="M472" t="s">
        <v>74</v>
      </c>
      <c r="N472" s="6" t="s">
        <v>21</v>
      </c>
      <c r="O472" s="54">
        <f>TBL_Employees3[[#This Row],[Annual Salary]]+TBL_Employees3[[#This Row],[Bonus %]]*TBL_Employees3[[#This Row],[Annual Salary]]</f>
        <v>92209</v>
      </c>
      <c r="P472" t="str">
        <f>IF(AND(TBL_Employees3[[#This Row],[Department]]="IT",TBL_Employees3[[#This Row],[Gender]]="Female"),"Yes","No")</f>
        <v>No</v>
      </c>
      <c r="Q472" t="str">
        <f>IF(AND(TBL_Employees3[[#This Row],[Gender]]="Female",TBL_Employees3[[#This Row],[Ethnicity]]="Black"), "Female_Black", "Others")</f>
        <v>Others</v>
      </c>
    </row>
    <row r="473" spans="1:17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6">
        <v>36770</v>
      </c>
      <c r="J473" s="54">
        <v>157487</v>
      </c>
      <c r="K473" s="1">
        <v>0.12</v>
      </c>
      <c r="L473" t="s">
        <v>19</v>
      </c>
      <c r="M473" t="s">
        <v>39</v>
      </c>
      <c r="N473" s="6" t="s">
        <v>21</v>
      </c>
      <c r="O473" s="54">
        <f>TBL_Employees3[[#This Row],[Annual Salary]]+TBL_Employees3[[#This Row],[Bonus %]]*TBL_Employees3[[#This Row],[Annual Salary]]</f>
        <v>176385.44</v>
      </c>
      <c r="P473" t="str">
        <f>IF(AND(TBL_Employees3[[#This Row],[Department]]="IT",TBL_Employees3[[#This Row],[Gender]]="Female"),"Yes","No")</f>
        <v>No</v>
      </c>
      <c r="Q473" t="str">
        <f>IF(AND(TBL_Employees3[[#This Row],[Gender]]="Female",TBL_Employees3[[#This Row],[Ethnicity]]="Black"), "Female_Black", "Others")</f>
        <v>Others</v>
      </c>
    </row>
    <row r="474" spans="1:17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6">
        <v>42101</v>
      </c>
      <c r="J474" s="54">
        <v>99697</v>
      </c>
      <c r="K474" s="1">
        <v>0</v>
      </c>
      <c r="L474" t="s">
        <v>52</v>
      </c>
      <c r="M474" t="s">
        <v>66</v>
      </c>
      <c r="N474" s="6" t="s">
        <v>21</v>
      </c>
      <c r="O474" s="54">
        <f>TBL_Employees3[[#This Row],[Annual Salary]]+TBL_Employees3[[#This Row],[Bonus %]]*TBL_Employees3[[#This Row],[Annual Salary]]</f>
        <v>99697</v>
      </c>
      <c r="P474" t="str">
        <f>IF(AND(TBL_Employees3[[#This Row],[Department]]="IT",TBL_Employees3[[#This Row],[Gender]]="Female"),"Yes","No")</f>
        <v>No</v>
      </c>
      <c r="Q474" t="str">
        <f>IF(AND(TBL_Employees3[[#This Row],[Gender]]="Female",TBL_Employees3[[#This Row],[Ethnicity]]="Black"), "Female_Black", "Others")</f>
        <v>Others</v>
      </c>
    </row>
    <row r="475" spans="1:17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6">
        <v>40235</v>
      </c>
      <c r="J475" s="54">
        <v>90770</v>
      </c>
      <c r="K475" s="1">
        <v>0</v>
      </c>
      <c r="L475" t="s">
        <v>19</v>
      </c>
      <c r="M475" t="s">
        <v>29</v>
      </c>
      <c r="N475" s="6" t="s">
        <v>21</v>
      </c>
      <c r="O475" s="54">
        <f>TBL_Employees3[[#This Row],[Annual Salary]]+TBL_Employees3[[#This Row],[Bonus %]]*TBL_Employees3[[#This Row],[Annual Salary]]</f>
        <v>90770</v>
      </c>
      <c r="P475" t="str">
        <f>IF(AND(TBL_Employees3[[#This Row],[Department]]="IT",TBL_Employees3[[#This Row],[Gender]]="Female"),"Yes","No")</f>
        <v>No</v>
      </c>
      <c r="Q475" t="str">
        <f>IF(AND(TBL_Employees3[[#This Row],[Gender]]="Female",TBL_Employees3[[#This Row],[Ethnicity]]="Black"), "Female_Black", "Others")</f>
        <v>Others</v>
      </c>
    </row>
    <row r="476" spans="1:17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6">
        <v>38380</v>
      </c>
      <c r="J476" s="54">
        <v>55369</v>
      </c>
      <c r="K476" s="1">
        <v>0</v>
      </c>
      <c r="L476" t="s">
        <v>19</v>
      </c>
      <c r="M476" t="s">
        <v>39</v>
      </c>
      <c r="N476" s="6" t="s">
        <v>21</v>
      </c>
      <c r="O476" s="54">
        <f>TBL_Employees3[[#This Row],[Annual Salary]]+TBL_Employees3[[#This Row],[Bonus %]]*TBL_Employees3[[#This Row],[Annual Salary]]</f>
        <v>55369</v>
      </c>
      <c r="P476" t="str">
        <f>IF(AND(TBL_Employees3[[#This Row],[Department]]="IT",TBL_Employees3[[#This Row],[Gender]]="Female"),"Yes","No")</f>
        <v>No</v>
      </c>
      <c r="Q476" t="str">
        <f>IF(AND(TBL_Employees3[[#This Row],[Gender]]="Female",TBL_Employees3[[#This Row],[Ethnicity]]="Black"), "Female_Black", "Others")</f>
        <v>Others</v>
      </c>
    </row>
    <row r="477" spans="1:17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6">
        <v>41898</v>
      </c>
      <c r="J477" s="54">
        <v>69578</v>
      </c>
      <c r="K477" s="1">
        <v>0</v>
      </c>
      <c r="L477" t="s">
        <v>52</v>
      </c>
      <c r="M477" t="s">
        <v>66</v>
      </c>
      <c r="N477" s="6" t="s">
        <v>21</v>
      </c>
      <c r="O477" s="54">
        <f>TBL_Employees3[[#This Row],[Annual Salary]]+TBL_Employees3[[#This Row],[Bonus %]]*TBL_Employees3[[#This Row],[Annual Salary]]</f>
        <v>69578</v>
      </c>
      <c r="P477" t="str">
        <f>IF(AND(TBL_Employees3[[#This Row],[Department]]="IT",TBL_Employees3[[#This Row],[Gender]]="Female"),"Yes","No")</f>
        <v>No</v>
      </c>
      <c r="Q477" t="str">
        <f>IF(AND(TBL_Employees3[[#This Row],[Gender]]="Female",TBL_Employees3[[#This Row],[Ethnicity]]="Black"), "Female_Black", "Others")</f>
        <v>Others</v>
      </c>
    </row>
    <row r="478" spans="1:17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6">
        <v>41429</v>
      </c>
      <c r="J478" s="54">
        <v>167526</v>
      </c>
      <c r="K478" s="1">
        <v>0.26</v>
      </c>
      <c r="L478" t="s">
        <v>19</v>
      </c>
      <c r="M478" t="s">
        <v>45</v>
      </c>
      <c r="N478" s="6" t="s">
        <v>21</v>
      </c>
      <c r="O478" s="54">
        <f>TBL_Employees3[[#This Row],[Annual Salary]]+TBL_Employees3[[#This Row],[Bonus %]]*TBL_Employees3[[#This Row],[Annual Salary]]</f>
        <v>211082.76</v>
      </c>
      <c r="P478" t="str">
        <f>IF(AND(TBL_Employees3[[#This Row],[Department]]="IT",TBL_Employees3[[#This Row],[Gender]]="Female"),"Yes","No")</f>
        <v>No</v>
      </c>
      <c r="Q478" t="str">
        <f>IF(AND(TBL_Employees3[[#This Row],[Gender]]="Female",TBL_Employees3[[#This Row],[Ethnicity]]="Black"), "Female_Black", "Others")</f>
        <v>Others</v>
      </c>
    </row>
    <row r="479" spans="1:17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6">
        <v>44232</v>
      </c>
      <c r="J479" s="54">
        <v>65507</v>
      </c>
      <c r="K479" s="1">
        <v>0</v>
      </c>
      <c r="L479" t="s">
        <v>52</v>
      </c>
      <c r="M479" t="s">
        <v>81</v>
      </c>
      <c r="N479" s="6" t="s">
        <v>21</v>
      </c>
      <c r="O479" s="54">
        <f>TBL_Employees3[[#This Row],[Annual Salary]]+TBL_Employees3[[#This Row],[Bonus %]]*TBL_Employees3[[#This Row],[Annual Salary]]</f>
        <v>65507</v>
      </c>
      <c r="P479" t="str">
        <f>IF(AND(TBL_Employees3[[#This Row],[Department]]="IT",TBL_Employees3[[#This Row],[Gender]]="Female"),"Yes","No")</f>
        <v>No</v>
      </c>
      <c r="Q479" t="str">
        <f>IF(AND(TBL_Employees3[[#This Row],[Gender]]="Female",TBL_Employees3[[#This Row],[Ethnicity]]="Black"), "Female_Black", "Others")</f>
        <v>Others</v>
      </c>
    </row>
    <row r="480" spans="1:17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6">
        <v>35913</v>
      </c>
      <c r="J480" s="54">
        <v>108268</v>
      </c>
      <c r="K480" s="1">
        <v>0.09</v>
      </c>
      <c r="L480" t="s">
        <v>52</v>
      </c>
      <c r="M480" t="s">
        <v>53</v>
      </c>
      <c r="N480" s="6">
        <v>38122</v>
      </c>
      <c r="O480" s="54">
        <f>TBL_Employees3[[#This Row],[Annual Salary]]+TBL_Employees3[[#This Row],[Bonus %]]*TBL_Employees3[[#This Row],[Annual Salary]]</f>
        <v>118012.12</v>
      </c>
      <c r="P480" t="str">
        <f>IF(AND(TBL_Employees3[[#This Row],[Department]]="IT",TBL_Employees3[[#This Row],[Gender]]="Female"),"Yes","No")</f>
        <v>No</v>
      </c>
      <c r="Q480" t="str">
        <f>IF(AND(TBL_Employees3[[#This Row],[Gender]]="Female",TBL_Employees3[[#This Row],[Ethnicity]]="Black"), "Female_Black", "Others")</f>
        <v>Others</v>
      </c>
    </row>
    <row r="481" spans="1:17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6">
        <v>42405</v>
      </c>
      <c r="J481" s="54">
        <v>80055</v>
      </c>
      <c r="K481" s="1">
        <v>0</v>
      </c>
      <c r="L481" t="s">
        <v>33</v>
      </c>
      <c r="M481" t="s">
        <v>60</v>
      </c>
      <c r="N481" s="6" t="s">
        <v>21</v>
      </c>
      <c r="O481" s="54">
        <f>TBL_Employees3[[#This Row],[Annual Salary]]+TBL_Employees3[[#This Row],[Bonus %]]*TBL_Employees3[[#This Row],[Annual Salary]]</f>
        <v>80055</v>
      </c>
      <c r="P481" t="str">
        <f>IF(AND(TBL_Employees3[[#This Row],[Department]]="IT",TBL_Employees3[[#This Row],[Gender]]="Female"),"Yes","No")</f>
        <v>No</v>
      </c>
      <c r="Q481" t="str">
        <f>IF(AND(TBL_Employees3[[#This Row],[Gender]]="Female",TBL_Employees3[[#This Row],[Ethnicity]]="Black"), "Female_Black", "Others")</f>
        <v>Others</v>
      </c>
    </row>
    <row r="482" spans="1:17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6">
        <v>39930</v>
      </c>
      <c r="J482" s="54">
        <v>76802</v>
      </c>
      <c r="K482" s="1">
        <v>0</v>
      </c>
      <c r="L482" t="s">
        <v>52</v>
      </c>
      <c r="M482" t="s">
        <v>81</v>
      </c>
      <c r="N482" s="6" t="s">
        <v>21</v>
      </c>
      <c r="O482" s="54">
        <f>TBL_Employees3[[#This Row],[Annual Salary]]+TBL_Employees3[[#This Row],[Bonus %]]*TBL_Employees3[[#This Row],[Annual Salary]]</f>
        <v>76802</v>
      </c>
      <c r="P482" t="str">
        <f>IF(AND(TBL_Employees3[[#This Row],[Department]]="IT",TBL_Employees3[[#This Row],[Gender]]="Female"),"Yes","No")</f>
        <v>No</v>
      </c>
      <c r="Q482" t="str">
        <f>IF(AND(TBL_Employees3[[#This Row],[Gender]]="Female",TBL_Employees3[[#This Row],[Ethnicity]]="Black"), "Female_Black", "Others")</f>
        <v>Others</v>
      </c>
    </row>
    <row r="483" spans="1:17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6">
        <v>42696</v>
      </c>
      <c r="J483" s="54">
        <v>253249</v>
      </c>
      <c r="K483" s="1">
        <v>0.31</v>
      </c>
      <c r="L483" t="s">
        <v>19</v>
      </c>
      <c r="M483" t="s">
        <v>25</v>
      </c>
      <c r="N483" s="6" t="s">
        <v>21</v>
      </c>
      <c r="O483" s="54">
        <f>TBL_Employees3[[#This Row],[Annual Salary]]+TBL_Employees3[[#This Row],[Bonus %]]*TBL_Employees3[[#This Row],[Annual Salary]]</f>
        <v>331756.19</v>
      </c>
      <c r="P483" t="str">
        <f>IF(AND(TBL_Employees3[[#This Row],[Department]]="IT",TBL_Employees3[[#This Row],[Gender]]="Female"),"Yes","No")</f>
        <v>No</v>
      </c>
      <c r="Q483" t="str">
        <f>IF(AND(TBL_Employees3[[#This Row],[Gender]]="Female",TBL_Employees3[[#This Row],[Ethnicity]]="Black"), "Female_Black", "Others")</f>
        <v>Others</v>
      </c>
    </row>
    <row r="484" spans="1:17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6">
        <v>38667</v>
      </c>
      <c r="J484" s="54">
        <v>78388</v>
      </c>
      <c r="K484" s="1">
        <v>0</v>
      </c>
      <c r="L484" t="s">
        <v>33</v>
      </c>
      <c r="M484" t="s">
        <v>80</v>
      </c>
      <c r="N484" s="6" t="s">
        <v>21</v>
      </c>
      <c r="O484" s="54">
        <f>TBL_Employees3[[#This Row],[Annual Salary]]+TBL_Employees3[[#This Row],[Bonus %]]*TBL_Employees3[[#This Row],[Annual Salary]]</f>
        <v>78388</v>
      </c>
      <c r="P484" t="str">
        <f>IF(AND(TBL_Employees3[[#This Row],[Department]]="IT",TBL_Employees3[[#This Row],[Gender]]="Female"),"Yes","No")</f>
        <v>No</v>
      </c>
      <c r="Q484" t="str">
        <f>IF(AND(TBL_Employees3[[#This Row],[Gender]]="Female",TBL_Employees3[[#This Row],[Ethnicity]]="Black"), "Female_Black", "Others")</f>
        <v>Others</v>
      </c>
    </row>
    <row r="485" spans="1:17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6">
        <v>42543</v>
      </c>
      <c r="J485" s="54">
        <v>249870</v>
      </c>
      <c r="K485" s="1">
        <v>0.34</v>
      </c>
      <c r="L485" t="s">
        <v>19</v>
      </c>
      <c r="M485" t="s">
        <v>20</v>
      </c>
      <c r="N485" s="6" t="s">
        <v>21</v>
      </c>
      <c r="O485" s="54">
        <f>TBL_Employees3[[#This Row],[Annual Salary]]+TBL_Employees3[[#This Row],[Bonus %]]*TBL_Employees3[[#This Row],[Annual Salary]]</f>
        <v>334825.8</v>
      </c>
      <c r="P485" t="str">
        <f>IF(AND(TBL_Employees3[[#This Row],[Department]]="IT",TBL_Employees3[[#This Row],[Gender]]="Female"),"Yes","No")</f>
        <v>No</v>
      </c>
      <c r="Q485" t="str">
        <f>IF(AND(TBL_Employees3[[#This Row],[Gender]]="Female",TBL_Employees3[[#This Row],[Ethnicity]]="Black"), "Female_Black", "Others")</f>
        <v>Others</v>
      </c>
    </row>
    <row r="486" spans="1:17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6">
        <v>42064</v>
      </c>
      <c r="J486" s="54">
        <v>148321</v>
      </c>
      <c r="K486" s="1">
        <v>0.15</v>
      </c>
      <c r="L486" t="s">
        <v>33</v>
      </c>
      <c r="M486" t="s">
        <v>60</v>
      </c>
      <c r="N486" s="6" t="s">
        <v>21</v>
      </c>
      <c r="O486" s="54">
        <f>TBL_Employees3[[#This Row],[Annual Salary]]+TBL_Employees3[[#This Row],[Bonus %]]*TBL_Employees3[[#This Row],[Annual Salary]]</f>
        <v>170569.15</v>
      </c>
      <c r="P486" t="str">
        <f>IF(AND(TBL_Employees3[[#This Row],[Department]]="IT",TBL_Employees3[[#This Row],[Gender]]="Female"),"Yes","No")</f>
        <v>No</v>
      </c>
      <c r="Q486" t="str">
        <f>IF(AND(TBL_Employees3[[#This Row],[Gender]]="Female",TBL_Employees3[[#This Row],[Ethnicity]]="Black"), "Female_Black", "Others")</f>
        <v>Others</v>
      </c>
    </row>
    <row r="487" spans="1:17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6">
        <v>38027</v>
      </c>
      <c r="J487" s="54">
        <v>90258</v>
      </c>
      <c r="K487" s="1">
        <v>0</v>
      </c>
      <c r="L487" t="s">
        <v>33</v>
      </c>
      <c r="M487" t="s">
        <v>80</v>
      </c>
      <c r="N487" s="6" t="s">
        <v>21</v>
      </c>
      <c r="O487" s="54">
        <f>TBL_Employees3[[#This Row],[Annual Salary]]+TBL_Employees3[[#This Row],[Bonus %]]*TBL_Employees3[[#This Row],[Annual Salary]]</f>
        <v>90258</v>
      </c>
      <c r="P487" t="str">
        <f>IF(AND(TBL_Employees3[[#This Row],[Department]]="IT",TBL_Employees3[[#This Row],[Gender]]="Female"),"Yes","No")</f>
        <v>Yes</v>
      </c>
      <c r="Q487" t="str">
        <f>IF(AND(TBL_Employees3[[#This Row],[Gender]]="Female",TBL_Employees3[[#This Row],[Ethnicity]]="Black"), "Female_Black", "Others")</f>
        <v>Others</v>
      </c>
    </row>
    <row r="488" spans="1:17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6">
        <v>40593</v>
      </c>
      <c r="J488" s="54">
        <v>72486</v>
      </c>
      <c r="K488" s="1">
        <v>0</v>
      </c>
      <c r="L488" t="s">
        <v>19</v>
      </c>
      <c r="M488" t="s">
        <v>63</v>
      </c>
      <c r="N488" s="6" t="s">
        <v>21</v>
      </c>
      <c r="O488" s="54">
        <f>TBL_Employees3[[#This Row],[Annual Salary]]+TBL_Employees3[[#This Row],[Bonus %]]*TBL_Employees3[[#This Row],[Annual Salary]]</f>
        <v>72486</v>
      </c>
      <c r="P488" t="str">
        <f>IF(AND(TBL_Employees3[[#This Row],[Department]]="IT",TBL_Employees3[[#This Row],[Gender]]="Female"),"Yes","No")</f>
        <v>Yes</v>
      </c>
      <c r="Q488" t="str">
        <f>IF(AND(TBL_Employees3[[#This Row],[Gender]]="Female",TBL_Employees3[[#This Row],[Ethnicity]]="Black"), "Female_Black", "Others")</f>
        <v>Female_Black</v>
      </c>
    </row>
    <row r="489" spans="1:17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6">
        <v>41886</v>
      </c>
      <c r="J489" s="54">
        <v>95499</v>
      </c>
      <c r="K489" s="1">
        <v>0</v>
      </c>
      <c r="L489" t="s">
        <v>52</v>
      </c>
      <c r="M489" t="s">
        <v>53</v>
      </c>
      <c r="N489" s="6">
        <v>42958</v>
      </c>
      <c r="O489" s="54">
        <f>TBL_Employees3[[#This Row],[Annual Salary]]+TBL_Employees3[[#This Row],[Bonus %]]*TBL_Employees3[[#This Row],[Annual Salary]]</f>
        <v>95499</v>
      </c>
      <c r="P489" t="str">
        <f>IF(AND(TBL_Employees3[[#This Row],[Department]]="IT",TBL_Employees3[[#This Row],[Gender]]="Female"),"Yes","No")</f>
        <v>No</v>
      </c>
      <c r="Q489" t="str">
        <f>IF(AND(TBL_Employees3[[#This Row],[Gender]]="Female",TBL_Employees3[[#This Row],[Ethnicity]]="Black"), "Female_Black", "Others")</f>
        <v>Others</v>
      </c>
    </row>
    <row r="490" spans="1:17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6">
        <v>38344</v>
      </c>
      <c r="J490" s="54">
        <v>90212</v>
      </c>
      <c r="K490" s="1">
        <v>0</v>
      </c>
      <c r="L490" t="s">
        <v>52</v>
      </c>
      <c r="M490" t="s">
        <v>53</v>
      </c>
      <c r="N490" s="6" t="s">
        <v>21</v>
      </c>
      <c r="O490" s="54">
        <f>TBL_Employees3[[#This Row],[Annual Salary]]+TBL_Employees3[[#This Row],[Bonus %]]*TBL_Employees3[[#This Row],[Annual Salary]]</f>
        <v>90212</v>
      </c>
      <c r="P490" t="str">
        <f>IF(AND(TBL_Employees3[[#This Row],[Department]]="IT",TBL_Employees3[[#This Row],[Gender]]="Female"),"Yes","No")</f>
        <v>No</v>
      </c>
      <c r="Q490" t="str">
        <f>IF(AND(TBL_Employees3[[#This Row],[Gender]]="Female",TBL_Employees3[[#This Row],[Ethnicity]]="Black"), "Female_Black", "Others")</f>
        <v>Others</v>
      </c>
    </row>
    <row r="491" spans="1:17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6">
        <v>43804</v>
      </c>
      <c r="J491" s="54">
        <v>254057</v>
      </c>
      <c r="K491" s="1">
        <v>0.39</v>
      </c>
      <c r="L491" t="s">
        <v>33</v>
      </c>
      <c r="M491" t="s">
        <v>74</v>
      </c>
      <c r="N491" s="6" t="s">
        <v>21</v>
      </c>
      <c r="O491" s="54">
        <f>TBL_Employees3[[#This Row],[Annual Salary]]+TBL_Employees3[[#This Row],[Bonus %]]*TBL_Employees3[[#This Row],[Annual Salary]]</f>
        <v>353139.23</v>
      </c>
      <c r="P491" t="str">
        <f>IF(AND(TBL_Employees3[[#This Row],[Department]]="IT",TBL_Employees3[[#This Row],[Gender]]="Female"),"Yes","No")</f>
        <v>No</v>
      </c>
      <c r="Q491" t="str">
        <f>IF(AND(TBL_Employees3[[#This Row],[Gender]]="Female",TBL_Employees3[[#This Row],[Ethnicity]]="Black"), "Female_Black", "Others")</f>
        <v>Others</v>
      </c>
    </row>
    <row r="492" spans="1:17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6">
        <v>40463</v>
      </c>
      <c r="J492" s="54">
        <v>43001</v>
      </c>
      <c r="K492" s="1">
        <v>0</v>
      </c>
      <c r="L492" t="s">
        <v>19</v>
      </c>
      <c r="M492" t="s">
        <v>25</v>
      </c>
      <c r="N492" s="6" t="s">
        <v>21</v>
      </c>
      <c r="O492" s="54">
        <f>TBL_Employees3[[#This Row],[Annual Salary]]+TBL_Employees3[[#This Row],[Bonus %]]*TBL_Employees3[[#This Row],[Annual Salary]]</f>
        <v>43001</v>
      </c>
      <c r="P492" t="str">
        <f>IF(AND(TBL_Employees3[[#This Row],[Department]]="IT",TBL_Employees3[[#This Row],[Gender]]="Female"),"Yes","No")</f>
        <v>No</v>
      </c>
      <c r="Q492" t="str">
        <f>IF(AND(TBL_Employees3[[#This Row],[Gender]]="Female",TBL_Employees3[[#This Row],[Ethnicity]]="Black"), "Female_Black", "Others")</f>
        <v>Others</v>
      </c>
    </row>
    <row r="493" spans="1:17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6">
        <v>36010</v>
      </c>
      <c r="J493" s="54">
        <v>85120</v>
      </c>
      <c r="K493" s="1">
        <v>0.09</v>
      </c>
      <c r="L493" t="s">
        <v>19</v>
      </c>
      <c r="M493" t="s">
        <v>63</v>
      </c>
      <c r="N493" s="6" t="s">
        <v>21</v>
      </c>
      <c r="O493" s="54">
        <f>TBL_Employees3[[#This Row],[Annual Salary]]+TBL_Employees3[[#This Row],[Bonus %]]*TBL_Employees3[[#This Row],[Annual Salary]]</f>
        <v>92780.800000000003</v>
      </c>
      <c r="P493" t="str">
        <f>IF(AND(TBL_Employees3[[#This Row],[Department]]="IT",TBL_Employees3[[#This Row],[Gender]]="Female"),"Yes","No")</f>
        <v>No</v>
      </c>
      <c r="Q493" t="str">
        <f>IF(AND(TBL_Employees3[[#This Row],[Gender]]="Female",TBL_Employees3[[#This Row],[Ethnicity]]="Black"), "Female_Black", "Others")</f>
        <v>Others</v>
      </c>
    </row>
    <row r="494" spans="1:17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6">
        <v>42219</v>
      </c>
      <c r="J494" s="54">
        <v>52200</v>
      </c>
      <c r="K494" s="1">
        <v>0</v>
      </c>
      <c r="L494" t="s">
        <v>19</v>
      </c>
      <c r="M494" t="s">
        <v>29</v>
      </c>
      <c r="N494" s="6" t="s">
        <v>21</v>
      </c>
      <c r="O494" s="54">
        <f>TBL_Employees3[[#This Row],[Annual Salary]]+TBL_Employees3[[#This Row],[Bonus %]]*TBL_Employees3[[#This Row],[Annual Salary]]</f>
        <v>52200</v>
      </c>
      <c r="P494" t="str">
        <f>IF(AND(TBL_Employees3[[#This Row],[Department]]="IT",TBL_Employees3[[#This Row],[Gender]]="Female"),"Yes","No")</f>
        <v>No</v>
      </c>
      <c r="Q494" t="str">
        <f>IF(AND(TBL_Employees3[[#This Row],[Gender]]="Female",TBL_Employees3[[#This Row],[Ethnicity]]="Black"), "Female_Black", "Others")</f>
        <v>Others</v>
      </c>
    </row>
    <row r="495" spans="1:17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6">
        <v>39739</v>
      </c>
      <c r="J495" s="54">
        <v>150855</v>
      </c>
      <c r="K495" s="1">
        <v>0.11</v>
      </c>
      <c r="L495" t="s">
        <v>19</v>
      </c>
      <c r="M495" t="s">
        <v>39</v>
      </c>
      <c r="N495" s="6" t="s">
        <v>21</v>
      </c>
      <c r="O495" s="54">
        <f>TBL_Employees3[[#This Row],[Annual Salary]]+TBL_Employees3[[#This Row],[Bonus %]]*TBL_Employees3[[#This Row],[Annual Salary]]</f>
        <v>167449.04999999999</v>
      </c>
      <c r="P495" t="str">
        <f>IF(AND(TBL_Employees3[[#This Row],[Department]]="IT",TBL_Employees3[[#This Row],[Gender]]="Female"),"Yes","No")</f>
        <v>No</v>
      </c>
      <c r="Q495" t="str">
        <f>IF(AND(TBL_Employees3[[#This Row],[Gender]]="Female",TBL_Employees3[[#This Row],[Ethnicity]]="Black"), "Female_Black", "Others")</f>
        <v>Others</v>
      </c>
    </row>
    <row r="496" spans="1:17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6">
        <v>38188</v>
      </c>
      <c r="J496" s="54">
        <v>65702</v>
      </c>
      <c r="K496" s="1">
        <v>0</v>
      </c>
      <c r="L496" t="s">
        <v>19</v>
      </c>
      <c r="M496" t="s">
        <v>29</v>
      </c>
      <c r="N496" s="6" t="s">
        <v>21</v>
      </c>
      <c r="O496" s="54">
        <f>TBL_Employees3[[#This Row],[Annual Salary]]+TBL_Employees3[[#This Row],[Bonus %]]*TBL_Employees3[[#This Row],[Annual Salary]]</f>
        <v>65702</v>
      </c>
      <c r="P496" t="str">
        <f>IF(AND(TBL_Employees3[[#This Row],[Department]]="IT",TBL_Employees3[[#This Row],[Gender]]="Female"),"Yes","No")</f>
        <v>Yes</v>
      </c>
      <c r="Q496" t="str">
        <f>IF(AND(TBL_Employees3[[#This Row],[Gender]]="Female",TBL_Employees3[[#This Row],[Ethnicity]]="Black"), "Female_Black", "Others")</f>
        <v>Others</v>
      </c>
    </row>
    <row r="497" spans="1:17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6">
        <v>39367</v>
      </c>
      <c r="J497" s="54">
        <v>162038</v>
      </c>
      <c r="K497" s="1">
        <v>0.24</v>
      </c>
      <c r="L497" t="s">
        <v>33</v>
      </c>
      <c r="M497" t="s">
        <v>80</v>
      </c>
      <c r="N497" s="6" t="s">
        <v>21</v>
      </c>
      <c r="O497" s="54">
        <f>TBL_Employees3[[#This Row],[Annual Salary]]+TBL_Employees3[[#This Row],[Bonus %]]*TBL_Employees3[[#This Row],[Annual Salary]]</f>
        <v>200927.12</v>
      </c>
      <c r="P497" t="str">
        <f>IF(AND(TBL_Employees3[[#This Row],[Department]]="IT",TBL_Employees3[[#This Row],[Gender]]="Female"),"Yes","No")</f>
        <v>No</v>
      </c>
      <c r="Q497" t="str">
        <f>IF(AND(TBL_Employees3[[#This Row],[Gender]]="Female",TBL_Employees3[[#This Row],[Ethnicity]]="Black"), "Female_Black", "Others")</f>
        <v>Others</v>
      </c>
    </row>
    <row r="498" spans="1:17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6">
        <v>43930</v>
      </c>
      <c r="J498" s="54">
        <v>157057</v>
      </c>
      <c r="K498" s="1">
        <v>0.1</v>
      </c>
      <c r="L498" t="s">
        <v>19</v>
      </c>
      <c r="M498" t="s">
        <v>29</v>
      </c>
      <c r="N498" s="6" t="s">
        <v>21</v>
      </c>
      <c r="O498" s="54">
        <f>TBL_Employees3[[#This Row],[Annual Salary]]+TBL_Employees3[[#This Row],[Bonus %]]*TBL_Employees3[[#This Row],[Annual Salary]]</f>
        <v>172762.7</v>
      </c>
      <c r="P498" t="str">
        <f>IF(AND(TBL_Employees3[[#This Row],[Department]]="IT",TBL_Employees3[[#This Row],[Gender]]="Female"),"Yes","No")</f>
        <v>No</v>
      </c>
      <c r="Q498" t="str">
        <f>IF(AND(TBL_Employees3[[#This Row],[Gender]]="Female",TBL_Employees3[[#This Row],[Ethnicity]]="Black"), "Female_Black", "Others")</f>
        <v>Others</v>
      </c>
    </row>
    <row r="499" spans="1:17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6">
        <v>44419</v>
      </c>
      <c r="J499" s="54">
        <v>127559</v>
      </c>
      <c r="K499" s="1">
        <v>0.1</v>
      </c>
      <c r="L499" t="s">
        <v>19</v>
      </c>
      <c r="M499" t="s">
        <v>25</v>
      </c>
      <c r="N499" s="6" t="s">
        <v>21</v>
      </c>
      <c r="O499" s="54">
        <f>TBL_Employees3[[#This Row],[Annual Salary]]+TBL_Employees3[[#This Row],[Bonus %]]*TBL_Employees3[[#This Row],[Annual Salary]]</f>
        <v>140314.9</v>
      </c>
      <c r="P499" t="str">
        <f>IF(AND(TBL_Employees3[[#This Row],[Department]]="IT",TBL_Employees3[[#This Row],[Gender]]="Female"),"Yes","No")</f>
        <v>No</v>
      </c>
      <c r="Q499" t="str">
        <f>IF(AND(TBL_Employees3[[#This Row],[Gender]]="Female",TBL_Employees3[[#This Row],[Ethnicity]]="Black"), "Female_Black", "Others")</f>
        <v>Others</v>
      </c>
    </row>
    <row r="500" spans="1:17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6">
        <v>43536</v>
      </c>
      <c r="J500" s="54">
        <v>62644</v>
      </c>
      <c r="K500" s="1">
        <v>0</v>
      </c>
      <c r="L500" t="s">
        <v>19</v>
      </c>
      <c r="M500" t="s">
        <v>63</v>
      </c>
      <c r="N500" s="6" t="s">
        <v>21</v>
      </c>
      <c r="O500" s="54">
        <f>TBL_Employees3[[#This Row],[Annual Salary]]+TBL_Employees3[[#This Row],[Bonus %]]*TBL_Employees3[[#This Row],[Annual Salary]]</f>
        <v>62644</v>
      </c>
      <c r="P500" t="str">
        <f>IF(AND(TBL_Employees3[[#This Row],[Department]]="IT",TBL_Employees3[[#This Row],[Gender]]="Female"),"Yes","No")</f>
        <v>No</v>
      </c>
      <c r="Q500" t="str">
        <f>IF(AND(TBL_Employees3[[#This Row],[Gender]]="Female",TBL_Employees3[[#This Row],[Ethnicity]]="Black"), "Female_Black", "Others")</f>
        <v>Others</v>
      </c>
    </row>
    <row r="501" spans="1:17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6">
        <v>36956</v>
      </c>
      <c r="J501" s="54">
        <v>73907</v>
      </c>
      <c r="K501" s="1">
        <v>0</v>
      </c>
      <c r="L501" t="s">
        <v>33</v>
      </c>
      <c r="M501" t="s">
        <v>74</v>
      </c>
      <c r="N501" s="6" t="s">
        <v>21</v>
      </c>
      <c r="O501" s="54">
        <f>TBL_Employees3[[#This Row],[Annual Salary]]+TBL_Employees3[[#This Row],[Bonus %]]*TBL_Employees3[[#This Row],[Annual Salary]]</f>
        <v>73907</v>
      </c>
      <c r="P501" t="str">
        <f>IF(AND(TBL_Employees3[[#This Row],[Department]]="IT",TBL_Employees3[[#This Row],[Gender]]="Female"),"Yes","No")</f>
        <v>No</v>
      </c>
      <c r="Q501" t="str">
        <f>IF(AND(TBL_Employees3[[#This Row],[Gender]]="Female",TBL_Employees3[[#This Row],[Ethnicity]]="Black"), "Female_Black", "Others")</f>
        <v>Others</v>
      </c>
    </row>
    <row r="502" spans="1:17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6">
        <v>43169</v>
      </c>
      <c r="J502" s="54">
        <v>90040</v>
      </c>
      <c r="K502" s="1">
        <v>0</v>
      </c>
      <c r="L502" t="s">
        <v>19</v>
      </c>
      <c r="M502" t="s">
        <v>20</v>
      </c>
      <c r="N502" s="6" t="s">
        <v>21</v>
      </c>
      <c r="O502" s="54">
        <f>TBL_Employees3[[#This Row],[Annual Salary]]+TBL_Employees3[[#This Row],[Bonus %]]*TBL_Employees3[[#This Row],[Annual Salary]]</f>
        <v>90040</v>
      </c>
      <c r="P502" t="str">
        <f>IF(AND(TBL_Employees3[[#This Row],[Department]]="IT",TBL_Employees3[[#This Row],[Gender]]="Female"),"Yes","No")</f>
        <v>No</v>
      </c>
      <c r="Q502" t="str">
        <f>IF(AND(TBL_Employees3[[#This Row],[Gender]]="Female",TBL_Employees3[[#This Row],[Ethnicity]]="Black"), "Female_Black", "Others")</f>
        <v>Others</v>
      </c>
    </row>
    <row r="503" spans="1:17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6">
        <v>42516</v>
      </c>
      <c r="J503" s="54">
        <v>91134</v>
      </c>
      <c r="K503" s="1">
        <v>0</v>
      </c>
      <c r="L503" t="s">
        <v>52</v>
      </c>
      <c r="M503" t="s">
        <v>53</v>
      </c>
      <c r="N503" s="6" t="s">
        <v>21</v>
      </c>
      <c r="O503" s="54">
        <f>TBL_Employees3[[#This Row],[Annual Salary]]+TBL_Employees3[[#This Row],[Bonus %]]*TBL_Employees3[[#This Row],[Annual Salary]]</f>
        <v>91134</v>
      </c>
      <c r="P503" t="str">
        <f>IF(AND(TBL_Employees3[[#This Row],[Department]]="IT",TBL_Employees3[[#This Row],[Gender]]="Female"),"Yes","No")</f>
        <v>No</v>
      </c>
      <c r="Q503" t="str">
        <f>IF(AND(TBL_Employees3[[#This Row],[Gender]]="Female",TBL_Employees3[[#This Row],[Ethnicity]]="Black"), "Female_Black", "Others")</f>
        <v>Others</v>
      </c>
    </row>
    <row r="504" spans="1:17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6">
        <v>44461</v>
      </c>
      <c r="J504" s="54">
        <v>201396</v>
      </c>
      <c r="K504" s="1">
        <v>0.32</v>
      </c>
      <c r="L504" t="s">
        <v>19</v>
      </c>
      <c r="M504" t="s">
        <v>45</v>
      </c>
      <c r="N504" s="6" t="s">
        <v>21</v>
      </c>
      <c r="O504" s="54">
        <f>TBL_Employees3[[#This Row],[Annual Salary]]+TBL_Employees3[[#This Row],[Bonus %]]*TBL_Employees3[[#This Row],[Annual Salary]]</f>
        <v>265842.71999999997</v>
      </c>
      <c r="P504" t="str">
        <f>IF(AND(TBL_Employees3[[#This Row],[Department]]="IT",TBL_Employees3[[#This Row],[Gender]]="Female"),"Yes","No")</f>
        <v>No</v>
      </c>
      <c r="Q504" t="str">
        <f>IF(AND(TBL_Employees3[[#This Row],[Gender]]="Female",TBL_Employees3[[#This Row],[Ethnicity]]="Black"), "Female_Black", "Others")</f>
        <v>Others</v>
      </c>
    </row>
    <row r="505" spans="1:17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6">
        <v>40899</v>
      </c>
      <c r="J505" s="54">
        <v>54733</v>
      </c>
      <c r="K505" s="1">
        <v>0</v>
      </c>
      <c r="L505" t="s">
        <v>33</v>
      </c>
      <c r="M505" t="s">
        <v>80</v>
      </c>
      <c r="N505" s="6" t="s">
        <v>21</v>
      </c>
      <c r="O505" s="54">
        <f>TBL_Employees3[[#This Row],[Annual Salary]]+TBL_Employees3[[#This Row],[Bonus %]]*TBL_Employees3[[#This Row],[Annual Salary]]</f>
        <v>54733</v>
      </c>
      <c r="P505" t="str">
        <f>IF(AND(TBL_Employees3[[#This Row],[Department]]="IT",TBL_Employees3[[#This Row],[Gender]]="Female"),"Yes","No")</f>
        <v>No</v>
      </c>
      <c r="Q505" t="str">
        <f>IF(AND(TBL_Employees3[[#This Row],[Gender]]="Female",TBL_Employees3[[#This Row],[Ethnicity]]="Black"), "Female_Black", "Others")</f>
        <v>Others</v>
      </c>
    </row>
    <row r="506" spans="1:17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6">
        <v>43633</v>
      </c>
      <c r="J506" s="54">
        <v>65341</v>
      </c>
      <c r="K506" s="1">
        <v>0</v>
      </c>
      <c r="L506" t="s">
        <v>19</v>
      </c>
      <c r="M506" t="s">
        <v>45</v>
      </c>
      <c r="N506" s="6">
        <v>44662</v>
      </c>
      <c r="O506" s="54">
        <f>TBL_Employees3[[#This Row],[Annual Salary]]+TBL_Employees3[[#This Row],[Bonus %]]*TBL_Employees3[[#This Row],[Annual Salary]]</f>
        <v>65341</v>
      </c>
      <c r="P506" t="str">
        <f>IF(AND(TBL_Employees3[[#This Row],[Department]]="IT",TBL_Employees3[[#This Row],[Gender]]="Female"),"Yes","No")</f>
        <v>No</v>
      </c>
      <c r="Q506" t="str">
        <f>IF(AND(TBL_Employees3[[#This Row],[Gender]]="Female",TBL_Employees3[[#This Row],[Ethnicity]]="Black"), "Female_Black", "Others")</f>
        <v>Others</v>
      </c>
    </row>
    <row r="507" spans="1:17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6">
        <v>43400</v>
      </c>
      <c r="J507" s="54">
        <v>139208</v>
      </c>
      <c r="K507" s="1">
        <v>0.11</v>
      </c>
      <c r="L507" t="s">
        <v>19</v>
      </c>
      <c r="M507" t="s">
        <v>25</v>
      </c>
      <c r="N507" s="6" t="s">
        <v>21</v>
      </c>
      <c r="O507" s="54">
        <f>TBL_Employees3[[#This Row],[Annual Salary]]+TBL_Employees3[[#This Row],[Bonus %]]*TBL_Employees3[[#This Row],[Annual Salary]]</f>
        <v>154520.88</v>
      </c>
      <c r="P507" t="str">
        <f>IF(AND(TBL_Employees3[[#This Row],[Department]]="IT",TBL_Employees3[[#This Row],[Gender]]="Female"),"Yes","No")</f>
        <v>No</v>
      </c>
      <c r="Q507" t="str">
        <f>IF(AND(TBL_Employees3[[#This Row],[Gender]]="Female",TBL_Employees3[[#This Row],[Ethnicity]]="Black"), "Female_Black", "Others")</f>
        <v>Female_Black</v>
      </c>
    </row>
    <row r="508" spans="1:17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6">
        <v>43171</v>
      </c>
      <c r="J508" s="54">
        <v>73200</v>
      </c>
      <c r="K508" s="1">
        <v>0</v>
      </c>
      <c r="L508" t="s">
        <v>33</v>
      </c>
      <c r="M508" t="s">
        <v>74</v>
      </c>
      <c r="N508" s="6" t="s">
        <v>21</v>
      </c>
      <c r="O508" s="54">
        <f>TBL_Employees3[[#This Row],[Annual Salary]]+TBL_Employees3[[#This Row],[Bonus %]]*TBL_Employees3[[#This Row],[Annual Salary]]</f>
        <v>73200</v>
      </c>
      <c r="P508" t="str">
        <f>IF(AND(TBL_Employees3[[#This Row],[Department]]="IT",TBL_Employees3[[#This Row],[Gender]]="Female"),"Yes","No")</f>
        <v>No</v>
      </c>
      <c r="Q508" t="str">
        <f>IF(AND(TBL_Employees3[[#This Row],[Gender]]="Female",TBL_Employees3[[#This Row],[Ethnicity]]="Black"), "Female_Black", "Others")</f>
        <v>Others</v>
      </c>
    </row>
    <row r="509" spans="1:17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6">
        <v>40292</v>
      </c>
      <c r="J509" s="54">
        <v>102636</v>
      </c>
      <c r="K509" s="1">
        <v>0.06</v>
      </c>
      <c r="L509" t="s">
        <v>19</v>
      </c>
      <c r="M509" t="s">
        <v>63</v>
      </c>
      <c r="N509" s="6" t="s">
        <v>21</v>
      </c>
      <c r="O509" s="54">
        <f>TBL_Employees3[[#This Row],[Annual Salary]]+TBL_Employees3[[#This Row],[Bonus %]]*TBL_Employees3[[#This Row],[Annual Salary]]</f>
        <v>108794.16</v>
      </c>
      <c r="P509" t="str">
        <f>IF(AND(TBL_Employees3[[#This Row],[Department]]="IT",TBL_Employees3[[#This Row],[Gender]]="Female"),"Yes","No")</f>
        <v>No</v>
      </c>
      <c r="Q509" t="str">
        <f>IF(AND(TBL_Employees3[[#This Row],[Gender]]="Female",TBL_Employees3[[#This Row],[Ethnicity]]="Black"), "Female_Black", "Others")</f>
        <v>Others</v>
      </c>
    </row>
    <row r="510" spans="1:17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6">
        <v>44236</v>
      </c>
      <c r="J510" s="54">
        <v>87427</v>
      </c>
      <c r="K510" s="1">
        <v>0</v>
      </c>
      <c r="L510" t="s">
        <v>52</v>
      </c>
      <c r="M510" t="s">
        <v>53</v>
      </c>
      <c r="N510" s="6" t="s">
        <v>21</v>
      </c>
      <c r="O510" s="54">
        <f>TBL_Employees3[[#This Row],[Annual Salary]]+TBL_Employees3[[#This Row],[Bonus %]]*TBL_Employees3[[#This Row],[Annual Salary]]</f>
        <v>87427</v>
      </c>
      <c r="P510" t="str">
        <f>IF(AND(TBL_Employees3[[#This Row],[Department]]="IT",TBL_Employees3[[#This Row],[Gender]]="Female"),"Yes","No")</f>
        <v>No</v>
      </c>
      <c r="Q510" t="str">
        <f>IF(AND(TBL_Employees3[[#This Row],[Gender]]="Female",TBL_Employees3[[#This Row],[Ethnicity]]="Black"), "Female_Black", "Others")</f>
        <v>Others</v>
      </c>
    </row>
    <row r="511" spans="1:17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6">
        <v>43248</v>
      </c>
      <c r="J511" s="54">
        <v>49219</v>
      </c>
      <c r="K511" s="1">
        <v>0</v>
      </c>
      <c r="L511" t="s">
        <v>19</v>
      </c>
      <c r="M511" t="s">
        <v>29</v>
      </c>
      <c r="N511" s="6" t="s">
        <v>21</v>
      </c>
      <c r="O511" s="54">
        <f>TBL_Employees3[[#This Row],[Annual Salary]]+TBL_Employees3[[#This Row],[Bonus %]]*TBL_Employees3[[#This Row],[Annual Salary]]</f>
        <v>49219</v>
      </c>
      <c r="P511" t="str">
        <f>IF(AND(TBL_Employees3[[#This Row],[Department]]="IT",TBL_Employees3[[#This Row],[Gender]]="Female"),"Yes","No")</f>
        <v>No</v>
      </c>
      <c r="Q511" t="str">
        <f>IF(AND(TBL_Employees3[[#This Row],[Gender]]="Female",TBL_Employees3[[#This Row],[Ethnicity]]="Black"), "Female_Black", "Others")</f>
        <v>Others</v>
      </c>
    </row>
    <row r="512" spans="1:17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6">
        <v>43239</v>
      </c>
      <c r="J512" s="54">
        <v>106437</v>
      </c>
      <c r="K512" s="1">
        <v>7.0000000000000007E-2</v>
      </c>
      <c r="L512" t="s">
        <v>33</v>
      </c>
      <c r="M512" t="s">
        <v>80</v>
      </c>
      <c r="N512" s="6" t="s">
        <v>21</v>
      </c>
      <c r="O512" s="54">
        <f>TBL_Employees3[[#This Row],[Annual Salary]]+TBL_Employees3[[#This Row],[Bonus %]]*TBL_Employees3[[#This Row],[Annual Salary]]</f>
        <v>113887.59</v>
      </c>
      <c r="P512" t="str">
        <f>IF(AND(TBL_Employees3[[#This Row],[Department]]="IT",TBL_Employees3[[#This Row],[Gender]]="Female"),"Yes","No")</f>
        <v>No</v>
      </c>
      <c r="Q512" t="str">
        <f>IF(AND(TBL_Employees3[[#This Row],[Gender]]="Female",TBL_Employees3[[#This Row],[Ethnicity]]="Black"), "Female_Black", "Others")</f>
        <v>Others</v>
      </c>
    </row>
    <row r="513" spans="1:17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6">
        <v>42129</v>
      </c>
      <c r="J513" s="54">
        <v>64364</v>
      </c>
      <c r="K513" s="1">
        <v>0</v>
      </c>
      <c r="L513" t="s">
        <v>52</v>
      </c>
      <c r="M513" t="s">
        <v>53</v>
      </c>
      <c r="N513" s="6" t="s">
        <v>21</v>
      </c>
      <c r="O513" s="54">
        <f>TBL_Employees3[[#This Row],[Annual Salary]]+TBL_Employees3[[#This Row],[Bonus %]]*TBL_Employees3[[#This Row],[Annual Salary]]</f>
        <v>64364</v>
      </c>
      <c r="P513" t="str">
        <f>IF(AND(TBL_Employees3[[#This Row],[Department]]="IT",TBL_Employees3[[#This Row],[Gender]]="Female"),"Yes","No")</f>
        <v>No</v>
      </c>
      <c r="Q513" t="str">
        <f>IF(AND(TBL_Employees3[[#This Row],[Gender]]="Female",TBL_Employees3[[#This Row],[Ethnicity]]="Black"), "Female_Black", "Others")</f>
        <v>Others</v>
      </c>
    </row>
    <row r="514" spans="1:17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6">
        <v>44486</v>
      </c>
      <c r="J514" s="54">
        <v>172180</v>
      </c>
      <c r="K514" s="1">
        <v>0.3</v>
      </c>
      <c r="L514" t="s">
        <v>19</v>
      </c>
      <c r="M514" t="s">
        <v>29</v>
      </c>
      <c r="N514" s="6" t="s">
        <v>21</v>
      </c>
      <c r="O514" s="54">
        <f>TBL_Employees3[[#This Row],[Annual Salary]]+TBL_Employees3[[#This Row],[Bonus %]]*TBL_Employees3[[#This Row],[Annual Salary]]</f>
        <v>223834</v>
      </c>
      <c r="P514" t="str">
        <f>IF(AND(TBL_Employees3[[#This Row],[Department]]="IT",TBL_Employees3[[#This Row],[Gender]]="Female"),"Yes","No")</f>
        <v>No</v>
      </c>
      <c r="Q514" t="str">
        <f>IF(AND(TBL_Employees3[[#This Row],[Gender]]="Female",TBL_Employees3[[#This Row],[Ethnicity]]="Black"), "Female_Black", "Others")</f>
        <v>Others</v>
      </c>
    </row>
    <row r="515" spans="1:17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6">
        <v>41043</v>
      </c>
      <c r="J515" s="54">
        <v>88343</v>
      </c>
      <c r="K515" s="1">
        <v>0</v>
      </c>
      <c r="L515" t="s">
        <v>52</v>
      </c>
      <c r="M515" t="s">
        <v>66</v>
      </c>
      <c r="N515" s="6" t="s">
        <v>21</v>
      </c>
      <c r="O515" s="54">
        <f>TBL_Employees3[[#This Row],[Annual Salary]]+TBL_Employees3[[#This Row],[Bonus %]]*TBL_Employees3[[#This Row],[Annual Salary]]</f>
        <v>88343</v>
      </c>
      <c r="P515" t="str">
        <f>IF(AND(TBL_Employees3[[#This Row],[Department]]="IT",TBL_Employees3[[#This Row],[Gender]]="Female"),"Yes","No")</f>
        <v>No</v>
      </c>
      <c r="Q515" t="str">
        <f>IF(AND(TBL_Employees3[[#This Row],[Gender]]="Female",TBL_Employees3[[#This Row],[Ethnicity]]="Black"), "Female_Black", "Others")</f>
        <v>Others</v>
      </c>
    </row>
    <row r="516" spans="1:17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6">
        <v>41830</v>
      </c>
      <c r="J516" s="54">
        <v>66649</v>
      </c>
      <c r="K516" s="1">
        <v>0</v>
      </c>
      <c r="L516" t="s">
        <v>52</v>
      </c>
      <c r="M516" t="s">
        <v>66</v>
      </c>
      <c r="N516" s="6" t="s">
        <v>21</v>
      </c>
      <c r="O516" s="54">
        <f>TBL_Employees3[[#This Row],[Annual Salary]]+TBL_Employees3[[#This Row],[Bonus %]]*TBL_Employees3[[#This Row],[Annual Salary]]</f>
        <v>66649</v>
      </c>
      <c r="P516" t="str">
        <f>IF(AND(TBL_Employees3[[#This Row],[Department]]="IT",TBL_Employees3[[#This Row],[Gender]]="Female"),"Yes","No")</f>
        <v>No</v>
      </c>
      <c r="Q516" t="str">
        <f>IF(AND(TBL_Employees3[[#This Row],[Gender]]="Female",TBL_Employees3[[#This Row],[Ethnicity]]="Black"), "Female_Black", "Others")</f>
        <v>Others</v>
      </c>
    </row>
    <row r="517" spans="1:17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6">
        <v>36272</v>
      </c>
      <c r="J517" s="54">
        <v>102847</v>
      </c>
      <c r="K517" s="1">
        <v>0.05</v>
      </c>
      <c r="L517" t="s">
        <v>19</v>
      </c>
      <c r="M517" t="s">
        <v>20</v>
      </c>
      <c r="N517" s="6" t="s">
        <v>21</v>
      </c>
      <c r="O517" s="54">
        <f>TBL_Employees3[[#This Row],[Annual Salary]]+TBL_Employees3[[#This Row],[Bonus %]]*TBL_Employees3[[#This Row],[Annual Salary]]</f>
        <v>107989.35</v>
      </c>
      <c r="P517" t="str">
        <f>IF(AND(TBL_Employees3[[#This Row],[Department]]="IT",TBL_Employees3[[#This Row],[Gender]]="Female"),"Yes","No")</f>
        <v>No</v>
      </c>
      <c r="Q517" t="str">
        <f>IF(AND(TBL_Employees3[[#This Row],[Gender]]="Female",TBL_Employees3[[#This Row],[Ethnicity]]="Black"), "Female_Black", "Others")</f>
        <v>Others</v>
      </c>
    </row>
    <row r="518" spans="1:17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6">
        <v>40378</v>
      </c>
      <c r="J518" s="54">
        <v>134881</v>
      </c>
      <c r="K518" s="1">
        <v>0.15</v>
      </c>
      <c r="L518" t="s">
        <v>52</v>
      </c>
      <c r="M518" t="s">
        <v>81</v>
      </c>
      <c r="N518" s="6" t="s">
        <v>21</v>
      </c>
      <c r="O518" s="54">
        <f>TBL_Employees3[[#This Row],[Annual Salary]]+TBL_Employees3[[#This Row],[Bonus %]]*TBL_Employees3[[#This Row],[Annual Salary]]</f>
        <v>155113.15</v>
      </c>
      <c r="P518" t="str">
        <f>IF(AND(TBL_Employees3[[#This Row],[Department]]="IT",TBL_Employees3[[#This Row],[Gender]]="Female"),"Yes","No")</f>
        <v>No</v>
      </c>
      <c r="Q518" t="str">
        <f>IF(AND(TBL_Employees3[[#This Row],[Gender]]="Female",TBL_Employees3[[#This Row],[Ethnicity]]="Black"), "Female_Black", "Others")</f>
        <v>Others</v>
      </c>
    </row>
    <row r="519" spans="1:17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6">
        <v>36303</v>
      </c>
      <c r="J519" s="54">
        <v>68807</v>
      </c>
      <c r="K519" s="1">
        <v>0</v>
      </c>
      <c r="L519" t="s">
        <v>33</v>
      </c>
      <c r="M519" t="s">
        <v>34</v>
      </c>
      <c r="N519" s="6">
        <v>42338</v>
      </c>
      <c r="O519" s="54">
        <f>TBL_Employees3[[#This Row],[Annual Salary]]+TBL_Employees3[[#This Row],[Bonus %]]*TBL_Employees3[[#This Row],[Annual Salary]]</f>
        <v>68807</v>
      </c>
      <c r="P519" t="str">
        <f>IF(AND(TBL_Employees3[[#This Row],[Department]]="IT",TBL_Employees3[[#This Row],[Gender]]="Female"),"Yes","No")</f>
        <v>No</v>
      </c>
      <c r="Q519" t="str">
        <f>IF(AND(TBL_Employees3[[#This Row],[Gender]]="Female",TBL_Employees3[[#This Row],[Ethnicity]]="Black"), "Female_Black", "Others")</f>
        <v>Others</v>
      </c>
    </row>
    <row r="520" spans="1:17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6">
        <v>38866</v>
      </c>
      <c r="J520" s="54">
        <v>228822</v>
      </c>
      <c r="K520" s="1">
        <v>0.36</v>
      </c>
      <c r="L520" t="s">
        <v>19</v>
      </c>
      <c r="M520" t="s">
        <v>45</v>
      </c>
      <c r="N520" s="6" t="s">
        <v>21</v>
      </c>
      <c r="O520" s="54">
        <f>TBL_Employees3[[#This Row],[Annual Salary]]+TBL_Employees3[[#This Row],[Bonus %]]*TBL_Employees3[[#This Row],[Annual Salary]]</f>
        <v>311197.92</v>
      </c>
      <c r="P520" t="str">
        <f>IF(AND(TBL_Employees3[[#This Row],[Department]]="IT",TBL_Employees3[[#This Row],[Gender]]="Female"),"Yes","No")</f>
        <v>No</v>
      </c>
      <c r="Q520" t="str">
        <f>IF(AND(TBL_Employees3[[#This Row],[Gender]]="Female",TBL_Employees3[[#This Row],[Ethnicity]]="Black"), "Female_Black", "Others")</f>
        <v>Others</v>
      </c>
    </row>
    <row r="521" spans="1:17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6">
        <v>44395</v>
      </c>
      <c r="J521" s="54">
        <v>43391</v>
      </c>
      <c r="K521" s="1">
        <v>0</v>
      </c>
      <c r="L521" t="s">
        <v>19</v>
      </c>
      <c r="M521" t="s">
        <v>29</v>
      </c>
      <c r="N521" s="6" t="s">
        <v>21</v>
      </c>
      <c r="O521" s="54">
        <f>TBL_Employees3[[#This Row],[Annual Salary]]+TBL_Employees3[[#This Row],[Bonus %]]*TBL_Employees3[[#This Row],[Annual Salary]]</f>
        <v>43391</v>
      </c>
      <c r="P521" t="str">
        <f>IF(AND(TBL_Employees3[[#This Row],[Department]]="IT",TBL_Employees3[[#This Row],[Gender]]="Female"),"Yes","No")</f>
        <v>No</v>
      </c>
      <c r="Q521" t="str">
        <f>IF(AND(TBL_Employees3[[#This Row],[Gender]]="Female",TBL_Employees3[[#This Row],[Ethnicity]]="Black"), "Female_Black", "Others")</f>
        <v>Others</v>
      </c>
    </row>
    <row r="522" spans="1:17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6">
        <v>44515</v>
      </c>
      <c r="J522" s="54">
        <v>91782</v>
      </c>
      <c r="K522" s="1">
        <v>0</v>
      </c>
      <c r="L522" t="s">
        <v>33</v>
      </c>
      <c r="M522" t="s">
        <v>80</v>
      </c>
      <c r="N522" s="6" t="s">
        <v>21</v>
      </c>
      <c r="O522" s="54">
        <f>TBL_Employees3[[#This Row],[Annual Salary]]+TBL_Employees3[[#This Row],[Bonus %]]*TBL_Employees3[[#This Row],[Annual Salary]]</f>
        <v>91782</v>
      </c>
      <c r="P522" t="str">
        <f>IF(AND(TBL_Employees3[[#This Row],[Department]]="IT",TBL_Employees3[[#This Row],[Gender]]="Female"),"Yes","No")</f>
        <v>No</v>
      </c>
      <c r="Q522" t="str">
        <f>IF(AND(TBL_Employees3[[#This Row],[Gender]]="Female",TBL_Employees3[[#This Row],[Ethnicity]]="Black"), "Female_Black", "Others")</f>
        <v>Others</v>
      </c>
    </row>
    <row r="523" spans="1:17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6">
        <v>42428</v>
      </c>
      <c r="J523" s="54">
        <v>211637</v>
      </c>
      <c r="K523" s="1">
        <v>0.31</v>
      </c>
      <c r="L523" t="s">
        <v>19</v>
      </c>
      <c r="M523" t="s">
        <v>20</v>
      </c>
      <c r="N523" s="6" t="s">
        <v>21</v>
      </c>
      <c r="O523" s="54">
        <f>TBL_Employees3[[#This Row],[Annual Salary]]+TBL_Employees3[[#This Row],[Bonus %]]*TBL_Employees3[[#This Row],[Annual Salary]]</f>
        <v>277244.46999999997</v>
      </c>
      <c r="P523" t="str">
        <f>IF(AND(TBL_Employees3[[#This Row],[Department]]="IT",TBL_Employees3[[#This Row],[Gender]]="Female"),"Yes","No")</f>
        <v>No</v>
      </c>
      <c r="Q523" t="str">
        <f>IF(AND(TBL_Employees3[[#This Row],[Gender]]="Female",TBL_Employees3[[#This Row],[Ethnicity]]="Black"), "Female_Black", "Others")</f>
        <v>Others</v>
      </c>
    </row>
    <row r="524" spans="1:17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6">
        <v>44051</v>
      </c>
      <c r="J524" s="54">
        <v>73255</v>
      </c>
      <c r="K524" s="1">
        <v>0.09</v>
      </c>
      <c r="L524" t="s">
        <v>19</v>
      </c>
      <c r="M524" t="s">
        <v>39</v>
      </c>
      <c r="N524" s="6" t="s">
        <v>21</v>
      </c>
      <c r="O524" s="54">
        <f>TBL_Employees3[[#This Row],[Annual Salary]]+TBL_Employees3[[#This Row],[Bonus %]]*TBL_Employees3[[#This Row],[Annual Salary]]</f>
        <v>79847.95</v>
      </c>
      <c r="P524" t="str">
        <f>IF(AND(TBL_Employees3[[#This Row],[Department]]="IT",TBL_Employees3[[#This Row],[Gender]]="Female"),"Yes","No")</f>
        <v>No</v>
      </c>
      <c r="Q524" t="str">
        <f>IF(AND(TBL_Employees3[[#This Row],[Gender]]="Female",TBL_Employees3[[#This Row],[Ethnicity]]="Black"), "Female_Black", "Others")</f>
        <v>Others</v>
      </c>
    </row>
    <row r="525" spans="1:17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6">
        <v>44204</v>
      </c>
      <c r="J525" s="54">
        <v>108826</v>
      </c>
      <c r="K525" s="1">
        <v>0.1</v>
      </c>
      <c r="L525" t="s">
        <v>19</v>
      </c>
      <c r="M525" t="s">
        <v>45</v>
      </c>
      <c r="N525" s="6" t="s">
        <v>21</v>
      </c>
      <c r="O525" s="54">
        <f>TBL_Employees3[[#This Row],[Annual Salary]]+TBL_Employees3[[#This Row],[Bonus %]]*TBL_Employees3[[#This Row],[Annual Salary]]</f>
        <v>119708.6</v>
      </c>
      <c r="P525" t="str">
        <f>IF(AND(TBL_Employees3[[#This Row],[Department]]="IT",TBL_Employees3[[#This Row],[Gender]]="Female"),"Yes","No")</f>
        <v>No</v>
      </c>
      <c r="Q525" t="str">
        <f>IF(AND(TBL_Employees3[[#This Row],[Gender]]="Female",TBL_Employees3[[#This Row],[Ethnicity]]="Black"), "Female_Black", "Others")</f>
        <v>Others</v>
      </c>
    </row>
    <row r="526" spans="1:17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6">
        <v>42514</v>
      </c>
      <c r="J526" s="54">
        <v>94352</v>
      </c>
      <c r="K526" s="1">
        <v>0</v>
      </c>
      <c r="L526" t="s">
        <v>19</v>
      </c>
      <c r="M526" t="s">
        <v>45</v>
      </c>
      <c r="N526" s="6" t="s">
        <v>21</v>
      </c>
      <c r="O526" s="54">
        <f>TBL_Employees3[[#This Row],[Annual Salary]]+TBL_Employees3[[#This Row],[Bonus %]]*TBL_Employees3[[#This Row],[Annual Salary]]</f>
        <v>94352</v>
      </c>
      <c r="P526" t="str">
        <f>IF(AND(TBL_Employees3[[#This Row],[Department]]="IT",TBL_Employees3[[#This Row],[Gender]]="Female"),"Yes","No")</f>
        <v>No</v>
      </c>
      <c r="Q526" t="str">
        <f>IF(AND(TBL_Employees3[[#This Row],[Gender]]="Female",TBL_Employees3[[#This Row],[Ethnicity]]="Black"), "Female_Black", "Others")</f>
        <v>Others</v>
      </c>
    </row>
    <row r="527" spans="1:17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6">
        <v>34576</v>
      </c>
      <c r="J527" s="54">
        <v>73955</v>
      </c>
      <c r="K527" s="1">
        <v>0</v>
      </c>
      <c r="L527" t="s">
        <v>19</v>
      </c>
      <c r="M527" t="s">
        <v>39</v>
      </c>
      <c r="N527" s="6" t="s">
        <v>21</v>
      </c>
      <c r="O527" s="54">
        <f>TBL_Employees3[[#This Row],[Annual Salary]]+TBL_Employees3[[#This Row],[Bonus %]]*TBL_Employees3[[#This Row],[Annual Salary]]</f>
        <v>73955</v>
      </c>
      <c r="P527" t="str">
        <f>IF(AND(TBL_Employees3[[#This Row],[Department]]="IT",TBL_Employees3[[#This Row],[Gender]]="Female"),"Yes","No")</f>
        <v>Yes</v>
      </c>
      <c r="Q527" t="str">
        <f>IF(AND(TBL_Employees3[[#This Row],[Gender]]="Female",TBL_Employees3[[#This Row],[Ethnicity]]="Black"), "Female_Black", "Others")</f>
        <v>Others</v>
      </c>
    </row>
    <row r="528" spans="1:17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6">
        <v>41499</v>
      </c>
      <c r="J528" s="54">
        <v>113909</v>
      </c>
      <c r="K528" s="1">
        <v>0.06</v>
      </c>
      <c r="L528" t="s">
        <v>52</v>
      </c>
      <c r="M528" t="s">
        <v>66</v>
      </c>
      <c r="N528" s="6" t="s">
        <v>21</v>
      </c>
      <c r="O528" s="54">
        <f>TBL_Employees3[[#This Row],[Annual Salary]]+TBL_Employees3[[#This Row],[Bonus %]]*TBL_Employees3[[#This Row],[Annual Salary]]</f>
        <v>120743.54</v>
      </c>
      <c r="P528" t="str">
        <f>IF(AND(TBL_Employees3[[#This Row],[Department]]="IT",TBL_Employees3[[#This Row],[Gender]]="Female"),"Yes","No")</f>
        <v>No</v>
      </c>
      <c r="Q528" t="str">
        <f>IF(AND(TBL_Employees3[[#This Row],[Gender]]="Female",TBL_Employees3[[#This Row],[Ethnicity]]="Black"), "Female_Black", "Others")</f>
        <v>Others</v>
      </c>
    </row>
    <row r="529" spans="1:17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6">
        <v>44189</v>
      </c>
      <c r="J529" s="54">
        <v>92321</v>
      </c>
      <c r="K529" s="1">
        <v>0</v>
      </c>
      <c r="L529" t="s">
        <v>19</v>
      </c>
      <c r="M529" t="s">
        <v>20</v>
      </c>
      <c r="N529" s="6" t="s">
        <v>21</v>
      </c>
      <c r="O529" s="54">
        <f>TBL_Employees3[[#This Row],[Annual Salary]]+TBL_Employees3[[#This Row],[Bonus %]]*TBL_Employees3[[#This Row],[Annual Salary]]</f>
        <v>92321</v>
      </c>
      <c r="P529" t="str">
        <f>IF(AND(TBL_Employees3[[#This Row],[Department]]="IT",TBL_Employees3[[#This Row],[Gender]]="Female"),"Yes","No")</f>
        <v>No</v>
      </c>
      <c r="Q529" t="str">
        <f>IF(AND(TBL_Employees3[[#This Row],[Gender]]="Female",TBL_Employees3[[#This Row],[Ethnicity]]="Black"), "Female_Black", "Others")</f>
        <v>Others</v>
      </c>
    </row>
    <row r="530" spans="1:17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6">
        <v>41417</v>
      </c>
      <c r="J530" s="54">
        <v>99557</v>
      </c>
      <c r="K530" s="1">
        <v>0.09</v>
      </c>
      <c r="L530" t="s">
        <v>19</v>
      </c>
      <c r="M530" t="s">
        <v>63</v>
      </c>
      <c r="N530" s="6" t="s">
        <v>21</v>
      </c>
      <c r="O530" s="54">
        <f>TBL_Employees3[[#This Row],[Annual Salary]]+TBL_Employees3[[#This Row],[Bonus %]]*TBL_Employees3[[#This Row],[Annual Salary]]</f>
        <v>108517.13</v>
      </c>
      <c r="P530" t="str">
        <f>IF(AND(TBL_Employees3[[#This Row],[Department]]="IT",TBL_Employees3[[#This Row],[Gender]]="Female"),"Yes","No")</f>
        <v>No</v>
      </c>
      <c r="Q530" t="str">
        <f>IF(AND(TBL_Employees3[[#This Row],[Gender]]="Female",TBL_Employees3[[#This Row],[Ethnicity]]="Black"), "Female_Black", "Others")</f>
        <v>Others</v>
      </c>
    </row>
    <row r="531" spans="1:17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6">
        <v>43418</v>
      </c>
      <c r="J531" s="54">
        <v>115854</v>
      </c>
      <c r="K531" s="1">
        <v>0</v>
      </c>
      <c r="L531" t="s">
        <v>19</v>
      </c>
      <c r="M531" t="s">
        <v>39</v>
      </c>
      <c r="N531" s="6" t="s">
        <v>21</v>
      </c>
      <c r="O531" s="54">
        <f>TBL_Employees3[[#This Row],[Annual Salary]]+TBL_Employees3[[#This Row],[Bonus %]]*TBL_Employees3[[#This Row],[Annual Salary]]</f>
        <v>115854</v>
      </c>
      <c r="P531" t="str">
        <f>IF(AND(TBL_Employees3[[#This Row],[Department]]="IT",TBL_Employees3[[#This Row],[Gender]]="Female"),"Yes","No")</f>
        <v>No</v>
      </c>
      <c r="Q531" t="str">
        <f>IF(AND(TBL_Employees3[[#This Row],[Gender]]="Female",TBL_Employees3[[#This Row],[Ethnicity]]="Black"), "Female_Black", "Others")</f>
        <v>Others</v>
      </c>
    </row>
    <row r="532" spans="1:17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6">
        <v>40603</v>
      </c>
      <c r="J532" s="54">
        <v>82462</v>
      </c>
      <c r="K532" s="1">
        <v>0</v>
      </c>
      <c r="L532" t="s">
        <v>19</v>
      </c>
      <c r="M532" t="s">
        <v>25</v>
      </c>
      <c r="N532" s="6" t="s">
        <v>21</v>
      </c>
      <c r="O532" s="54">
        <f>TBL_Employees3[[#This Row],[Annual Salary]]+TBL_Employees3[[#This Row],[Bonus %]]*TBL_Employees3[[#This Row],[Annual Salary]]</f>
        <v>82462</v>
      </c>
      <c r="P532" t="str">
        <f>IF(AND(TBL_Employees3[[#This Row],[Department]]="IT",TBL_Employees3[[#This Row],[Gender]]="Female"),"Yes","No")</f>
        <v>Yes</v>
      </c>
      <c r="Q532" t="str">
        <f>IF(AND(TBL_Employees3[[#This Row],[Gender]]="Female",TBL_Employees3[[#This Row],[Ethnicity]]="Black"), "Female_Black", "Others")</f>
        <v>Others</v>
      </c>
    </row>
    <row r="533" spans="1:17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6">
        <v>40856</v>
      </c>
      <c r="J533" s="54">
        <v>198473</v>
      </c>
      <c r="K533" s="1">
        <v>0.32</v>
      </c>
      <c r="L533" t="s">
        <v>19</v>
      </c>
      <c r="M533" t="s">
        <v>45</v>
      </c>
      <c r="N533" s="6" t="s">
        <v>21</v>
      </c>
      <c r="O533" s="54">
        <f>TBL_Employees3[[#This Row],[Annual Salary]]+TBL_Employees3[[#This Row],[Bonus %]]*TBL_Employees3[[#This Row],[Annual Salary]]</f>
        <v>261984.36</v>
      </c>
      <c r="P533" t="str">
        <f>IF(AND(TBL_Employees3[[#This Row],[Department]]="IT",TBL_Employees3[[#This Row],[Gender]]="Female"),"Yes","No")</f>
        <v>Yes</v>
      </c>
      <c r="Q533" t="str">
        <f>IF(AND(TBL_Employees3[[#This Row],[Gender]]="Female",TBL_Employees3[[#This Row],[Ethnicity]]="Black"), "Female_Black", "Others")</f>
        <v>Others</v>
      </c>
    </row>
    <row r="534" spans="1:17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6">
        <v>39005</v>
      </c>
      <c r="J534" s="54">
        <v>153492</v>
      </c>
      <c r="K534" s="1">
        <v>0.11</v>
      </c>
      <c r="L534" t="s">
        <v>19</v>
      </c>
      <c r="M534" t="s">
        <v>20</v>
      </c>
      <c r="N534" s="6" t="s">
        <v>21</v>
      </c>
      <c r="O534" s="54">
        <f>TBL_Employees3[[#This Row],[Annual Salary]]+TBL_Employees3[[#This Row],[Bonus %]]*TBL_Employees3[[#This Row],[Annual Salary]]</f>
        <v>170376.12</v>
      </c>
      <c r="P534" t="str">
        <f>IF(AND(TBL_Employees3[[#This Row],[Department]]="IT",TBL_Employees3[[#This Row],[Gender]]="Female"),"Yes","No")</f>
        <v>No</v>
      </c>
      <c r="Q534" t="str">
        <f>IF(AND(TBL_Employees3[[#This Row],[Gender]]="Female",TBL_Employees3[[#This Row],[Ethnicity]]="Black"), "Female_Black", "Others")</f>
        <v>Others</v>
      </c>
    </row>
    <row r="535" spans="1:17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6">
        <v>43121</v>
      </c>
      <c r="J535" s="54">
        <v>208210</v>
      </c>
      <c r="K535" s="1">
        <v>0.3</v>
      </c>
      <c r="L535" t="s">
        <v>19</v>
      </c>
      <c r="M535" t="s">
        <v>63</v>
      </c>
      <c r="N535" s="6" t="s">
        <v>21</v>
      </c>
      <c r="O535" s="54">
        <f>TBL_Employees3[[#This Row],[Annual Salary]]+TBL_Employees3[[#This Row],[Bonus %]]*TBL_Employees3[[#This Row],[Annual Salary]]</f>
        <v>270673</v>
      </c>
      <c r="P535" t="str">
        <f>IF(AND(TBL_Employees3[[#This Row],[Department]]="IT",TBL_Employees3[[#This Row],[Gender]]="Female"),"Yes","No")</f>
        <v>No</v>
      </c>
      <c r="Q535" t="str">
        <f>IF(AND(TBL_Employees3[[#This Row],[Gender]]="Female",TBL_Employees3[[#This Row],[Ethnicity]]="Black"), "Female_Black", "Others")</f>
        <v>Female_Black</v>
      </c>
    </row>
    <row r="536" spans="1:17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6">
        <v>42325</v>
      </c>
      <c r="J536" s="54">
        <v>91632</v>
      </c>
      <c r="K536" s="1">
        <v>0</v>
      </c>
      <c r="L536" t="s">
        <v>19</v>
      </c>
      <c r="M536" t="s">
        <v>39</v>
      </c>
      <c r="N536" s="6" t="s">
        <v>21</v>
      </c>
      <c r="O536" s="54">
        <f>TBL_Employees3[[#This Row],[Annual Salary]]+TBL_Employees3[[#This Row],[Bonus %]]*TBL_Employees3[[#This Row],[Annual Salary]]</f>
        <v>91632</v>
      </c>
      <c r="P536" t="str">
        <f>IF(AND(TBL_Employees3[[#This Row],[Department]]="IT",TBL_Employees3[[#This Row],[Gender]]="Female"),"Yes","No")</f>
        <v>No</v>
      </c>
      <c r="Q536" t="str">
        <f>IF(AND(TBL_Employees3[[#This Row],[Gender]]="Female",TBL_Employees3[[#This Row],[Ethnicity]]="Black"), "Female_Black", "Others")</f>
        <v>Others</v>
      </c>
    </row>
    <row r="537" spans="1:17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6">
        <v>43002</v>
      </c>
      <c r="J537" s="54">
        <v>71755</v>
      </c>
      <c r="K537" s="1">
        <v>0</v>
      </c>
      <c r="L537" t="s">
        <v>33</v>
      </c>
      <c r="M537" t="s">
        <v>80</v>
      </c>
      <c r="N537" s="6" t="s">
        <v>21</v>
      </c>
      <c r="O537" s="54">
        <f>TBL_Employees3[[#This Row],[Annual Salary]]+TBL_Employees3[[#This Row],[Bonus %]]*TBL_Employees3[[#This Row],[Annual Salary]]</f>
        <v>71755</v>
      </c>
      <c r="P537" t="str">
        <f>IF(AND(TBL_Employees3[[#This Row],[Department]]="IT",TBL_Employees3[[#This Row],[Gender]]="Female"),"Yes","No")</f>
        <v>No</v>
      </c>
      <c r="Q537" t="str">
        <f>IF(AND(TBL_Employees3[[#This Row],[Gender]]="Female",TBL_Employees3[[#This Row],[Ethnicity]]="Black"), "Female_Black", "Others")</f>
        <v>Others</v>
      </c>
    </row>
    <row r="538" spans="1:17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6">
        <v>44519</v>
      </c>
      <c r="J538" s="54">
        <v>111006</v>
      </c>
      <c r="K538" s="1">
        <v>0.08</v>
      </c>
      <c r="L538" t="s">
        <v>33</v>
      </c>
      <c r="M538" t="s">
        <v>80</v>
      </c>
      <c r="N538" s="6" t="s">
        <v>21</v>
      </c>
      <c r="O538" s="54">
        <f>TBL_Employees3[[#This Row],[Annual Salary]]+TBL_Employees3[[#This Row],[Bonus %]]*TBL_Employees3[[#This Row],[Annual Salary]]</f>
        <v>119886.48</v>
      </c>
      <c r="P538" t="str">
        <f>IF(AND(TBL_Employees3[[#This Row],[Department]]="IT",TBL_Employees3[[#This Row],[Gender]]="Female"),"Yes","No")</f>
        <v>No</v>
      </c>
      <c r="Q538" t="str">
        <f>IF(AND(TBL_Employees3[[#This Row],[Gender]]="Female",TBL_Employees3[[#This Row],[Ethnicity]]="Black"), "Female_Black", "Others")</f>
        <v>Others</v>
      </c>
    </row>
    <row r="539" spans="1:17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6">
        <v>34692</v>
      </c>
      <c r="J539" s="54">
        <v>99774</v>
      </c>
      <c r="K539" s="1">
        <v>0</v>
      </c>
      <c r="L539" t="s">
        <v>19</v>
      </c>
      <c r="M539" t="s">
        <v>25</v>
      </c>
      <c r="N539" s="6" t="s">
        <v>21</v>
      </c>
      <c r="O539" s="54">
        <f>TBL_Employees3[[#This Row],[Annual Salary]]+TBL_Employees3[[#This Row],[Bonus %]]*TBL_Employees3[[#This Row],[Annual Salary]]</f>
        <v>99774</v>
      </c>
      <c r="P539" t="str">
        <f>IF(AND(TBL_Employees3[[#This Row],[Department]]="IT",TBL_Employees3[[#This Row],[Gender]]="Female"),"Yes","No")</f>
        <v>No</v>
      </c>
      <c r="Q539" t="str">
        <f>IF(AND(TBL_Employees3[[#This Row],[Gender]]="Female",TBL_Employees3[[#This Row],[Ethnicity]]="Black"), "Female_Black", "Others")</f>
        <v>Others</v>
      </c>
    </row>
    <row r="540" spans="1:17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6">
        <v>39154</v>
      </c>
      <c r="J540" s="54">
        <v>184648</v>
      </c>
      <c r="K540" s="1">
        <v>0.24</v>
      </c>
      <c r="L540" t="s">
        <v>33</v>
      </c>
      <c r="M540" t="s">
        <v>74</v>
      </c>
      <c r="N540" s="6" t="s">
        <v>21</v>
      </c>
      <c r="O540" s="54">
        <f>TBL_Employees3[[#This Row],[Annual Salary]]+TBL_Employees3[[#This Row],[Bonus %]]*TBL_Employees3[[#This Row],[Annual Salary]]</f>
        <v>228963.52</v>
      </c>
      <c r="P540" t="str">
        <f>IF(AND(TBL_Employees3[[#This Row],[Department]]="IT",TBL_Employees3[[#This Row],[Gender]]="Female"),"Yes","No")</f>
        <v>No</v>
      </c>
      <c r="Q540" t="str">
        <f>IF(AND(TBL_Employees3[[#This Row],[Gender]]="Female",TBL_Employees3[[#This Row],[Ethnicity]]="Black"), "Female_Black", "Others")</f>
        <v>Others</v>
      </c>
    </row>
    <row r="541" spans="1:17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6">
        <v>37091</v>
      </c>
      <c r="J541" s="54">
        <v>247874</v>
      </c>
      <c r="K541" s="1">
        <v>0.33</v>
      </c>
      <c r="L541" t="s">
        <v>52</v>
      </c>
      <c r="M541" t="s">
        <v>81</v>
      </c>
      <c r="N541" s="6" t="s">
        <v>21</v>
      </c>
      <c r="O541" s="54">
        <f>TBL_Employees3[[#This Row],[Annual Salary]]+TBL_Employees3[[#This Row],[Bonus %]]*TBL_Employees3[[#This Row],[Annual Salary]]</f>
        <v>329672.42</v>
      </c>
      <c r="P541" t="str">
        <f>IF(AND(TBL_Employees3[[#This Row],[Department]]="IT",TBL_Employees3[[#This Row],[Gender]]="Female"),"Yes","No")</f>
        <v>No</v>
      </c>
      <c r="Q541" t="str">
        <f>IF(AND(TBL_Employees3[[#This Row],[Gender]]="Female",TBL_Employees3[[#This Row],[Ethnicity]]="Black"), "Female_Black", "Others")</f>
        <v>Others</v>
      </c>
    </row>
    <row r="542" spans="1:17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6">
        <v>39944</v>
      </c>
      <c r="J542" s="54">
        <v>62239</v>
      </c>
      <c r="K542" s="1">
        <v>0</v>
      </c>
      <c r="L542" t="s">
        <v>33</v>
      </c>
      <c r="M542" t="s">
        <v>60</v>
      </c>
      <c r="N542" s="6" t="s">
        <v>21</v>
      </c>
      <c r="O542" s="54">
        <f>TBL_Employees3[[#This Row],[Annual Salary]]+TBL_Employees3[[#This Row],[Bonus %]]*TBL_Employees3[[#This Row],[Annual Salary]]</f>
        <v>62239</v>
      </c>
      <c r="P542" t="str">
        <f>IF(AND(TBL_Employees3[[#This Row],[Department]]="IT",TBL_Employees3[[#This Row],[Gender]]="Female"),"Yes","No")</f>
        <v>No</v>
      </c>
      <c r="Q542" t="str">
        <f>IF(AND(TBL_Employees3[[#This Row],[Gender]]="Female",TBL_Employees3[[#This Row],[Ethnicity]]="Black"), "Female_Black", "Others")</f>
        <v>Others</v>
      </c>
    </row>
    <row r="543" spans="1:17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6">
        <v>41919</v>
      </c>
      <c r="J543" s="54">
        <v>114911</v>
      </c>
      <c r="K543" s="1">
        <v>7.0000000000000007E-2</v>
      </c>
      <c r="L543" t="s">
        <v>19</v>
      </c>
      <c r="M543" t="s">
        <v>20</v>
      </c>
      <c r="N543" s="6" t="s">
        <v>21</v>
      </c>
      <c r="O543" s="54">
        <f>TBL_Employees3[[#This Row],[Annual Salary]]+TBL_Employees3[[#This Row],[Bonus %]]*TBL_Employees3[[#This Row],[Annual Salary]]</f>
        <v>122954.77</v>
      </c>
      <c r="P543" t="str">
        <f>IF(AND(TBL_Employees3[[#This Row],[Department]]="IT",TBL_Employees3[[#This Row],[Gender]]="Female"),"Yes","No")</f>
        <v>No</v>
      </c>
      <c r="Q543" t="str">
        <f>IF(AND(TBL_Employees3[[#This Row],[Gender]]="Female",TBL_Employees3[[#This Row],[Ethnicity]]="Black"), "Female_Black", "Others")</f>
        <v>Others</v>
      </c>
    </row>
    <row r="544" spans="1:17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6">
        <v>43217</v>
      </c>
      <c r="J544" s="54">
        <v>115490</v>
      </c>
      <c r="K544" s="1">
        <v>0.12</v>
      </c>
      <c r="L544" t="s">
        <v>19</v>
      </c>
      <c r="M544" t="s">
        <v>20</v>
      </c>
      <c r="N544" s="6" t="s">
        <v>21</v>
      </c>
      <c r="O544" s="54">
        <f>TBL_Employees3[[#This Row],[Annual Salary]]+TBL_Employees3[[#This Row],[Bonus %]]*TBL_Employees3[[#This Row],[Annual Salary]]</f>
        <v>129348.8</v>
      </c>
      <c r="P544" t="str">
        <f>IF(AND(TBL_Employees3[[#This Row],[Department]]="IT",TBL_Employees3[[#This Row],[Gender]]="Female"),"Yes","No")</f>
        <v>No</v>
      </c>
      <c r="Q544" t="str">
        <f>IF(AND(TBL_Employees3[[#This Row],[Gender]]="Female",TBL_Employees3[[#This Row],[Ethnicity]]="Black"), "Female_Black", "Others")</f>
        <v>Others</v>
      </c>
    </row>
    <row r="545" spans="1:17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6">
        <v>40952</v>
      </c>
      <c r="J545" s="54">
        <v>118708</v>
      </c>
      <c r="K545" s="1">
        <v>7.0000000000000007E-2</v>
      </c>
      <c r="L545" t="s">
        <v>33</v>
      </c>
      <c r="M545" t="s">
        <v>74</v>
      </c>
      <c r="N545" s="6" t="s">
        <v>21</v>
      </c>
      <c r="O545" s="54">
        <f>TBL_Employees3[[#This Row],[Annual Salary]]+TBL_Employees3[[#This Row],[Bonus %]]*TBL_Employees3[[#This Row],[Annual Salary]]</f>
        <v>127017.56</v>
      </c>
      <c r="P545" t="str">
        <f>IF(AND(TBL_Employees3[[#This Row],[Department]]="IT",TBL_Employees3[[#This Row],[Gender]]="Female"),"Yes","No")</f>
        <v>No</v>
      </c>
      <c r="Q545" t="str">
        <f>IF(AND(TBL_Employees3[[#This Row],[Gender]]="Female",TBL_Employees3[[#This Row],[Ethnicity]]="Black"), "Female_Black", "Others")</f>
        <v>Others</v>
      </c>
    </row>
    <row r="546" spans="1:17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6">
        <v>42914</v>
      </c>
      <c r="J546" s="54">
        <v>197649</v>
      </c>
      <c r="K546" s="1">
        <v>0.2</v>
      </c>
      <c r="L546" t="s">
        <v>19</v>
      </c>
      <c r="M546" t="s">
        <v>29</v>
      </c>
      <c r="N546" s="6" t="s">
        <v>21</v>
      </c>
      <c r="O546" s="54">
        <f>TBL_Employees3[[#This Row],[Annual Salary]]+TBL_Employees3[[#This Row],[Bonus %]]*TBL_Employees3[[#This Row],[Annual Salary]]</f>
        <v>237178.8</v>
      </c>
      <c r="P546" t="str">
        <f>IF(AND(TBL_Employees3[[#This Row],[Department]]="IT",TBL_Employees3[[#This Row],[Gender]]="Female"),"Yes","No")</f>
        <v>No</v>
      </c>
      <c r="Q546" t="str">
        <f>IF(AND(TBL_Employees3[[#This Row],[Gender]]="Female",TBL_Employees3[[#This Row],[Ethnicity]]="Black"), "Female_Black", "Others")</f>
        <v>Others</v>
      </c>
    </row>
    <row r="547" spans="1:17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6">
        <v>43999</v>
      </c>
      <c r="J547" s="54">
        <v>89841</v>
      </c>
      <c r="K547" s="1">
        <v>0</v>
      </c>
      <c r="L547" t="s">
        <v>33</v>
      </c>
      <c r="M547" t="s">
        <v>60</v>
      </c>
      <c r="N547" s="6" t="s">
        <v>21</v>
      </c>
      <c r="O547" s="54">
        <f>TBL_Employees3[[#This Row],[Annual Salary]]+TBL_Employees3[[#This Row],[Bonus %]]*TBL_Employees3[[#This Row],[Annual Salary]]</f>
        <v>89841</v>
      </c>
      <c r="P547" t="str">
        <f>IF(AND(TBL_Employees3[[#This Row],[Department]]="IT",TBL_Employees3[[#This Row],[Gender]]="Female"),"Yes","No")</f>
        <v>No</v>
      </c>
      <c r="Q547" t="str">
        <f>IF(AND(TBL_Employees3[[#This Row],[Gender]]="Female",TBL_Employees3[[#This Row],[Ethnicity]]="Black"), "Female_Black", "Others")</f>
        <v>Others</v>
      </c>
    </row>
    <row r="548" spans="1:17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6">
        <v>43819</v>
      </c>
      <c r="J548" s="54">
        <v>61026</v>
      </c>
      <c r="K548" s="1">
        <v>0</v>
      </c>
      <c r="L548" t="s">
        <v>19</v>
      </c>
      <c r="M548" t="s">
        <v>39</v>
      </c>
      <c r="N548" s="6" t="s">
        <v>21</v>
      </c>
      <c r="O548" s="54">
        <f>TBL_Employees3[[#This Row],[Annual Salary]]+TBL_Employees3[[#This Row],[Bonus %]]*TBL_Employees3[[#This Row],[Annual Salary]]</f>
        <v>61026</v>
      </c>
      <c r="P548" t="str">
        <f>IF(AND(TBL_Employees3[[#This Row],[Department]]="IT",TBL_Employees3[[#This Row],[Gender]]="Female"),"Yes","No")</f>
        <v>No</v>
      </c>
      <c r="Q548" t="str">
        <f>IF(AND(TBL_Employees3[[#This Row],[Gender]]="Female",TBL_Employees3[[#This Row],[Ethnicity]]="Black"), "Female_Black", "Others")</f>
        <v>Others</v>
      </c>
    </row>
    <row r="549" spans="1:17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6">
        <v>41907</v>
      </c>
      <c r="J549" s="54">
        <v>96693</v>
      </c>
      <c r="K549" s="1">
        <v>0</v>
      </c>
      <c r="L549" t="s">
        <v>19</v>
      </c>
      <c r="M549" t="s">
        <v>20</v>
      </c>
      <c r="N549" s="6" t="s">
        <v>21</v>
      </c>
      <c r="O549" s="54">
        <f>TBL_Employees3[[#This Row],[Annual Salary]]+TBL_Employees3[[#This Row],[Bonus %]]*TBL_Employees3[[#This Row],[Annual Salary]]</f>
        <v>96693</v>
      </c>
      <c r="P549" t="str">
        <f>IF(AND(TBL_Employees3[[#This Row],[Department]]="IT",TBL_Employees3[[#This Row],[Gender]]="Female"),"Yes","No")</f>
        <v>No</v>
      </c>
      <c r="Q549" t="str">
        <f>IF(AND(TBL_Employees3[[#This Row],[Gender]]="Female",TBL_Employees3[[#This Row],[Ethnicity]]="Black"), "Female_Black", "Others")</f>
        <v>Others</v>
      </c>
    </row>
    <row r="550" spans="1:17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6">
        <v>39991</v>
      </c>
      <c r="J550" s="54">
        <v>82907</v>
      </c>
      <c r="K550" s="1">
        <v>0</v>
      </c>
      <c r="L550" t="s">
        <v>19</v>
      </c>
      <c r="M550" t="s">
        <v>63</v>
      </c>
      <c r="N550" s="6" t="s">
        <v>21</v>
      </c>
      <c r="O550" s="54">
        <f>TBL_Employees3[[#This Row],[Annual Salary]]+TBL_Employees3[[#This Row],[Bonus %]]*TBL_Employees3[[#This Row],[Annual Salary]]</f>
        <v>82907</v>
      </c>
      <c r="P550" t="str">
        <f>IF(AND(TBL_Employees3[[#This Row],[Department]]="IT",TBL_Employees3[[#This Row],[Gender]]="Female"),"Yes","No")</f>
        <v>No</v>
      </c>
      <c r="Q550" t="str">
        <f>IF(AND(TBL_Employees3[[#This Row],[Gender]]="Female",TBL_Employees3[[#This Row],[Ethnicity]]="Black"), "Female_Black", "Others")</f>
        <v>Others</v>
      </c>
    </row>
    <row r="551" spans="1:17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6">
        <v>41916</v>
      </c>
      <c r="J551" s="54">
        <v>257194</v>
      </c>
      <c r="K551" s="1">
        <v>0.35</v>
      </c>
      <c r="L551" t="s">
        <v>33</v>
      </c>
      <c r="M551" t="s">
        <v>80</v>
      </c>
      <c r="N551" s="6" t="s">
        <v>21</v>
      </c>
      <c r="O551" s="54">
        <f>TBL_Employees3[[#This Row],[Annual Salary]]+TBL_Employees3[[#This Row],[Bonus %]]*TBL_Employees3[[#This Row],[Annual Salary]]</f>
        <v>347211.9</v>
      </c>
      <c r="P551" t="str">
        <f>IF(AND(TBL_Employees3[[#This Row],[Department]]="IT",TBL_Employees3[[#This Row],[Gender]]="Female"),"Yes","No")</f>
        <v>No</v>
      </c>
      <c r="Q551" t="str">
        <f>IF(AND(TBL_Employees3[[#This Row],[Gender]]="Female",TBL_Employees3[[#This Row],[Ethnicity]]="Black"), "Female_Black", "Others")</f>
        <v>Others</v>
      </c>
    </row>
    <row r="552" spans="1:17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6">
        <v>40929</v>
      </c>
      <c r="J552" s="54">
        <v>94658</v>
      </c>
      <c r="K552" s="1">
        <v>0</v>
      </c>
      <c r="L552" t="s">
        <v>19</v>
      </c>
      <c r="M552" t="s">
        <v>45</v>
      </c>
      <c r="N552" s="6" t="s">
        <v>21</v>
      </c>
      <c r="O552" s="54">
        <f>TBL_Employees3[[#This Row],[Annual Salary]]+TBL_Employees3[[#This Row],[Bonus %]]*TBL_Employees3[[#This Row],[Annual Salary]]</f>
        <v>94658</v>
      </c>
      <c r="P552" t="str">
        <f>IF(AND(TBL_Employees3[[#This Row],[Department]]="IT",TBL_Employees3[[#This Row],[Gender]]="Female"),"Yes","No")</f>
        <v>No</v>
      </c>
      <c r="Q552" t="str">
        <f>IF(AND(TBL_Employees3[[#This Row],[Gender]]="Female",TBL_Employees3[[#This Row],[Ethnicity]]="Black"), "Female_Black", "Others")</f>
        <v>Others</v>
      </c>
    </row>
    <row r="553" spans="1:17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6">
        <v>40663</v>
      </c>
      <c r="J553" s="54">
        <v>89419</v>
      </c>
      <c r="K553" s="1">
        <v>0</v>
      </c>
      <c r="L553" t="s">
        <v>33</v>
      </c>
      <c r="M553" t="s">
        <v>74</v>
      </c>
      <c r="N553" s="6" t="s">
        <v>21</v>
      </c>
      <c r="O553" s="54">
        <f>TBL_Employees3[[#This Row],[Annual Salary]]+TBL_Employees3[[#This Row],[Bonus %]]*TBL_Employees3[[#This Row],[Annual Salary]]</f>
        <v>89419</v>
      </c>
      <c r="P553" t="str">
        <f>IF(AND(TBL_Employees3[[#This Row],[Department]]="IT",TBL_Employees3[[#This Row],[Gender]]="Female"),"Yes","No")</f>
        <v>No</v>
      </c>
      <c r="Q553" t="str">
        <f>IF(AND(TBL_Employees3[[#This Row],[Gender]]="Female",TBL_Employees3[[#This Row],[Ethnicity]]="Black"), "Female_Black", "Others")</f>
        <v>Others</v>
      </c>
    </row>
    <row r="554" spans="1:17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6">
        <v>42357</v>
      </c>
      <c r="J554" s="54">
        <v>51983</v>
      </c>
      <c r="K554" s="1">
        <v>0</v>
      </c>
      <c r="L554" t="s">
        <v>19</v>
      </c>
      <c r="M554" t="s">
        <v>29</v>
      </c>
      <c r="N554" s="6" t="s">
        <v>21</v>
      </c>
      <c r="O554" s="54">
        <f>TBL_Employees3[[#This Row],[Annual Salary]]+TBL_Employees3[[#This Row],[Bonus %]]*TBL_Employees3[[#This Row],[Annual Salary]]</f>
        <v>51983</v>
      </c>
      <c r="P554" t="str">
        <f>IF(AND(TBL_Employees3[[#This Row],[Department]]="IT",TBL_Employees3[[#This Row],[Gender]]="Female"),"Yes","No")</f>
        <v>No</v>
      </c>
      <c r="Q554" t="str">
        <f>IF(AND(TBL_Employees3[[#This Row],[Gender]]="Female",TBL_Employees3[[#This Row],[Ethnicity]]="Black"), "Female_Black", "Others")</f>
        <v>Others</v>
      </c>
    </row>
    <row r="555" spans="1:17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6">
        <v>37304</v>
      </c>
      <c r="J555" s="54">
        <v>179494</v>
      </c>
      <c r="K555" s="1">
        <v>0.2</v>
      </c>
      <c r="L555" t="s">
        <v>33</v>
      </c>
      <c r="M555" t="s">
        <v>80</v>
      </c>
      <c r="N555" s="6" t="s">
        <v>21</v>
      </c>
      <c r="O555" s="54">
        <f>TBL_Employees3[[#This Row],[Annual Salary]]+TBL_Employees3[[#This Row],[Bonus %]]*TBL_Employees3[[#This Row],[Annual Salary]]</f>
        <v>215392.8</v>
      </c>
      <c r="P555" t="str">
        <f>IF(AND(TBL_Employees3[[#This Row],[Department]]="IT",TBL_Employees3[[#This Row],[Gender]]="Female"),"Yes","No")</f>
        <v>No</v>
      </c>
      <c r="Q555" t="str">
        <f>IF(AND(TBL_Employees3[[#This Row],[Gender]]="Female",TBL_Employees3[[#This Row],[Ethnicity]]="Black"), "Female_Black", "Others")</f>
        <v>Others</v>
      </c>
    </row>
    <row r="556" spans="1:17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6">
        <v>42545</v>
      </c>
      <c r="J556" s="54">
        <v>68426</v>
      </c>
      <c r="K556" s="1">
        <v>0</v>
      </c>
      <c r="L556" t="s">
        <v>52</v>
      </c>
      <c r="M556" t="s">
        <v>66</v>
      </c>
      <c r="N556" s="6" t="s">
        <v>21</v>
      </c>
      <c r="O556" s="54">
        <f>TBL_Employees3[[#This Row],[Annual Salary]]+TBL_Employees3[[#This Row],[Bonus %]]*TBL_Employees3[[#This Row],[Annual Salary]]</f>
        <v>68426</v>
      </c>
      <c r="P556" t="str">
        <f>IF(AND(TBL_Employees3[[#This Row],[Department]]="IT",TBL_Employees3[[#This Row],[Gender]]="Female"),"Yes","No")</f>
        <v>No</v>
      </c>
      <c r="Q556" t="str">
        <f>IF(AND(TBL_Employees3[[#This Row],[Gender]]="Female",TBL_Employees3[[#This Row],[Ethnicity]]="Black"), "Female_Black", "Others")</f>
        <v>Others</v>
      </c>
    </row>
    <row r="557" spans="1:17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6">
        <v>42772</v>
      </c>
      <c r="J557" s="54">
        <v>144986</v>
      </c>
      <c r="K557" s="1">
        <v>0.12</v>
      </c>
      <c r="L557" t="s">
        <v>19</v>
      </c>
      <c r="M557" t="s">
        <v>39</v>
      </c>
      <c r="N557" s="6" t="s">
        <v>21</v>
      </c>
      <c r="O557" s="54">
        <f>TBL_Employees3[[#This Row],[Annual Salary]]+TBL_Employees3[[#This Row],[Bonus %]]*TBL_Employees3[[#This Row],[Annual Salary]]</f>
        <v>162384.32000000001</v>
      </c>
      <c r="P557" t="str">
        <f>IF(AND(TBL_Employees3[[#This Row],[Department]]="IT",TBL_Employees3[[#This Row],[Gender]]="Female"),"Yes","No")</f>
        <v>No</v>
      </c>
      <c r="Q557" t="str">
        <f>IF(AND(TBL_Employees3[[#This Row],[Gender]]="Female",TBL_Employees3[[#This Row],[Ethnicity]]="Black"), "Female_Black", "Others")</f>
        <v>Others</v>
      </c>
    </row>
    <row r="558" spans="1:17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6">
        <v>36754</v>
      </c>
      <c r="J558" s="54">
        <v>60113</v>
      </c>
      <c r="K558" s="1">
        <v>0</v>
      </c>
      <c r="L558" t="s">
        <v>19</v>
      </c>
      <c r="M558" t="s">
        <v>20</v>
      </c>
      <c r="N558" s="6" t="s">
        <v>21</v>
      </c>
      <c r="O558" s="54">
        <f>TBL_Employees3[[#This Row],[Annual Salary]]+TBL_Employees3[[#This Row],[Bonus %]]*TBL_Employees3[[#This Row],[Annual Salary]]</f>
        <v>60113</v>
      </c>
      <c r="P558" t="str">
        <f>IF(AND(TBL_Employees3[[#This Row],[Department]]="IT",TBL_Employees3[[#This Row],[Gender]]="Female"),"Yes","No")</f>
        <v>No</v>
      </c>
      <c r="Q558" t="str">
        <f>IF(AND(TBL_Employees3[[#This Row],[Gender]]="Female",TBL_Employees3[[#This Row],[Ethnicity]]="Black"), "Female_Black", "Others")</f>
        <v>Others</v>
      </c>
    </row>
    <row r="559" spans="1:17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6">
        <v>44304</v>
      </c>
      <c r="J559" s="54">
        <v>50548</v>
      </c>
      <c r="K559" s="1">
        <v>0</v>
      </c>
      <c r="L559" t="s">
        <v>52</v>
      </c>
      <c r="M559" t="s">
        <v>53</v>
      </c>
      <c r="N559" s="6" t="s">
        <v>21</v>
      </c>
      <c r="O559" s="54">
        <f>TBL_Employees3[[#This Row],[Annual Salary]]+TBL_Employees3[[#This Row],[Bonus %]]*TBL_Employees3[[#This Row],[Annual Salary]]</f>
        <v>50548</v>
      </c>
      <c r="P559" t="str">
        <f>IF(AND(TBL_Employees3[[#This Row],[Department]]="IT",TBL_Employees3[[#This Row],[Gender]]="Female"),"Yes","No")</f>
        <v>No</v>
      </c>
      <c r="Q559" t="str">
        <f>IF(AND(TBL_Employees3[[#This Row],[Gender]]="Female",TBL_Employees3[[#This Row],[Ethnicity]]="Black"), "Female_Black", "Others")</f>
        <v>Others</v>
      </c>
    </row>
    <row r="560" spans="1:17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6">
        <v>43904</v>
      </c>
      <c r="J560" s="54">
        <v>68846</v>
      </c>
      <c r="K560" s="1">
        <v>0</v>
      </c>
      <c r="L560" t="s">
        <v>19</v>
      </c>
      <c r="M560" t="s">
        <v>20</v>
      </c>
      <c r="N560" s="6" t="s">
        <v>21</v>
      </c>
      <c r="O560" s="54">
        <f>TBL_Employees3[[#This Row],[Annual Salary]]+TBL_Employees3[[#This Row],[Bonus %]]*TBL_Employees3[[#This Row],[Annual Salary]]</f>
        <v>68846</v>
      </c>
      <c r="P560" t="str">
        <f>IF(AND(TBL_Employees3[[#This Row],[Department]]="IT",TBL_Employees3[[#This Row],[Gender]]="Female"),"Yes","No")</f>
        <v>No</v>
      </c>
      <c r="Q560" t="str">
        <f>IF(AND(TBL_Employees3[[#This Row],[Gender]]="Female",TBL_Employees3[[#This Row],[Ethnicity]]="Black"), "Female_Black", "Others")</f>
        <v>Others</v>
      </c>
    </row>
    <row r="561" spans="1:17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6">
        <v>41717</v>
      </c>
      <c r="J561" s="54">
        <v>90901</v>
      </c>
      <c r="K561" s="1">
        <v>0</v>
      </c>
      <c r="L561" t="s">
        <v>19</v>
      </c>
      <c r="M561" t="s">
        <v>63</v>
      </c>
      <c r="N561" s="6" t="s">
        <v>21</v>
      </c>
      <c r="O561" s="54">
        <f>TBL_Employees3[[#This Row],[Annual Salary]]+TBL_Employees3[[#This Row],[Bonus %]]*TBL_Employees3[[#This Row],[Annual Salary]]</f>
        <v>90901</v>
      </c>
      <c r="P561" t="str">
        <f>IF(AND(TBL_Employees3[[#This Row],[Department]]="IT",TBL_Employees3[[#This Row],[Gender]]="Female"),"Yes","No")</f>
        <v>Yes</v>
      </c>
      <c r="Q561" t="str">
        <f>IF(AND(TBL_Employees3[[#This Row],[Gender]]="Female",TBL_Employees3[[#This Row],[Ethnicity]]="Black"), "Female_Black", "Others")</f>
        <v>Others</v>
      </c>
    </row>
    <row r="562" spans="1:17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6">
        <v>41155</v>
      </c>
      <c r="J562" s="54">
        <v>102033</v>
      </c>
      <c r="K562" s="1">
        <v>0.08</v>
      </c>
      <c r="L562" t="s">
        <v>19</v>
      </c>
      <c r="M562" t="s">
        <v>25</v>
      </c>
      <c r="N562" s="6" t="s">
        <v>21</v>
      </c>
      <c r="O562" s="54">
        <f>TBL_Employees3[[#This Row],[Annual Salary]]+TBL_Employees3[[#This Row],[Bonus %]]*TBL_Employees3[[#This Row],[Annual Salary]]</f>
        <v>110195.64</v>
      </c>
      <c r="P562" t="str">
        <f>IF(AND(TBL_Employees3[[#This Row],[Department]]="IT",TBL_Employees3[[#This Row],[Gender]]="Female"),"Yes","No")</f>
        <v>No</v>
      </c>
      <c r="Q562" t="str">
        <f>IF(AND(TBL_Employees3[[#This Row],[Gender]]="Female",TBL_Employees3[[#This Row],[Ethnicity]]="Black"), "Female_Black", "Others")</f>
        <v>Others</v>
      </c>
    </row>
    <row r="563" spans="1:17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6">
        <v>44219</v>
      </c>
      <c r="J563" s="54">
        <v>151783</v>
      </c>
      <c r="K563" s="1">
        <v>0.26</v>
      </c>
      <c r="L563" t="s">
        <v>19</v>
      </c>
      <c r="M563" t="s">
        <v>63</v>
      </c>
      <c r="N563" s="6" t="s">
        <v>21</v>
      </c>
      <c r="O563" s="54">
        <f>TBL_Employees3[[#This Row],[Annual Salary]]+TBL_Employees3[[#This Row],[Bonus %]]*TBL_Employees3[[#This Row],[Annual Salary]]</f>
        <v>191246.58000000002</v>
      </c>
      <c r="P563" t="str">
        <f>IF(AND(TBL_Employees3[[#This Row],[Department]]="IT",TBL_Employees3[[#This Row],[Gender]]="Female"),"Yes","No")</f>
        <v>No</v>
      </c>
      <c r="Q563" t="str">
        <f>IF(AND(TBL_Employees3[[#This Row],[Gender]]="Female",TBL_Employees3[[#This Row],[Ethnicity]]="Black"), "Female_Black", "Others")</f>
        <v>Others</v>
      </c>
    </row>
    <row r="564" spans="1:17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6">
        <v>43441</v>
      </c>
      <c r="J564" s="54">
        <v>170164</v>
      </c>
      <c r="K564" s="1">
        <v>0.17</v>
      </c>
      <c r="L564" t="s">
        <v>19</v>
      </c>
      <c r="M564" t="s">
        <v>25</v>
      </c>
      <c r="N564" s="6" t="s">
        <v>21</v>
      </c>
      <c r="O564" s="54">
        <f>TBL_Employees3[[#This Row],[Annual Salary]]+TBL_Employees3[[#This Row],[Bonus %]]*TBL_Employees3[[#This Row],[Annual Salary]]</f>
        <v>199091.88</v>
      </c>
      <c r="P564" t="str">
        <f>IF(AND(TBL_Employees3[[#This Row],[Department]]="IT",TBL_Employees3[[#This Row],[Gender]]="Female"),"Yes","No")</f>
        <v>No</v>
      </c>
      <c r="Q564" t="str">
        <f>IF(AND(TBL_Employees3[[#This Row],[Gender]]="Female",TBL_Employees3[[#This Row],[Ethnicity]]="Black"), "Female_Black", "Others")</f>
        <v>Others</v>
      </c>
    </row>
    <row r="565" spans="1:17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6">
        <v>41690</v>
      </c>
      <c r="J565" s="54">
        <v>155905</v>
      </c>
      <c r="K565" s="1">
        <v>0.14000000000000001</v>
      </c>
      <c r="L565" t="s">
        <v>19</v>
      </c>
      <c r="M565" t="s">
        <v>39</v>
      </c>
      <c r="N565" s="6" t="s">
        <v>21</v>
      </c>
      <c r="O565" s="54">
        <f>TBL_Employees3[[#This Row],[Annual Salary]]+TBL_Employees3[[#This Row],[Bonus %]]*TBL_Employees3[[#This Row],[Annual Salary]]</f>
        <v>177731.7</v>
      </c>
      <c r="P565" t="str">
        <f>IF(AND(TBL_Employees3[[#This Row],[Department]]="IT",TBL_Employees3[[#This Row],[Gender]]="Female"),"Yes","No")</f>
        <v>No</v>
      </c>
      <c r="Q565" t="str">
        <f>IF(AND(TBL_Employees3[[#This Row],[Gender]]="Female",TBL_Employees3[[#This Row],[Ethnicity]]="Black"), "Female_Black", "Others")</f>
        <v>Others</v>
      </c>
    </row>
    <row r="566" spans="1:17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6">
        <v>42721</v>
      </c>
      <c r="J566" s="54">
        <v>50733</v>
      </c>
      <c r="K566" s="1">
        <v>0</v>
      </c>
      <c r="L566" t="s">
        <v>19</v>
      </c>
      <c r="M566" t="s">
        <v>45</v>
      </c>
      <c r="N566" s="6" t="s">
        <v>21</v>
      </c>
      <c r="O566" s="54">
        <f>TBL_Employees3[[#This Row],[Annual Salary]]+TBL_Employees3[[#This Row],[Bonus %]]*TBL_Employees3[[#This Row],[Annual Salary]]</f>
        <v>50733</v>
      </c>
      <c r="P566" t="str">
        <f>IF(AND(TBL_Employees3[[#This Row],[Department]]="IT",TBL_Employees3[[#This Row],[Gender]]="Female"),"Yes","No")</f>
        <v>No</v>
      </c>
      <c r="Q566" t="str">
        <f>IF(AND(TBL_Employees3[[#This Row],[Gender]]="Female",TBL_Employees3[[#This Row],[Ethnicity]]="Black"), "Female_Black", "Others")</f>
        <v>Others</v>
      </c>
    </row>
    <row r="567" spans="1:17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6">
        <v>42761</v>
      </c>
      <c r="J567" s="54">
        <v>88663</v>
      </c>
      <c r="K567" s="1">
        <v>0</v>
      </c>
      <c r="L567" t="s">
        <v>19</v>
      </c>
      <c r="M567" t="s">
        <v>39</v>
      </c>
      <c r="N567" s="6" t="s">
        <v>21</v>
      </c>
      <c r="O567" s="54">
        <f>TBL_Employees3[[#This Row],[Annual Salary]]+TBL_Employees3[[#This Row],[Bonus %]]*TBL_Employees3[[#This Row],[Annual Salary]]</f>
        <v>88663</v>
      </c>
      <c r="P567" t="str">
        <f>IF(AND(TBL_Employees3[[#This Row],[Department]]="IT",TBL_Employees3[[#This Row],[Gender]]="Female"),"Yes","No")</f>
        <v>No</v>
      </c>
      <c r="Q567" t="str">
        <f>IF(AND(TBL_Employees3[[#This Row],[Gender]]="Female",TBL_Employees3[[#This Row],[Ethnicity]]="Black"), "Female_Black", "Others")</f>
        <v>Others</v>
      </c>
    </row>
    <row r="568" spans="1:17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6">
        <v>33890</v>
      </c>
      <c r="J568" s="54">
        <v>88213</v>
      </c>
      <c r="K568" s="1">
        <v>0</v>
      </c>
      <c r="L568" t="s">
        <v>33</v>
      </c>
      <c r="M568" t="s">
        <v>80</v>
      </c>
      <c r="N568" s="6" t="s">
        <v>21</v>
      </c>
      <c r="O568" s="54">
        <f>TBL_Employees3[[#This Row],[Annual Salary]]+TBL_Employees3[[#This Row],[Bonus %]]*TBL_Employees3[[#This Row],[Annual Salary]]</f>
        <v>88213</v>
      </c>
      <c r="P568" t="str">
        <f>IF(AND(TBL_Employees3[[#This Row],[Department]]="IT",TBL_Employees3[[#This Row],[Gender]]="Female"),"Yes","No")</f>
        <v>No</v>
      </c>
      <c r="Q568" t="str">
        <f>IF(AND(TBL_Employees3[[#This Row],[Gender]]="Female",TBL_Employees3[[#This Row],[Ethnicity]]="Black"), "Female_Black", "Others")</f>
        <v>Others</v>
      </c>
    </row>
    <row r="569" spans="1:17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6">
        <v>44410</v>
      </c>
      <c r="J569" s="54">
        <v>67130</v>
      </c>
      <c r="K569" s="1">
        <v>0</v>
      </c>
      <c r="L569" t="s">
        <v>19</v>
      </c>
      <c r="M569" t="s">
        <v>45</v>
      </c>
      <c r="N569" s="6" t="s">
        <v>21</v>
      </c>
      <c r="O569" s="54">
        <f>TBL_Employees3[[#This Row],[Annual Salary]]+TBL_Employees3[[#This Row],[Bonus %]]*TBL_Employees3[[#This Row],[Annual Salary]]</f>
        <v>67130</v>
      </c>
      <c r="P569" t="str">
        <f>IF(AND(TBL_Employees3[[#This Row],[Department]]="IT",TBL_Employees3[[#This Row],[Gender]]="Female"),"Yes","No")</f>
        <v>No</v>
      </c>
      <c r="Q569" t="str">
        <f>IF(AND(TBL_Employees3[[#This Row],[Gender]]="Female",TBL_Employees3[[#This Row],[Ethnicity]]="Black"), "Female_Black", "Others")</f>
        <v>Others</v>
      </c>
    </row>
    <row r="570" spans="1:17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6">
        <v>42285</v>
      </c>
      <c r="J570" s="54">
        <v>94876</v>
      </c>
      <c r="K570" s="1">
        <v>0</v>
      </c>
      <c r="L570" t="s">
        <v>19</v>
      </c>
      <c r="M570" t="s">
        <v>45</v>
      </c>
      <c r="N570" s="6" t="s">
        <v>21</v>
      </c>
      <c r="O570" s="54">
        <f>TBL_Employees3[[#This Row],[Annual Salary]]+TBL_Employees3[[#This Row],[Bonus %]]*TBL_Employees3[[#This Row],[Annual Salary]]</f>
        <v>94876</v>
      </c>
      <c r="P570" t="str">
        <f>IF(AND(TBL_Employees3[[#This Row],[Department]]="IT",TBL_Employees3[[#This Row],[Gender]]="Female"),"Yes","No")</f>
        <v>No</v>
      </c>
      <c r="Q570" t="str">
        <f>IF(AND(TBL_Employees3[[#This Row],[Gender]]="Female",TBL_Employees3[[#This Row],[Ethnicity]]="Black"), "Female_Black", "Others")</f>
        <v>Others</v>
      </c>
    </row>
    <row r="571" spans="1:17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6">
        <v>34616</v>
      </c>
      <c r="J571" s="54">
        <v>98230</v>
      </c>
      <c r="K571" s="1">
        <v>0</v>
      </c>
      <c r="L571" t="s">
        <v>19</v>
      </c>
      <c r="M571" t="s">
        <v>45</v>
      </c>
      <c r="N571" s="6" t="s">
        <v>21</v>
      </c>
      <c r="O571" s="54">
        <f>TBL_Employees3[[#This Row],[Annual Salary]]+TBL_Employees3[[#This Row],[Bonus %]]*TBL_Employees3[[#This Row],[Annual Salary]]</f>
        <v>98230</v>
      </c>
      <c r="P571" t="str">
        <f>IF(AND(TBL_Employees3[[#This Row],[Department]]="IT",TBL_Employees3[[#This Row],[Gender]]="Female"),"Yes","No")</f>
        <v>No</v>
      </c>
      <c r="Q571" t="str">
        <f>IF(AND(TBL_Employees3[[#This Row],[Gender]]="Female",TBL_Employees3[[#This Row],[Ethnicity]]="Black"), "Female_Black", "Others")</f>
        <v>Others</v>
      </c>
    </row>
    <row r="572" spans="1:17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6">
        <v>43448</v>
      </c>
      <c r="J572" s="54">
        <v>96757</v>
      </c>
      <c r="K572" s="1">
        <v>0</v>
      </c>
      <c r="L572" t="s">
        <v>19</v>
      </c>
      <c r="M572" t="s">
        <v>29</v>
      </c>
      <c r="N572" s="6" t="s">
        <v>21</v>
      </c>
      <c r="O572" s="54">
        <f>TBL_Employees3[[#This Row],[Annual Salary]]+TBL_Employees3[[#This Row],[Bonus %]]*TBL_Employees3[[#This Row],[Annual Salary]]</f>
        <v>96757</v>
      </c>
      <c r="P572" t="str">
        <f>IF(AND(TBL_Employees3[[#This Row],[Department]]="IT",TBL_Employees3[[#This Row],[Gender]]="Female"),"Yes","No")</f>
        <v>No</v>
      </c>
      <c r="Q572" t="str">
        <f>IF(AND(TBL_Employees3[[#This Row],[Gender]]="Female",TBL_Employees3[[#This Row],[Ethnicity]]="Black"), "Female_Black", "Others")</f>
        <v>Others</v>
      </c>
    </row>
    <row r="573" spans="1:17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6">
        <v>44015</v>
      </c>
      <c r="J573" s="54">
        <v>51513</v>
      </c>
      <c r="K573" s="1">
        <v>0</v>
      </c>
      <c r="L573" t="s">
        <v>19</v>
      </c>
      <c r="M573" t="s">
        <v>29</v>
      </c>
      <c r="N573" s="6" t="s">
        <v>21</v>
      </c>
      <c r="O573" s="54">
        <f>TBL_Employees3[[#This Row],[Annual Salary]]+TBL_Employees3[[#This Row],[Bonus %]]*TBL_Employees3[[#This Row],[Annual Salary]]</f>
        <v>51513</v>
      </c>
      <c r="P573" t="str">
        <f>IF(AND(TBL_Employees3[[#This Row],[Department]]="IT",TBL_Employees3[[#This Row],[Gender]]="Female"),"Yes","No")</f>
        <v>No</v>
      </c>
      <c r="Q573" t="str">
        <f>IF(AND(TBL_Employees3[[#This Row],[Gender]]="Female",TBL_Employees3[[#This Row],[Ethnicity]]="Black"), "Female_Black", "Others")</f>
        <v>Others</v>
      </c>
    </row>
    <row r="574" spans="1:17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6">
        <v>39109</v>
      </c>
      <c r="J574" s="54">
        <v>234311</v>
      </c>
      <c r="K574" s="1">
        <v>0.37</v>
      </c>
      <c r="L574" t="s">
        <v>19</v>
      </c>
      <c r="M574" t="s">
        <v>45</v>
      </c>
      <c r="N574" s="6" t="s">
        <v>21</v>
      </c>
      <c r="O574" s="54">
        <f>TBL_Employees3[[#This Row],[Annual Salary]]+TBL_Employees3[[#This Row],[Bonus %]]*TBL_Employees3[[#This Row],[Annual Salary]]</f>
        <v>321006.07</v>
      </c>
      <c r="P574" t="str">
        <f>IF(AND(TBL_Employees3[[#This Row],[Department]]="IT",TBL_Employees3[[#This Row],[Gender]]="Female"),"Yes","No")</f>
        <v>No</v>
      </c>
      <c r="Q574" t="str">
        <f>IF(AND(TBL_Employees3[[#This Row],[Gender]]="Female",TBL_Employees3[[#This Row],[Ethnicity]]="Black"), "Female_Black", "Others")</f>
        <v>Others</v>
      </c>
    </row>
    <row r="575" spans="1:17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6">
        <v>40685</v>
      </c>
      <c r="J575" s="54">
        <v>152353</v>
      </c>
      <c r="K575" s="1">
        <v>0.14000000000000001</v>
      </c>
      <c r="L575" t="s">
        <v>19</v>
      </c>
      <c r="M575" t="s">
        <v>63</v>
      </c>
      <c r="N575" s="6" t="s">
        <v>21</v>
      </c>
      <c r="O575" s="54">
        <f>TBL_Employees3[[#This Row],[Annual Salary]]+TBL_Employees3[[#This Row],[Bonus %]]*TBL_Employees3[[#This Row],[Annual Salary]]</f>
        <v>173682.42</v>
      </c>
      <c r="P575" t="str">
        <f>IF(AND(TBL_Employees3[[#This Row],[Department]]="IT",TBL_Employees3[[#This Row],[Gender]]="Female"),"Yes","No")</f>
        <v>No</v>
      </c>
      <c r="Q575" t="str">
        <f>IF(AND(TBL_Employees3[[#This Row],[Gender]]="Female",TBL_Employees3[[#This Row],[Ethnicity]]="Black"), "Female_Black", "Others")</f>
        <v>Others</v>
      </c>
    </row>
    <row r="576" spans="1:17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6">
        <v>40389</v>
      </c>
      <c r="J576" s="54">
        <v>124774</v>
      </c>
      <c r="K576" s="1">
        <v>0.12</v>
      </c>
      <c r="L576" t="s">
        <v>19</v>
      </c>
      <c r="M576" t="s">
        <v>39</v>
      </c>
      <c r="N576" s="6" t="s">
        <v>21</v>
      </c>
      <c r="O576" s="54">
        <f>TBL_Employees3[[#This Row],[Annual Salary]]+TBL_Employees3[[#This Row],[Bonus %]]*TBL_Employees3[[#This Row],[Annual Salary]]</f>
        <v>139746.88</v>
      </c>
      <c r="P576" t="str">
        <f>IF(AND(TBL_Employees3[[#This Row],[Department]]="IT",TBL_Employees3[[#This Row],[Gender]]="Female"),"Yes","No")</f>
        <v>No</v>
      </c>
      <c r="Q576" t="str">
        <f>IF(AND(TBL_Employees3[[#This Row],[Gender]]="Female",TBL_Employees3[[#This Row],[Ethnicity]]="Black"), "Female_Black", "Others")</f>
        <v>Others</v>
      </c>
    </row>
    <row r="577" spans="1:17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6">
        <v>40434</v>
      </c>
      <c r="J577" s="54">
        <v>157070</v>
      </c>
      <c r="K577" s="1">
        <v>0.28000000000000003</v>
      </c>
      <c r="L577" t="s">
        <v>33</v>
      </c>
      <c r="M577" t="s">
        <v>80</v>
      </c>
      <c r="N577" s="6" t="s">
        <v>21</v>
      </c>
      <c r="O577" s="54">
        <f>TBL_Employees3[[#This Row],[Annual Salary]]+TBL_Employees3[[#This Row],[Bonus %]]*TBL_Employees3[[#This Row],[Annual Salary]]</f>
        <v>201049.60000000001</v>
      </c>
      <c r="P577" t="str">
        <f>IF(AND(TBL_Employees3[[#This Row],[Department]]="IT",TBL_Employees3[[#This Row],[Gender]]="Female"),"Yes","No")</f>
        <v>No</v>
      </c>
      <c r="Q577" t="str">
        <f>IF(AND(TBL_Employees3[[#This Row],[Gender]]="Female",TBL_Employees3[[#This Row],[Ethnicity]]="Black"), "Female_Black", "Others")</f>
        <v>Others</v>
      </c>
    </row>
    <row r="578" spans="1:17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6">
        <v>43685</v>
      </c>
      <c r="J578" s="54">
        <v>130133</v>
      </c>
      <c r="K578" s="1">
        <v>0.15</v>
      </c>
      <c r="L578" t="s">
        <v>19</v>
      </c>
      <c r="M578" t="s">
        <v>25</v>
      </c>
      <c r="N578" s="6">
        <v>44699</v>
      </c>
      <c r="O578" s="54">
        <f>TBL_Employees3[[#This Row],[Annual Salary]]+TBL_Employees3[[#This Row],[Bonus %]]*TBL_Employees3[[#This Row],[Annual Salary]]</f>
        <v>149652.95000000001</v>
      </c>
      <c r="P578" t="str">
        <f>IF(AND(TBL_Employees3[[#This Row],[Department]]="IT",TBL_Employees3[[#This Row],[Gender]]="Female"),"Yes","No")</f>
        <v>No</v>
      </c>
      <c r="Q578" t="str">
        <f>IF(AND(TBL_Employees3[[#This Row],[Gender]]="Female",TBL_Employees3[[#This Row],[Ethnicity]]="Black"), "Female_Black", "Others")</f>
        <v>Others</v>
      </c>
    </row>
    <row r="579" spans="1:17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6">
        <v>43729</v>
      </c>
      <c r="J579" s="54">
        <v>108780</v>
      </c>
      <c r="K579" s="1">
        <v>0.06</v>
      </c>
      <c r="L579" t="s">
        <v>33</v>
      </c>
      <c r="M579" t="s">
        <v>74</v>
      </c>
      <c r="N579" s="6" t="s">
        <v>21</v>
      </c>
      <c r="O579" s="54">
        <f>TBL_Employees3[[#This Row],[Annual Salary]]+TBL_Employees3[[#This Row],[Bonus %]]*TBL_Employees3[[#This Row],[Annual Salary]]</f>
        <v>115306.8</v>
      </c>
      <c r="P579" t="str">
        <f>IF(AND(TBL_Employees3[[#This Row],[Department]]="IT",TBL_Employees3[[#This Row],[Gender]]="Female"),"Yes","No")</f>
        <v>No</v>
      </c>
      <c r="Q579" t="str">
        <f>IF(AND(TBL_Employees3[[#This Row],[Gender]]="Female",TBL_Employees3[[#This Row],[Ethnicity]]="Black"), "Female_Black", "Others")</f>
        <v>Others</v>
      </c>
    </row>
    <row r="580" spans="1:17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6">
        <v>44125</v>
      </c>
      <c r="J580" s="54">
        <v>151853</v>
      </c>
      <c r="K580" s="1">
        <v>0.16</v>
      </c>
      <c r="L580" t="s">
        <v>33</v>
      </c>
      <c r="M580" t="s">
        <v>34</v>
      </c>
      <c r="N580" s="6" t="s">
        <v>21</v>
      </c>
      <c r="O580" s="54">
        <f>TBL_Employees3[[#This Row],[Annual Salary]]+TBL_Employees3[[#This Row],[Bonus %]]*TBL_Employees3[[#This Row],[Annual Salary]]</f>
        <v>176149.48</v>
      </c>
      <c r="P580" t="str">
        <f>IF(AND(TBL_Employees3[[#This Row],[Department]]="IT",TBL_Employees3[[#This Row],[Gender]]="Female"),"Yes","No")</f>
        <v>No</v>
      </c>
      <c r="Q580" t="str">
        <f>IF(AND(TBL_Employees3[[#This Row],[Gender]]="Female",TBL_Employees3[[#This Row],[Ethnicity]]="Black"), "Female_Black", "Others")</f>
        <v>Others</v>
      </c>
    </row>
    <row r="581" spans="1:17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6">
        <v>38977</v>
      </c>
      <c r="J581" s="54">
        <v>64669</v>
      </c>
      <c r="K581" s="1">
        <v>0</v>
      </c>
      <c r="L581" t="s">
        <v>33</v>
      </c>
      <c r="M581" t="s">
        <v>80</v>
      </c>
      <c r="N581" s="6" t="s">
        <v>21</v>
      </c>
      <c r="O581" s="54">
        <f>TBL_Employees3[[#This Row],[Annual Salary]]+TBL_Employees3[[#This Row],[Bonus %]]*TBL_Employees3[[#This Row],[Annual Salary]]</f>
        <v>64669</v>
      </c>
      <c r="P581" t="str">
        <f>IF(AND(TBL_Employees3[[#This Row],[Department]]="IT",TBL_Employees3[[#This Row],[Gender]]="Female"),"Yes","No")</f>
        <v>No</v>
      </c>
      <c r="Q581" t="str">
        <f>IF(AND(TBL_Employees3[[#This Row],[Gender]]="Female",TBL_Employees3[[#This Row],[Ethnicity]]="Black"), "Female_Black", "Others")</f>
        <v>Others</v>
      </c>
    </row>
    <row r="582" spans="1:17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6">
        <v>39568</v>
      </c>
      <c r="J582" s="54">
        <v>69352</v>
      </c>
      <c r="K582" s="1">
        <v>0</v>
      </c>
      <c r="L582" t="s">
        <v>52</v>
      </c>
      <c r="M582" t="s">
        <v>66</v>
      </c>
      <c r="N582" s="6" t="s">
        <v>21</v>
      </c>
      <c r="O582" s="54">
        <f>TBL_Employees3[[#This Row],[Annual Salary]]+TBL_Employees3[[#This Row],[Bonus %]]*TBL_Employees3[[#This Row],[Annual Salary]]</f>
        <v>69352</v>
      </c>
      <c r="P582" t="str">
        <f>IF(AND(TBL_Employees3[[#This Row],[Department]]="IT",TBL_Employees3[[#This Row],[Gender]]="Female"),"Yes","No")</f>
        <v>No</v>
      </c>
      <c r="Q582" t="str">
        <f>IF(AND(TBL_Employees3[[#This Row],[Gender]]="Female",TBL_Employees3[[#This Row],[Ethnicity]]="Black"), "Female_Black", "Others")</f>
        <v>Others</v>
      </c>
    </row>
    <row r="583" spans="1:17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6">
        <v>37181</v>
      </c>
      <c r="J583" s="54">
        <v>74631</v>
      </c>
      <c r="K583" s="1">
        <v>0</v>
      </c>
      <c r="L583" t="s">
        <v>33</v>
      </c>
      <c r="M583" t="s">
        <v>80</v>
      </c>
      <c r="N583" s="6" t="s">
        <v>21</v>
      </c>
      <c r="O583" s="54">
        <f>TBL_Employees3[[#This Row],[Annual Salary]]+TBL_Employees3[[#This Row],[Bonus %]]*TBL_Employees3[[#This Row],[Annual Salary]]</f>
        <v>74631</v>
      </c>
      <c r="P583" t="str">
        <f>IF(AND(TBL_Employees3[[#This Row],[Department]]="IT",TBL_Employees3[[#This Row],[Gender]]="Female"),"Yes","No")</f>
        <v>No</v>
      </c>
      <c r="Q583" t="str">
        <f>IF(AND(TBL_Employees3[[#This Row],[Gender]]="Female",TBL_Employees3[[#This Row],[Ethnicity]]="Black"), "Female_Black", "Others")</f>
        <v>Others</v>
      </c>
    </row>
    <row r="584" spans="1:17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6">
        <v>41028</v>
      </c>
      <c r="J584" s="54">
        <v>96441</v>
      </c>
      <c r="K584" s="1">
        <v>0</v>
      </c>
      <c r="L584" t="s">
        <v>52</v>
      </c>
      <c r="M584" t="s">
        <v>53</v>
      </c>
      <c r="N584" s="6" t="s">
        <v>21</v>
      </c>
      <c r="O584" s="54">
        <f>TBL_Employees3[[#This Row],[Annual Salary]]+TBL_Employees3[[#This Row],[Bonus %]]*TBL_Employees3[[#This Row],[Annual Salary]]</f>
        <v>96441</v>
      </c>
      <c r="P584" t="str">
        <f>IF(AND(TBL_Employees3[[#This Row],[Department]]="IT",TBL_Employees3[[#This Row],[Gender]]="Female"),"Yes","No")</f>
        <v>No</v>
      </c>
      <c r="Q584" t="str">
        <f>IF(AND(TBL_Employees3[[#This Row],[Gender]]="Female",TBL_Employees3[[#This Row],[Ethnicity]]="Black"), "Female_Black", "Others")</f>
        <v>Others</v>
      </c>
    </row>
    <row r="585" spans="1:17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6">
        <v>40836</v>
      </c>
      <c r="J585" s="54">
        <v>114250</v>
      </c>
      <c r="K585" s="1">
        <v>0.14000000000000001</v>
      </c>
      <c r="L585" t="s">
        <v>33</v>
      </c>
      <c r="M585" t="s">
        <v>34</v>
      </c>
      <c r="N585" s="6" t="s">
        <v>21</v>
      </c>
      <c r="O585" s="54">
        <f>TBL_Employees3[[#This Row],[Annual Salary]]+TBL_Employees3[[#This Row],[Bonus %]]*TBL_Employees3[[#This Row],[Annual Salary]]</f>
        <v>130245</v>
      </c>
      <c r="P585" t="str">
        <f>IF(AND(TBL_Employees3[[#This Row],[Department]]="IT",TBL_Employees3[[#This Row],[Gender]]="Female"),"Yes","No")</f>
        <v>No</v>
      </c>
      <c r="Q585" t="str">
        <f>IF(AND(TBL_Employees3[[#This Row],[Gender]]="Female",TBL_Employees3[[#This Row],[Ethnicity]]="Black"), "Female_Black", "Others")</f>
        <v>Others</v>
      </c>
    </row>
    <row r="586" spans="1:17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6">
        <v>44192</v>
      </c>
      <c r="J586" s="54">
        <v>70165</v>
      </c>
      <c r="K586" s="1">
        <v>7.0000000000000007E-2</v>
      </c>
      <c r="L586" t="s">
        <v>52</v>
      </c>
      <c r="M586" t="s">
        <v>81</v>
      </c>
      <c r="N586" s="6" t="s">
        <v>21</v>
      </c>
      <c r="O586" s="54">
        <f>TBL_Employees3[[#This Row],[Annual Salary]]+TBL_Employees3[[#This Row],[Bonus %]]*TBL_Employees3[[#This Row],[Annual Salary]]</f>
        <v>75076.55</v>
      </c>
      <c r="P586" t="str">
        <f>IF(AND(TBL_Employees3[[#This Row],[Department]]="IT",TBL_Employees3[[#This Row],[Gender]]="Female"),"Yes","No")</f>
        <v>No</v>
      </c>
      <c r="Q586" t="str">
        <f>IF(AND(TBL_Employees3[[#This Row],[Gender]]="Female",TBL_Employees3[[#This Row],[Ethnicity]]="Black"), "Female_Black", "Others")</f>
        <v>Others</v>
      </c>
    </row>
    <row r="587" spans="1:17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6">
        <v>36554</v>
      </c>
      <c r="J587" s="54">
        <v>109059</v>
      </c>
      <c r="K587" s="1">
        <v>7.0000000000000007E-2</v>
      </c>
      <c r="L587" t="s">
        <v>33</v>
      </c>
      <c r="M587" t="s">
        <v>34</v>
      </c>
      <c r="N587" s="6" t="s">
        <v>21</v>
      </c>
      <c r="O587" s="54">
        <f>TBL_Employees3[[#This Row],[Annual Salary]]+TBL_Employees3[[#This Row],[Bonus %]]*TBL_Employees3[[#This Row],[Annual Salary]]</f>
        <v>116693.13</v>
      </c>
      <c r="P587" t="str">
        <f>IF(AND(TBL_Employees3[[#This Row],[Department]]="IT",TBL_Employees3[[#This Row],[Gender]]="Female"),"Yes","No")</f>
        <v>No</v>
      </c>
      <c r="Q587" t="str">
        <f>IF(AND(TBL_Employees3[[#This Row],[Gender]]="Female",TBL_Employees3[[#This Row],[Ethnicity]]="Black"), "Female_Black", "Others")</f>
        <v>Others</v>
      </c>
    </row>
    <row r="588" spans="1:17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6">
        <v>42322</v>
      </c>
      <c r="J588" s="54">
        <v>77442</v>
      </c>
      <c r="K588" s="1">
        <v>0</v>
      </c>
      <c r="L588" t="s">
        <v>19</v>
      </c>
      <c r="M588" t="s">
        <v>29</v>
      </c>
      <c r="N588" s="6" t="s">
        <v>21</v>
      </c>
      <c r="O588" s="54">
        <f>TBL_Employees3[[#This Row],[Annual Salary]]+TBL_Employees3[[#This Row],[Bonus %]]*TBL_Employees3[[#This Row],[Annual Salary]]</f>
        <v>77442</v>
      </c>
      <c r="P588" t="str">
        <f>IF(AND(TBL_Employees3[[#This Row],[Department]]="IT",TBL_Employees3[[#This Row],[Gender]]="Female"),"Yes","No")</f>
        <v>No</v>
      </c>
      <c r="Q588" t="str">
        <f>IF(AND(TBL_Employees3[[#This Row],[Gender]]="Female",TBL_Employees3[[#This Row],[Ethnicity]]="Black"), "Female_Black", "Others")</f>
        <v>Others</v>
      </c>
    </row>
    <row r="589" spans="1:17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6">
        <v>41066</v>
      </c>
      <c r="J589" s="54">
        <v>72126</v>
      </c>
      <c r="K589" s="1">
        <v>0</v>
      </c>
      <c r="L589" t="s">
        <v>52</v>
      </c>
      <c r="M589" t="s">
        <v>81</v>
      </c>
      <c r="N589" s="6" t="s">
        <v>21</v>
      </c>
      <c r="O589" s="54">
        <f>TBL_Employees3[[#This Row],[Annual Salary]]+TBL_Employees3[[#This Row],[Bonus %]]*TBL_Employees3[[#This Row],[Annual Salary]]</f>
        <v>72126</v>
      </c>
      <c r="P589" t="str">
        <f>IF(AND(TBL_Employees3[[#This Row],[Department]]="IT",TBL_Employees3[[#This Row],[Gender]]="Female"),"Yes","No")</f>
        <v>No</v>
      </c>
      <c r="Q589" t="str">
        <f>IF(AND(TBL_Employees3[[#This Row],[Gender]]="Female",TBL_Employees3[[#This Row],[Ethnicity]]="Black"), "Female_Black", "Others")</f>
        <v>Others</v>
      </c>
    </row>
    <row r="590" spans="1:17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6">
        <v>41565</v>
      </c>
      <c r="J590" s="54">
        <v>70334</v>
      </c>
      <c r="K590" s="1">
        <v>0</v>
      </c>
      <c r="L590" t="s">
        <v>19</v>
      </c>
      <c r="M590" t="s">
        <v>45</v>
      </c>
      <c r="N590" s="6" t="s">
        <v>21</v>
      </c>
      <c r="O590" s="54">
        <f>TBL_Employees3[[#This Row],[Annual Salary]]+TBL_Employees3[[#This Row],[Bonus %]]*TBL_Employees3[[#This Row],[Annual Salary]]</f>
        <v>70334</v>
      </c>
      <c r="P590" t="str">
        <f>IF(AND(TBL_Employees3[[#This Row],[Department]]="IT",TBL_Employees3[[#This Row],[Gender]]="Female"),"Yes","No")</f>
        <v>No</v>
      </c>
      <c r="Q590" t="str">
        <f>IF(AND(TBL_Employees3[[#This Row],[Gender]]="Female",TBL_Employees3[[#This Row],[Ethnicity]]="Black"), "Female_Black", "Others")</f>
        <v>Others</v>
      </c>
    </row>
    <row r="591" spans="1:17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6">
        <v>40170</v>
      </c>
      <c r="J591" s="54">
        <v>78006</v>
      </c>
      <c r="K591" s="1">
        <v>0</v>
      </c>
      <c r="L591" t="s">
        <v>19</v>
      </c>
      <c r="M591" t="s">
        <v>45</v>
      </c>
      <c r="N591" s="6" t="s">
        <v>21</v>
      </c>
      <c r="O591" s="54">
        <f>TBL_Employees3[[#This Row],[Annual Salary]]+TBL_Employees3[[#This Row],[Bonus %]]*TBL_Employees3[[#This Row],[Annual Salary]]</f>
        <v>78006</v>
      </c>
      <c r="P591" t="str">
        <f>IF(AND(TBL_Employees3[[#This Row],[Department]]="IT",TBL_Employees3[[#This Row],[Gender]]="Female"),"Yes","No")</f>
        <v>No</v>
      </c>
      <c r="Q591" t="str">
        <f>IF(AND(TBL_Employees3[[#This Row],[Gender]]="Female",TBL_Employees3[[#This Row],[Ethnicity]]="Black"), "Female_Black", "Others")</f>
        <v>Others</v>
      </c>
    </row>
    <row r="592" spans="1:17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6">
        <v>44221</v>
      </c>
      <c r="J592" s="54">
        <v>160385</v>
      </c>
      <c r="K592" s="1">
        <v>0.23</v>
      </c>
      <c r="L592" t="s">
        <v>19</v>
      </c>
      <c r="M592" t="s">
        <v>45</v>
      </c>
      <c r="N592" s="6">
        <v>44334</v>
      </c>
      <c r="O592" s="54">
        <f>TBL_Employees3[[#This Row],[Annual Salary]]+TBL_Employees3[[#This Row],[Bonus %]]*TBL_Employees3[[#This Row],[Annual Salary]]</f>
        <v>197273.55</v>
      </c>
      <c r="P592" t="str">
        <f>IF(AND(TBL_Employees3[[#This Row],[Department]]="IT",TBL_Employees3[[#This Row],[Gender]]="Female"),"Yes","No")</f>
        <v>Yes</v>
      </c>
      <c r="Q592" t="str">
        <f>IF(AND(TBL_Employees3[[#This Row],[Gender]]="Female",TBL_Employees3[[#This Row],[Ethnicity]]="Black"), "Female_Black", "Others")</f>
        <v>Others</v>
      </c>
    </row>
    <row r="593" spans="1:17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6">
        <v>41650</v>
      </c>
      <c r="J593" s="54">
        <v>202323</v>
      </c>
      <c r="K593" s="1">
        <v>0.39</v>
      </c>
      <c r="L593" t="s">
        <v>19</v>
      </c>
      <c r="M593" t="s">
        <v>20</v>
      </c>
      <c r="N593" s="6" t="s">
        <v>21</v>
      </c>
      <c r="O593" s="54">
        <f>TBL_Employees3[[#This Row],[Annual Salary]]+TBL_Employees3[[#This Row],[Bonus %]]*TBL_Employees3[[#This Row],[Annual Salary]]</f>
        <v>281228.96999999997</v>
      </c>
      <c r="P593" t="str">
        <f>IF(AND(TBL_Employees3[[#This Row],[Department]]="IT",TBL_Employees3[[#This Row],[Gender]]="Female"),"Yes","No")</f>
        <v>No</v>
      </c>
      <c r="Q593" t="str">
        <f>IF(AND(TBL_Employees3[[#This Row],[Gender]]="Female",TBL_Employees3[[#This Row],[Ethnicity]]="Black"), "Female_Black", "Others")</f>
        <v>Others</v>
      </c>
    </row>
    <row r="594" spans="1:17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6">
        <v>44025</v>
      </c>
      <c r="J594" s="54">
        <v>141555</v>
      </c>
      <c r="K594" s="1">
        <v>0.11</v>
      </c>
      <c r="L594" t="s">
        <v>52</v>
      </c>
      <c r="M594" t="s">
        <v>81</v>
      </c>
      <c r="N594" s="6" t="s">
        <v>21</v>
      </c>
      <c r="O594" s="54">
        <f>TBL_Employees3[[#This Row],[Annual Salary]]+TBL_Employees3[[#This Row],[Bonus %]]*TBL_Employees3[[#This Row],[Annual Salary]]</f>
        <v>157126.04999999999</v>
      </c>
      <c r="P594" t="str">
        <f>IF(AND(TBL_Employees3[[#This Row],[Department]]="IT",TBL_Employees3[[#This Row],[Gender]]="Female"),"Yes","No")</f>
        <v>No</v>
      </c>
      <c r="Q594" t="str">
        <f>IF(AND(TBL_Employees3[[#This Row],[Gender]]="Female",TBL_Employees3[[#This Row],[Ethnicity]]="Black"), "Female_Black", "Others")</f>
        <v>Others</v>
      </c>
    </row>
    <row r="595" spans="1:17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6">
        <v>44032</v>
      </c>
      <c r="J595" s="54">
        <v>184960</v>
      </c>
      <c r="K595" s="1">
        <v>0.18</v>
      </c>
      <c r="L595" t="s">
        <v>19</v>
      </c>
      <c r="M595" t="s">
        <v>63</v>
      </c>
      <c r="N595" s="6" t="s">
        <v>21</v>
      </c>
      <c r="O595" s="54">
        <f>TBL_Employees3[[#This Row],[Annual Salary]]+TBL_Employees3[[#This Row],[Bonus %]]*TBL_Employees3[[#This Row],[Annual Salary]]</f>
        <v>218252.79999999999</v>
      </c>
      <c r="P595" t="str">
        <f>IF(AND(TBL_Employees3[[#This Row],[Department]]="IT",TBL_Employees3[[#This Row],[Gender]]="Female"),"Yes","No")</f>
        <v>No</v>
      </c>
      <c r="Q595" t="str">
        <f>IF(AND(TBL_Employees3[[#This Row],[Gender]]="Female",TBL_Employees3[[#This Row],[Ethnicity]]="Black"), "Female_Black", "Others")</f>
        <v>Others</v>
      </c>
    </row>
    <row r="596" spans="1:17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6">
        <v>40719</v>
      </c>
      <c r="J596" s="54">
        <v>221592</v>
      </c>
      <c r="K596" s="1">
        <v>0.31</v>
      </c>
      <c r="L596" t="s">
        <v>19</v>
      </c>
      <c r="M596" t="s">
        <v>29</v>
      </c>
      <c r="N596" s="6" t="s">
        <v>21</v>
      </c>
      <c r="O596" s="54">
        <f>TBL_Employees3[[#This Row],[Annual Salary]]+TBL_Employees3[[#This Row],[Bonus %]]*TBL_Employees3[[#This Row],[Annual Salary]]</f>
        <v>290285.52</v>
      </c>
      <c r="P596" t="str">
        <f>IF(AND(TBL_Employees3[[#This Row],[Department]]="IT",TBL_Employees3[[#This Row],[Gender]]="Female"),"Yes","No")</f>
        <v>No</v>
      </c>
      <c r="Q596" t="str">
        <f>IF(AND(TBL_Employees3[[#This Row],[Gender]]="Female",TBL_Employees3[[#This Row],[Ethnicity]]="Black"), "Female_Black", "Others")</f>
        <v>Others</v>
      </c>
    </row>
    <row r="597" spans="1:17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6">
        <v>39841</v>
      </c>
      <c r="J597" s="54">
        <v>53301</v>
      </c>
      <c r="K597" s="1">
        <v>0</v>
      </c>
      <c r="L597" t="s">
        <v>19</v>
      </c>
      <c r="M597" t="s">
        <v>63</v>
      </c>
      <c r="N597" s="6" t="s">
        <v>21</v>
      </c>
      <c r="O597" s="54">
        <f>TBL_Employees3[[#This Row],[Annual Salary]]+TBL_Employees3[[#This Row],[Bonus %]]*TBL_Employees3[[#This Row],[Annual Salary]]</f>
        <v>53301</v>
      </c>
      <c r="P597" t="str">
        <f>IF(AND(TBL_Employees3[[#This Row],[Department]]="IT",TBL_Employees3[[#This Row],[Gender]]="Female"),"Yes","No")</f>
        <v>No</v>
      </c>
      <c r="Q597" t="str">
        <f>IF(AND(TBL_Employees3[[#This Row],[Gender]]="Female",TBL_Employees3[[#This Row],[Ethnicity]]="Black"), "Female_Black", "Others")</f>
        <v>Others</v>
      </c>
    </row>
    <row r="598" spans="1:17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6">
        <v>36587</v>
      </c>
      <c r="J598" s="54">
        <v>91276</v>
      </c>
      <c r="K598" s="1">
        <v>0</v>
      </c>
      <c r="L598" t="s">
        <v>19</v>
      </c>
      <c r="M598" t="s">
        <v>63</v>
      </c>
      <c r="N598" s="6" t="s">
        <v>21</v>
      </c>
      <c r="O598" s="54">
        <f>TBL_Employees3[[#This Row],[Annual Salary]]+TBL_Employees3[[#This Row],[Bonus %]]*TBL_Employees3[[#This Row],[Annual Salary]]</f>
        <v>91276</v>
      </c>
      <c r="P598" t="str">
        <f>IF(AND(TBL_Employees3[[#This Row],[Department]]="IT",TBL_Employees3[[#This Row],[Gender]]="Female"),"Yes","No")</f>
        <v>No</v>
      </c>
      <c r="Q598" t="str">
        <f>IF(AND(TBL_Employees3[[#This Row],[Gender]]="Female",TBL_Employees3[[#This Row],[Ethnicity]]="Black"), "Female_Black", "Others")</f>
        <v>Others</v>
      </c>
    </row>
    <row r="599" spans="1:17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6">
        <v>42983</v>
      </c>
      <c r="J599" s="54">
        <v>140042</v>
      </c>
      <c r="K599" s="1">
        <v>0.13</v>
      </c>
      <c r="L599" t="s">
        <v>19</v>
      </c>
      <c r="M599" t="s">
        <v>25</v>
      </c>
      <c r="N599" s="6" t="s">
        <v>21</v>
      </c>
      <c r="O599" s="54">
        <f>TBL_Employees3[[#This Row],[Annual Salary]]+TBL_Employees3[[#This Row],[Bonus %]]*TBL_Employees3[[#This Row],[Annual Salary]]</f>
        <v>158247.46</v>
      </c>
      <c r="P599" t="str">
        <f>IF(AND(TBL_Employees3[[#This Row],[Department]]="IT",TBL_Employees3[[#This Row],[Gender]]="Female"),"Yes","No")</f>
        <v>No</v>
      </c>
      <c r="Q599" t="str">
        <f>IF(AND(TBL_Employees3[[#This Row],[Gender]]="Female",TBL_Employees3[[#This Row],[Ethnicity]]="Black"), "Female_Black", "Others")</f>
        <v>Others</v>
      </c>
    </row>
    <row r="600" spans="1:17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6">
        <v>43440</v>
      </c>
      <c r="J600" s="54">
        <v>57225</v>
      </c>
      <c r="K600" s="1">
        <v>0</v>
      </c>
      <c r="L600" t="s">
        <v>19</v>
      </c>
      <c r="M600" t="s">
        <v>29</v>
      </c>
      <c r="N600" s="6" t="s">
        <v>21</v>
      </c>
      <c r="O600" s="54">
        <f>TBL_Employees3[[#This Row],[Annual Salary]]+TBL_Employees3[[#This Row],[Bonus %]]*TBL_Employees3[[#This Row],[Annual Salary]]</f>
        <v>57225</v>
      </c>
      <c r="P600" t="str">
        <f>IF(AND(TBL_Employees3[[#This Row],[Department]]="IT",TBL_Employees3[[#This Row],[Gender]]="Female"),"Yes","No")</f>
        <v>No</v>
      </c>
      <c r="Q600" t="str">
        <f>IF(AND(TBL_Employees3[[#This Row],[Gender]]="Female",TBL_Employees3[[#This Row],[Ethnicity]]="Black"), "Female_Black", "Others")</f>
        <v>Others</v>
      </c>
    </row>
    <row r="601" spans="1:17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6">
        <v>40233</v>
      </c>
      <c r="J601" s="54">
        <v>102839</v>
      </c>
      <c r="K601" s="1">
        <v>0.05</v>
      </c>
      <c r="L601" t="s">
        <v>19</v>
      </c>
      <c r="M601" t="s">
        <v>45</v>
      </c>
      <c r="N601" s="6" t="s">
        <v>21</v>
      </c>
      <c r="O601" s="54">
        <f>TBL_Employees3[[#This Row],[Annual Salary]]+TBL_Employees3[[#This Row],[Bonus %]]*TBL_Employees3[[#This Row],[Annual Salary]]</f>
        <v>107980.95</v>
      </c>
      <c r="P601" t="str">
        <f>IF(AND(TBL_Employees3[[#This Row],[Department]]="IT",TBL_Employees3[[#This Row],[Gender]]="Female"),"Yes","No")</f>
        <v>No</v>
      </c>
      <c r="Q601" t="str">
        <f>IF(AND(TBL_Employees3[[#This Row],[Gender]]="Female",TBL_Employees3[[#This Row],[Ethnicity]]="Black"), "Female_Black", "Others")</f>
        <v>Others</v>
      </c>
    </row>
    <row r="602" spans="1:17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6">
        <v>44454</v>
      </c>
      <c r="J602" s="54">
        <v>199783</v>
      </c>
      <c r="K602" s="1">
        <v>0.21</v>
      </c>
      <c r="L602" t="s">
        <v>19</v>
      </c>
      <c r="M602" t="s">
        <v>20</v>
      </c>
      <c r="N602" s="6">
        <v>44661</v>
      </c>
      <c r="O602" s="54">
        <f>TBL_Employees3[[#This Row],[Annual Salary]]+TBL_Employees3[[#This Row],[Bonus %]]*TBL_Employees3[[#This Row],[Annual Salary]]</f>
        <v>241737.43</v>
      </c>
      <c r="P602" t="str">
        <f>IF(AND(TBL_Employees3[[#This Row],[Department]]="IT",TBL_Employees3[[#This Row],[Gender]]="Female"),"Yes","No")</f>
        <v>No</v>
      </c>
      <c r="Q602" t="str">
        <f>IF(AND(TBL_Employees3[[#This Row],[Gender]]="Female",TBL_Employees3[[#This Row],[Ethnicity]]="Black"), "Female_Black", "Others")</f>
        <v>Others</v>
      </c>
    </row>
    <row r="603" spans="1:17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6">
        <v>44295</v>
      </c>
      <c r="J603" s="54">
        <v>70980</v>
      </c>
      <c r="K603" s="1">
        <v>0</v>
      </c>
      <c r="L603" t="s">
        <v>52</v>
      </c>
      <c r="M603" t="s">
        <v>66</v>
      </c>
      <c r="N603" s="6" t="s">
        <v>21</v>
      </c>
      <c r="O603" s="54">
        <f>TBL_Employees3[[#This Row],[Annual Salary]]+TBL_Employees3[[#This Row],[Bonus %]]*TBL_Employees3[[#This Row],[Annual Salary]]</f>
        <v>70980</v>
      </c>
      <c r="P603" t="str">
        <f>IF(AND(TBL_Employees3[[#This Row],[Department]]="IT",TBL_Employees3[[#This Row],[Gender]]="Female"),"Yes","No")</f>
        <v>No</v>
      </c>
      <c r="Q603" t="str">
        <f>IF(AND(TBL_Employees3[[#This Row],[Gender]]="Female",TBL_Employees3[[#This Row],[Ethnicity]]="Black"), "Female_Black", "Others")</f>
        <v>Others</v>
      </c>
    </row>
    <row r="604" spans="1:17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6">
        <v>35456</v>
      </c>
      <c r="J604" s="54">
        <v>104431</v>
      </c>
      <c r="K604" s="1">
        <v>7.0000000000000007E-2</v>
      </c>
      <c r="L604" t="s">
        <v>19</v>
      </c>
      <c r="M604" t="s">
        <v>39</v>
      </c>
      <c r="N604" s="6" t="s">
        <v>21</v>
      </c>
      <c r="O604" s="54">
        <f>TBL_Employees3[[#This Row],[Annual Salary]]+TBL_Employees3[[#This Row],[Bonus %]]*TBL_Employees3[[#This Row],[Annual Salary]]</f>
        <v>111741.17</v>
      </c>
      <c r="P604" t="str">
        <f>IF(AND(TBL_Employees3[[#This Row],[Department]]="IT",TBL_Employees3[[#This Row],[Gender]]="Female"),"Yes","No")</f>
        <v>No</v>
      </c>
      <c r="Q604" t="str">
        <f>IF(AND(TBL_Employees3[[#This Row],[Gender]]="Female",TBL_Employees3[[#This Row],[Ethnicity]]="Black"), "Female_Black", "Others")</f>
        <v>Others</v>
      </c>
    </row>
    <row r="605" spans="1:17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6">
        <v>44374</v>
      </c>
      <c r="J605" s="54">
        <v>48510</v>
      </c>
      <c r="K605" s="1">
        <v>0</v>
      </c>
      <c r="L605" t="s">
        <v>19</v>
      </c>
      <c r="M605" t="s">
        <v>20</v>
      </c>
      <c r="N605" s="6" t="s">
        <v>21</v>
      </c>
      <c r="O605" s="54">
        <f>TBL_Employees3[[#This Row],[Annual Salary]]+TBL_Employees3[[#This Row],[Bonus %]]*TBL_Employees3[[#This Row],[Annual Salary]]</f>
        <v>48510</v>
      </c>
      <c r="P605" t="str">
        <f>IF(AND(TBL_Employees3[[#This Row],[Department]]="IT",TBL_Employees3[[#This Row],[Gender]]="Female"),"Yes","No")</f>
        <v>No</v>
      </c>
      <c r="Q605" t="str">
        <f>IF(AND(TBL_Employees3[[#This Row],[Gender]]="Female",TBL_Employees3[[#This Row],[Ethnicity]]="Black"), "Female_Black", "Others")</f>
        <v>Others</v>
      </c>
    </row>
    <row r="606" spans="1:17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6">
        <v>43613</v>
      </c>
      <c r="J606" s="54">
        <v>70110</v>
      </c>
      <c r="K606" s="1">
        <v>0</v>
      </c>
      <c r="L606" t="s">
        <v>19</v>
      </c>
      <c r="M606" t="s">
        <v>45</v>
      </c>
      <c r="N606" s="6">
        <v>44203</v>
      </c>
      <c r="O606" s="54">
        <f>TBL_Employees3[[#This Row],[Annual Salary]]+TBL_Employees3[[#This Row],[Bonus %]]*TBL_Employees3[[#This Row],[Annual Salary]]</f>
        <v>70110</v>
      </c>
      <c r="P606" t="str">
        <f>IF(AND(TBL_Employees3[[#This Row],[Department]]="IT",TBL_Employees3[[#This Row],[Gender]]="Female"),"Yes","No")</f>
        <v>No</v>
      </c>
      <c r="Q606" t="str">
        <f>IF(AND(TBL_Employees3[[#This Row],[Gender]]="Female",TBL_Employees3[[#This Row],[Ethnicity]]="Black"), "Female_Black", "Others")</f>
        <v>Others</v>
      </c>
    </row>
    <row r="607" spans="1:17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6">
        <v>39519</v>
      </c>
      <c r="J607" s="54">
        <v>186138</v>
      </c>
      <c r="K607" s="1">
        <v>0.28000000000000003</v>
      </c>
      <c r="L607" t="s">
        <v>33</v>
      </c>
      <c r="M607" t="s">
        <v>80</v>
      </c>
      <c r="N607" s="6" t="s">
        <v>21</v>
      </c>
      <c r="O607" s="54">
        <f>TBL_Employees3[[#This Row],[Annual Salary]]+TBL_Employees3[[#This Row],[Bonus %]]*TBL_Employees3[[#This Row],[Annual Salary]]</f>
        <v>238256.64000000001</v>
      </c>
      <c r="P607" t="str">
        <f>IF(AND(TBL_Employees3[[#This Row],[Department]]="IT",TBL_Employees3[[#This Row],[Gender]]="Female"),"Yes","No")</f>
        <v>No</v>
      </c>
      <c r="Q607" t="str">
        <f>IF(AND(TBL_Employees3[[#This Row],[Gender]]="Female",TBL_Employees3[[#This Row],[Ethnicity]]="Black"), "Female_Black", "Others")</f>
        <v>Others</v>
      </c>
    </row>
    <row r="608" spans="1:17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6">
        <v>40287</v>
      </c>
      <c r="J608" s="54">
        <v>56350</v>
      </c>
      <c r="K608" s="1">
        <v>0</v>
      </c>
      <c r="L608" t="s">
        <v>52</v>
      </c>
      <c r="M608" t="s">
        <v>66</v>
      </c>
      <c r="N608" s="6" t="s">
        <v>21</v>
      </c>
      <c r="O608" s="54">
        <f>TBL_Employees3[[#This Row],[Annual Salary]]+TBL_Employees3[[#This Row],[Bonus %]]*TBL_Employees3[[#This Row],[Annual Salary]]</f>
        <v>56350</v>
      </c>
      <c r="P608" t="str">
        <f>IF(AND(TBL_Employees3[[#This Row],[Department]]="IT",TBL_Employees3[[#This Row],[Gender]]="Female"),"Yes","No")</f>
        <v>No</v>
      </c>
      <c r="Q608" t="str">
        <f>IF(AND(TBL_Employees3[[#This Row],[Gender]]="Female",TBL_Employees3[[#This Row],[Ethnicity]]="Black"), "Female_Black", "Others")</f>
        <v>Others</v>
      </c>
    </row>
    <row r="609" spans="1:17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6">
        <v>42379</v>
      </c>
      <c r="J609" s="54">
        <v>149761</v>
      </c>
      <c r="K609" s="1">
        <v>0.12</v>
      </c>
      <c r="L609" t="s">
        <v>19</v>
      </c>
      <c r="M609" t="s">
        <v>29</v>
      </c>
      <c r="N609" s="6" t="s">
        <v>21</v>
      </c>
      <c r="O609" s="54">
        <f>TBL_Employees3[[#This Row],[Annual Salary]]+TBL_Employees3[[#This Row],[Bonus %]]*TBL_Employees3[[#This Row],[Annual Salary]]</f>
        <v>167732.32</v>
      </c>
      <c r="P609" t="str">
        <f>IF(AND(TBL_Employees3[[#This Row],[Department]]="IT",TBL_Employees3[[#This Row],[Gender]]="Female"),"Yes","No")</f>
        <v>No</v>
      </c>
      <c r="Q609" t="str">
        <f>IF(AND(TBL_Employees3[[#This Row],[Gender]]="Female",TBL_Employees3[[#This Row],[Ethnicity]]="Black"), "Female_Black", "Others")</f>
        <v>Others</v>
      </c>
    </row>
    <row r="610" spans="1:17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6">
        <v>39305</v>
      </c>
      <c r="J610" s="54">
        <v>126277</v>
      </c>
      <c r="K610" s="1">
        <v>0.13</v>
      </c>
      <c r="L610" t="s">
        <v>52</v>
      </c>
      <c r="M610" t="s">
        <v>81</v>
      </c>
      <c r="N610" s="6" t="s">
        <v>21</v>
      </c>
      <c r="O610" s="54">
        <f>TBL_Employees3[[#This Row],[Annual Salary]]+TBL_Employees3[[#This Row],[Bonus %]]*TBL_Employees3[[#This Row],[Annual Salary]]</f>
        <v>142693.01</v>
      </c>
      <c r="P610" t="str">
        <f>IF(AND(TBL_Employees3[[#This Row],[Department]]="IT",TBL_Employees3[[#This Row],[Gender]]="Female"),"Yes","No")</f>
        <v>No</v>
      </c>
      <c r="Q610" t="str">
        <f>IF(AND(TBL_Employees3[[#This Row],[Gender]]="Female",TBL_Employees3[[#This Row],[Ethnicity]]="Black"), "Female_Black", "Others")</f>
        <v>Others</v>
      </c>
    </row>
    <row r="611" spans="1:17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6">
        <v>41446</v>
      </c>
      <c r="J611" s="54">
        <v>119631</v>
      </c>
      <c r="K611" s="1">
        <v>0.06</v>
      </c>
      <c r="L611" t="s">
        <v>19</v>
      </c>
      <c r="M611" t="s">
        <v>39</v>
      </c>
      <c r="N611" s="6" t="s">
        <v>21</v>
      </c>
      <c r="O611" s="54">
        <f>TBL_Employees3[[#This Row],[Annual Salary]]+TBL_Employees3[[#This Row],[Bonus %]]*TBL_Employees3[[#This Row],[Annual Salary]]</f>
        <v>126808.86</v>
      </c>
      <c r="P611" t="str">
        <f>IF(AND(TBL_Employees3[[#This Row],[Department]]="IT",TBL_Employees3[[#This Row],[Gender]]="Female"),"Yes","No")</f>
        <v>No</v>
      </c>
      <c r="Q611" t="str">
        <f>IF(AND(TBL_Employees3[[#This Row],[Gender]]="Female",TBL_Employees3[[#This Row],[Ethnicity]]="Black"), "Female_Black", "Others")</f>
        <v>Others</v>
      </c>
    </row>
    <row r="612" spans="1:17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6">
        <v>43960</v>
      </c>
      <c r="J612" s="54">
        <v>256561</v>
      </c>
      <c r="K612" s="1">
        <v>0.39</v>
      </c>
      <c r="L612" t="s">
        <v>19</v>
      </c>
      <c r="M612" t="s">
        <v>25</v>
      </c>
      <c r="N612" s="6" t="s">
        <v>21</v>
      </c>
      <c r="O612" s="54">
        <f>TBL_Employees3[[#This Row],[Annual Salary]]+TBL_Employees3[[#This Row],[Bonus %]]*TBL_Employees3[[#This Row],[Annual Salary]]</f>
        <v>356619.79000000004</v>
      </c>
      <c r="P612" t="str">
        <f>IF(AND(TBL_Employees3[[#This Row],[Department]]="IT",TBL_Employees3[[#This Row],[Gender]]="Female"),"Yes","No")</f>
        <v>No</v>
      </c>
      <c r="Q612" t="str">
        <f>IF(AND(TBL_Employees3[[#This Row],[Gender]]="Female",TBL_Employees3[[#This Row],[Ethnicity]]="Black"), "Female_Black", "Others")</f>
        <v>Others</v>
      </c>
    </row>
    <row r="613" spans="1:17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6">
        <v>43937</v>
      </c>
      <c r="J613" s="54">
        <v>66958</v>
      </c>
      <c r="K613" s="1">
        <v>0</v>
      </c>
      <c r="L613" t="s">
        <v>19</v>
      </c>
      <c r="M613" t="s">
        <v>45</v>
      </c>
      <c r="N613" s="6" t="s">
        <v>21</v>
      </c>
      <c r="O613" s="54">
        <f>TBL_Employees3[[#This Row],[Annual Salary]]+TBL_Employees3[[#This Row],[Bonus %]]*TBL_Employees3[[#This Row],[Annual Salary]]</f>
        <v>66958</v>
      </c>
      <c r="P613" t="str">
        <f>IF(AND(TBL_Employees3[[#This Row],[Department]]="IT",TBL_Employees3[[#This Row],[Gender]]="Female"),"Yes","No")</f>
        <v>Yes</v>
      </c>
      <c r="Q613" t="str">
        <f>IF(AND(TBL_Employees3[[#This Row],[Gender]]="Female",TBL_Employees3[[#This Row],[Ethnicity]]="Black"), "Female_Black", "Others")</f>
        <v>Others</v>
      </c>
    </row>
    <row r="614" spans="1:17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6">
        <v>38046</v>
      </c>
      <c r="J614" s="54">
        <v>158897</v>
      </c>
      <c r="K614" s="1">
        <v>0.1</v>
      </c>
      <c r="L614" t="s">
        <v>33</v>
      </c>
      <c r="M614" t="s">
        <v>80</v>
      </c>
      <c r="N614" s="6" t="s">
        <v>21</v>
      </c>
      <c r="O614" s="54">
        <f>TBL_Employees3[[#This Row],[Annual Salary]]+TBL_Employees3[[#This Row],[Bonus %]]*TBL_Employees3[[#This Row],[Annual Salary]]</f>
        <v>174786.7</v>
      </c>
      <c r="P614" t="str">
        <f>IF(AND(TBL_Employees3[[#This Row],[Department]]="IT",TBL_Employees3[[#This Row],[Gender]]="Female"),"Yes","No")</f>
        <v>No</v>
      </c>
      <c r="Q614" t="str">
        <f>IF(AND(TBL_Employees3[[#This Row],[Gender]]="Female",TBL_Employees3[[#This Row],[Ethnicity]]="Black"), "Female_Black", "Others")</f>
        <v>Others</v>
      </c>
    </row>
    <row r="615" spans="1:17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6">
        <v>39493</v>
      </c>
      <c r="J615" s="54">
        <v>71695</v>
      </c>
      <c r="K615" s="1">
        <v>0</v>
      </c>
      <c r="L615" t="s">
        <v>19</v>
      </c>
      <c r="M615" t="s">
        <v>39</v>
      </c>
      <c r="N615" s="6" t="s">
        <v>21</v>
      </c>
      <c r="O615" s="54">
        <f>TBL_Employees3[[#This Row],[Annual Salary]]+TBL_Employees3[[#This Row],[Bonus %]]*TBL_Employees3[[#This Row],[Annual Salary]]</f>
        <v>71695</v>
      </c>
      <c r="P615" t="str">
        <f>IF(AND(TBL_Employees3[[#This Row],[Department]]="IT",TBL_Employees3[[#This Row],[Gender]]="Female"),"Yes","No")</f>
        <v>No</v>
      </c>
      <c r="Q615" t="str">
        <f>IF(AND(TBL_Employees3[[#This Row],[Gender]]="Female",TBL_Employees3[[#This Row],[Ethnicity]]="Black"), "Female_Black", "Others")</f>
        <v>Others</v>
      </c>
    </row>
    <row r="616" spans="1:17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6">
        <v>41904</v>
      </c>
      <c r="J616" s="54">
        <v>73779</v>
      </c>
      <c r="K616" s="1">
        <v>0</v>
      </c>
      <c r="L616" t="s">
        <v>33</v>
      </c>
      <c r="M616" t="s">
        <v>80</v>
      </c>
      <c r="N616" s="6">
        <v>43594</v>
      </c>
      <c r="O616" s="54">
        <f>TBL_Employees3[[#This Row],[Annual Salary]]+TBL_Employees3[[#This Row],[Bonus %]]*TBL_Employees3[[#This Row],[Annual Salary]]</f>
        <v>73779</v>
      </c>
      <c r="P616" t="str">
        <f>IF(AND(TBL_Employees3[[#This Row],[Department]]="IT",TBL_Employees3[[#This Row],[Gender]]="Female"),"Yes","No")</f>
        <v>No</v>
      </c>
      <c r="Q616" t="str">
        <f>IF(AND(TBL_Employees3[[#This Row],[Gender]]="Female",TBL_Employees3[[#This Row],[Ethnicity]]="Black"), "Female_Black", "Others")</f>
        <v>Others</v>
      </c>
    </row>
    <row r="617" spans="1:17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6">
        <v>40836</v>
      </c>
      <c r="J617" s="54">
        <v>123640</v>
      </c>
      <c r="K617" s="1">
        <v>7.0000000000000007E-2</v>
      </c>
      <c r="L617" t="s">
        <v>33</v>
      </c>
      <c r="M617" t="s">
        <v>74</v>
      </c>
      <c r="N617" s="6" t="s">
        <v>21</v>
      </c>
      <c r="O617" s="54">
        <f>TBL_Employees3[[#This Row],[Annual Salary]]+TBL_Employees3[[#This Row],[Bonus %]]*TBL_Employees3[[#This Row],[Annual Salary]]</f>
        <v>132294.79999999999</v>
      </c>
      <c r="P617" t="str">
        <f>IF(AND(TBL_Employees3[[#This Row],[Department]]="IT",TBL_Employees3[[#This Row],[Gender]]="Female"),"Yes","No")</f>
        <v>No</v>
      </c>
      <c r="Q617" t="str">
        <f>IF(AND(TBL_Employees3[[#This Row],[Gender]]="Female",TBL_Employees3[[#This Row],[Ethnicity]]="Black"), "Female_Black", "Others")</f>
        <v>Others</v>
      </c>
    </row>
    <row r="618" spans="1:17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6">
        <v>41742</v>
      </c>
      <c r="J618" s="54">
        <v>46878</v>
      </c>
      <c r="K618" s="1">
        <v>0</v>
      </c>
      <c r="L618" t="s">
        <v>19</v>
      </c>
      <c r="M618" t="s">
        <v>45</v>
      </c>
      <c r="N618" s="6" t="s">
        <v>21</v>
      </c>
      <c r="O618" s="54">
        <f>TBL_Employees3[[#This Row],[Annual Salary]]+TBL_Employees3[[#This Row],[Bonus %]]*TBL_Employees3[[#This Row],[Annual Salary]]</f>
        <v>46878</v>
      </c>
      <c r="P618" t="str">
        <f>IF(AND(TBL_Employees3[[#This Row],[Department]]="IT",TBL_Employees3[[#This Row],[Gender]]="Female"),"Yes","No")</f>
        <v>No</v>
      </c>
      <c r="Q618" t="str">
        <f>IF(AND(TBL_Employees3[[#This Row],[Gender]]="Female",TBL_Employees3[[#This Row],[Ethnicity]]="Black"), "Female_Black", "Others")</f>
        <v>Others</v>
      </c>
    </row>
    <row r="619" spans="1:17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6">
        <v>37662</v>
      </c>
      <c r="J619" s="54">
        <v>57032</v>
      </c>
      <c r="K619" s="1">
        <v>0</v>
      </c>
      <c r="L619" t="s">
        <v>19</v>
      </c>
      <c r="M619" t="s">
        <v>45</v>
      </c>
      <c r="N619" s="6" t="s">
        <v>21</v>
      </c>
      <c r="O619" s="54">
        <f>TBL_Employees3[[#This Row],[Annual Salary]]+TBL_Employees3[[#This Row],[Bonus %]]*TBL_Employees3[[#This Row],[Annual Salary]]</f>
        <v>57032</v>
      </c>
      <c r="P619" t="str">
        <f>IF(AND(TBL_Employees3[[#This Row],[Department]]="IT",TBL_Employees3[[#This Row],[Gender]]="Female"),"Yes","No")</f>
        <v>No</v>
      </c>
      <c r="Q619" t="str">
        <f>IF(AND(TBL_Employees3[[#This Row],[Gender]]="Female",TBL_Employees3[[#This Row],[Ethnicity]]="Black"), "Female_Black", "Others")</f>
        <v>Others</v>
      </c>
    </row>
    <row r="620" spans="1:17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6">
        <v>39357</v>
      </c>
      <c r="J620" s="54">
        <v>98150</v>
      </c>
      <c r="K620" s="1">
        <v>0</v>
      </c>
      <c r="L620" t="s">
        <v>52</v>
      </c>
      <c r="M620" t="s">
        <v>66</v>
      </c>
      <c r="N620" s="6" t="s">
        <v>21</v>
      </c>
      <c r="O620" s="54">
        <f>TBL_Employees3[[#This Row],[Annual Salary]]+TBL_Employees3[[#This Row],[Bonus %]]*TBL_Employees3[[#This Row],[Annual Salary]]</f>
        <v>98150</v>
      </c>
      <c r="P620" t="str">
        <f>IF(AND(TBL_Employees3[[#This Row],[Department]]="IT",TBL_Employees3[[#This Row],[Gender]]="Female"),"Yes","No")</f>
        <v>No</v>
      </c>
      <c r="Q620" t="str">
        <f>IF(AND(TBL_Employees3[[#This Row],[Gender]]="Female",TBL_Employees3[[#This Row],[Ethnicity]]="Black"), "Female_Black", "Others")</f>
        <v>Others</v>
      </c>
    </row>
    <row r="621" spans="1:17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6">
        <v>42800</v>
      </c>
      <c r="J621" s="54">
        <v>171426</v>
      </c>
      <c r="K621" s="1">
        <v>0.15</v>
      </c>
      <c r="L621" t="s">
        <v>33</v>
      </c>
      <c r="M621" t="s">
        <v>60</v>
      </c>
      <c r="N621" s="6">
        <v>43000</v>
      </c>
      <c r="O621" s="54">
        <f>TBL_Employees3[[#This Row],[Annual Salary]]+TBL_Employees3[[#This Row],[Bonus %]]*TBL_Employees3[[#This Row],[Annual Salary]]</f>
        <v>197139.9</v>
      </c>
      <c r="P621" t="str">
        <f>IF(AND(TBL_Employees3[[#This Row],[Department]]="IT",TBL_Employees3[[#This Row],[Gender]]="Female"),"Yes","No")</f>
        <v>No</v>
      </c>
      <c r="Q621" t="str">
        <f>IF(AND(TBL_Employees3[[#This Row],[Gender]]="Female",TBL_Employees3[[#This Row],[Ethnicity]]="Black"), "Female_Black", "Others")</f>
        <v>Others</v>
      </c>
    </row>
    <row r="622" spans="1:17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6">
        <v>44302</v>
      </c>
      <c r="J622" s="54">
        <v>48266</v>
      </c>
      <c r="K622" s="1">
        <v>0</v>
      </c>
      <c r="L622" t="s">
        <v>19</v>
      </c>
      <c r="M622" t="s">
        <v>20</v>
      </c>
      <c r="N622" s="6" t="s">
        <v>21</v>
      </c>
      <c r="O622" s="54">
        <f>TBL_Employees3[[#This Row],[Annual Salary]]+TBL_Employees3[[#This Row],[Bonus %]]*TBL_Employees3[[#This Row],[Annual Salary]]</f>
        <v>48266</v>
      </c>
      <c r="P622" t="str">
        <f>IF(AND(TBL_Employees3[[#This Row],[Department]]="IT",TBL_Employees3[[#This Row],[Gender]]="Female"),"Yes","No")</f>
        <v>No</v>
      </c>
      <c r="Q622" t="str">
        <f>IF(AND(TBL_Employees3[[#This Row],[Gender]]="Female",TBL_Employees3[[#This Row],[Ethnicity]]="Black"), "Female_Black", "Others")</f>
        <v>Others</v>
      </c>
    </row>
    <row r="623" spans="1:17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6">
        <v>43330</v>
      </c>
      <c r="J623" s="54">
        <v>223404</v>
      </c>
      <c r="K623" s="1">
        <v>0.32</v>
      </c>
      <c r="L623" t="s">
        <v>19</v>
      </c>
      <c r="M623" t="s">
        <v>29</v>
      </c>
      <c r="N623" s="6" t="s">
        <v>21</v>
      </c>
      <c r="O623" s="54">
        <f>TBL_Employees3[[#This Row],[Annual Salary]]+TBL_Employees3[[#This Row],[Bonus %]]*TBL_Employees3[[#This Row],[Annual Salary]]</f>
        <v>294893.28000000003</v>
      </c>
      <c r="P623" t="str">
        <f>IF(AND(TBL_Employees3[[#This Row],[Department]]="IT",TBL_Employees3[[#This Row],[Gender]]="Female"),"Yes","No")</f>
        <v>No</v>
      </c>
      <c r="Q623" t="str">
        <f>IF(AND(TBL_Employees3[[#This Row],[Gender]]="Female",TBL_Employees3[[#This Row],[Ethnicity]]="Black"), "Female_Black", "Others")</f>
        <v>Others</v>
      </c>
    </row>
    <row r="624" spans="1:17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6">
        <v>41649</v>
      </c>
      <c r="J624" s="54">
        <v>74854</v>
      </c>
      <c r="K624" s="1">
        <v>0</v>
      </c>
      <c r="L624" t="s">
        <v>19</v>
      </c>
      <c r="M624" t="s">
        <v>63</v>
      </c>
      <c r="N624" s="6" t="s">
        <v>21</v>
      </c>
      <c r="O624" s="54">
        <f>TBL_Employees3[[#This Row],[Annual Salary]]+TBL_Employees3[[#This Row],[Bonus %]]*TBL_Employees3[[#This Row],[Annual Salary]]</f>
        <v>74854</v>
      </c>
      <c r="P624" t="str">
        <f>IF(AND(TBL_Employees3[[#This Row],[Department]]="IT",TBL_Employees3[[#This Row],[Gender]]="Female"),"Yes","No")</f>
        <v>Yes</v>
      </c>
      <c r="Q624" t="str">
        <f>IF(AND(TBL_Employees3[[#This Row],[Gender]]="Female",TBL_Employees3[[#This Row],[Ethnicity]]="Black"), "Female_Black", "Others")</f>
        <v>Others</v>
      </c>
    </row>
    <row r="625" spans="1:17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6">
        <v>39197</v>
      </c>
      <c r="J625" s="54">
        <v>217783</v>
      </c>
      <c r="K625" s="1">
        <v>0.36</v>
      </c>
      <c r="L625" t="s">
        <v>19</v>
      </c>
      <c r="M625" t="s">
        <v>63</v>
      </c>
      <c r="N625" s="6" t="s">
        <v>21</v>
      </c>
      <c r="O625" s="54">
        <f>TBL_Employees3[[#This Row],[Annual Salary]]+TBL_Employees3[[#This Row],[Bonus %]]*TBL_Employees3[[#This Row],[Annual Salary]]</f>
        <v>296184.88</v>
      </c>
      <c r="P625" t="str">
        <f>IF(AND(TBL_Employees3[[#This Row],[Department]]="IT",TBL_Employees3[[#This Row],[Gender]]="Female"),"Yes","No")</f>
        <v>No</v>
      </c>
      <c r="Q625" t="str">
        <f>IF(AND(TBL_Employees3[[#This Row],[Gender]]="Female",TBL_Employees3[[#This Row],[Ethnicity]]="Black"), "Female_Black", "Others")</f>
        <v>Others</v>
      </c>
    </row>
    <row r="626" spans="1:17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6">
        <v>38214</v>
      </c>
      <c r="J626" s="54">
        <v>44735</v>
      </c>
      <c r="K626" s="1">
        <v>0</v>
      </c>
      <c r="L626" t="s">
        <v>52</v>
      </c>
      <c r="M626" t="s">
        <v>81</v>
      </c>
      <c r="N626" s="6" t="s">
        <v>21</v>
      </c>
      <c r="O626" s="54">
        <f>TBL_Employees3[[#This Row],[Annual Salary]]+TBL_Employees3[[#This Row],[Bonus %]]*TBL_Employees3[[#This Row],[Annual Salary]]</f>
        <v>44735</v>
      </c>
      <c r="P626" t="str">
        <f>IF(AND(TBL_Employees3[[#This Row],[Department]]="IT",TBL_Employees3[[#This Row],[Gender]]="Female"),"Yes","No")</f>
        <v>Yes</v>
      </c>
      <c r="Q626" t="str">
        <f>IF(AND(TBL_Employees3[[#This Row],[Gender]]="Female",TBL_Employees3[[#This Row],[Ethnicity]]="Black"), "Female_Black", "Others")</f>
        <v>Others</v>
      </c>
    </row>
    <row r="627" spans="1:17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6">
        <v>39091</v>
      </c>
      <c r="J627" s="54">
        <v>50685</v>
      </c>
      <c r="K627" s="1">
        <v>0</v>
      </c>
      <c r="L627" t="s">
        <v>19</v>
      </c>
      <c r="M627" t="s">
        <v>29</v>
      </c>
      <c r="N627" s="6" t="s">
        <v>21</v>
      </c>
      <c r="O627" s="54">
        <f>TBL_Employees3[[#This Row],[Annual Salary]]+TBL_Employees3[[#This Row],[Bonus %]]*TBL_Employees3[[#This Row],[Annual Salary]]</f>
        <v>50685</v>
      </c>
      <c r="P627" t="str">
        <f>IF(AND(TBL_Employees3[[#This Row],[Department]]="IT",TBL_Employees3[[#This Row],[Gender]]="Female"),"Yes","No")</f>
        <v>No</v>
      </c>
      <c r="Q627" t="str">
        <f>IF(AND(TBL_Employees3[[#This Row],[Gender]]="Female",TBL_Employees3[[#This Row],[Ethnicity]]="Black"), "Female_Black", "Others")</f>
        <v>Others</v>
      </c>
    </row>
    <row r="628" spans="1:17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6">
        <v>43169</v>
      </c>
      <c r="J628" s="54">
        <v>58993</v>
      </c>
      <c r="K628" s="1">
        <v>0</v>
      </c>
      <c r="L628" t="s">
        <v>19</v>
      </c>
      <c r="M628" t="s">
        <v>25</v>
      </c>
      <c r="N628" s="6" t="s">
        <v>21</v>
      </c>
      <c r="O628" s="54">
        <f>TBL_Employees3[[#This Row],[Annual Salary]]+TBL_Employees3[[#This Row],[Bonus %]]*TBL_Employees3[[#This Row],[Annual Salary]]</f>
        <v>58993</v>
      </c>
      <c r="P628" t="str">
        <f>IF(AND(TBL_Employees3[[#This Row],[Department]]="IT",TBL_Employees3[[#This Row],[Gender]]="Female"),"Yes","No")</f>
        <v>No</v>
      </c>
      <c r="Q628" t="str">
        <f>IF(AND(TBL_Employees3[[#This Row],[Gender]]="Female",TBL_Employees3[[#This Row],[Ethnicity]]="Black"), "Female_Black", "Others")</f>
        <v>Others</v>
      </c>
    </row>
    <row r="629" spans="1:17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6">
        <v>43990</v>
      </c>
      <c r="J629" s="54">
        <v>115765</v>
      </c>
      <c r="K629" s="1">
        <v>0</v>
      </c>
      <c r="L629" t="s">
        <v>19</v>
      </c>
      <c r="M629" t="s">
        <v>45</v>
      </c>
      <c r="N629" s="6">
        <v>44229</v>
      </c>
      <c r="O629" s="54">
        <f>TBL_Employees3[[#This Row],[Annual Salary]]+TBL_Employees3[[#This Row],[Bonus %]]*TBL_Employees3[[#This Row],[Annual Salary]]</f>
        <v>115765</v>
      </c>
      <c r="P629" t="str">
        <f>IF(AND(TBL_Employees3[[#This Row],[Department]]="IT",TBL_Employees3[[#This Row],[Gender]]="Female"),"Yes","No")</f>
        <v>No</v>
      </c>
      <c r="Q629" t="str">
        <f>IF(AND(TBL_Employees3[[#This Row],[Gender]]="Female",TBL_Employees3[[#This Row],[Ethnicity]]="Black"), "Female_Black", "Others")</f>
        <v>Others</v>
      </c>
    </row>
    <row r="630" spans="1:17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6">
        <v>39147</v>
      </c>
      <c r="J630" s="54">
        <v>193044</v>
      </c>
      <c r="K630" s="1">
        <v>0.15</v>
      </c>
      <c r="L630" t="s">
        <v>19</v>
      </c>
      <c r="M630" t="s">
        <v>45</v>
      </c>
      <c r="N630" s="6" t="s">
        <v>21</v>
      </c>
      <c r="O630" s="54">
        <f>TBL_Employees3[[#This Row],[Annual Salary]]+TBL_Employees3[[#This Row],[Bonus %]]*TBL_Employees3[[#This Row],[Annual Salary]]</f>
        <v>222000.6</v>
      </c>
      <c r="P630" t="str">
        <f>IF(AND(TBL_Employees3[[#This Row],[Department]]="IT",TBL_Employees3[[#This Row],[Gender]]="Female"),"Yes","No")</f>
        <v>No</v>
      </c>
      <c r="Q630" t="str">
        <f>IF(AND(TBL_Employees3[[#This Row],[Gender]]="Female",TBL_Employees3[[#This Row],[Ethnicity]]="Black"), "Female_Black", "Others")</f>
        <v>Others</v>
      </c>
    </row>
    <row r="631" spans="1:17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6">
        <v>40711</v>
      </c>
      <c r="J631" s="54">
        <v>56686</v>
      </c>
      <c r="K631" s="1">
        <v>0</v>
      </c>
      <c r="L631" t="s">
        <v>19</v>
      </c>
      <c r="M631" t="s">
        <v>63</v>
      </c>
      <c r="N631" s="6">
        <v>42164</v>
      </c>
      <c r="O631" s="54">
        <f>TBL_Employees3[[#This Row],[Annual Salary]]+TBL_Employees3[[#This Row],[Bonus %]]*TBL_Employees3[[#This Row],[Annual Salary]]</f>
        <v>56686</v>
      </c>
      <c r="P631" t="str">
        <f>IF(AND(TBL_Employees3[[#This Row],[Department]]="IT",TBL_Employees3[[#This Row],[Gender]]="Female"),"Yes","No")</f>
        <v>No</v>
      </c>
      <c r="Q631" t="str">
        <f>IF(AND(TBL_Employees3[[#This Row],[Gender]]="Female",TBL_Employees3[[#This Row],[Ethnicity]]="Black"), "Female_Black", "Others")</f>
        <v>Female_Black</v>
      </c>
    </row>
    <row r="632" spans="1:17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6">
        <v>43763</v>
      </c>
      <c r="J632" s="54">
        <v>131652</v>
      </c>
      <c r="K632" s="1">
        <v>0.11</v>
      </c>
      <c r="L632" t="s">
        <v>19</v>
      </c>
      <c r="M632" t="s">
        <v>63</v>
      </c>
      <c r="N632" s="6" t="s">
        <v>21</v>
      </c>
      <c r="O632" s="54">
        <f>TBL_Employees3[[#This Row],[Annual Salary]]+TBL_Employees3[[#This Row],[Bonus %]]*TBL_Employees3[[#This Row],[Annual Salary]]</f>
        <v>146133.72</v>
      </c>
      <c r="P632" t="str">
        <f>IF(AND(TBL_Employees3[[#This Row],[Department]]="IT",TBL_Employees3[[#This Row],[Gender]]="Female"),"Yes","No")</f>
        <v>No</v>
      </c>
      <c r="Q632" t="str">
        <f>IF(AND(TBL_Employees3[[#This Row],[Gender]]="Female",TBL_Employees3[[#This Row],[Ethnicity]]="Black"), "Female_Black", "Others")</f>
        <v>Female_Black</v>
      </c>
    </row>
    <row r="633" spans="1:17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6">
        <v>39507</v>
      </c>
      <c r="J633" s="54">
        <v>150577</v>
      </c>
      <c r="K633" s="1">
        <v>0.25</v>
      </c>
      <c r="L633" t="s">
        <v>19</v>
      </c>
      <c r="M633" t="s">
        <v>45</v>
      </c>
      <c r="N633" s="6" t="s">
        <v>21</v>
      </c>
      <c r="O633" s="54">
        <f>TBL_Employees3[[#This Row],[Annual Salary]]+TBL_Employees3[[#This Row],[Bonus %]]*TBL_Employees3[[#This Row],[Annual Salary]]</f>
        <v>188221.25</v>
      </c>
      <c r="P633" t="str">
        <f>IF(AND(TBL_Employees3[[#This Row],[Department]]="IT",TBL_Employees3[[#This Row],[Gender]]="Female"),"Yes","No")</f>
        <v>No</v>
      </c>
      <c r="Q633" t="str">
        <f>IF(AND(TBL_Employees3[[#This Row],[Gender]]="Female",TBL_Employees3[[#This Row],[Ethnicity]]="Black"), "Female_Black", "Others")</f>
        <v>Female_Black</v>
      </c>
    </row>
    <row r="634" spans="1:17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6">
        <v>43461</v>
      </c>
      <c r="J634" s="54">
        <v>87359</v>
      </c>
      <c r="K634" s="1">
        <v>0.11</v>
      </c>
      <c r="L634" t="s">
        <v>52</v>
      </c>
      <c r="M634" t="s">
        <v>66</v>
      </c>
      <c r="N634" s="6" t="s">
        <v>21</v>
      </c>
      <c r="O634" s="54">
        <f>TBL_Employees3[[#This Row],[Annual Salary]]+TBL_Employees3[[#This Row],[Bonus %]]*TBL_Employees3[[#This Row],[Annual Salary]]</f>
        <v>96968.49</v>
      </c>
      <c r="P634" t="str">
        <f>IF(AND(TBL_Employees3[[#This Row],[Department]]="IT",TBL_Employees3[[#This Row],[Gender]]="Female"),"Yes","No")</f>
        <v>No</v>
      </c>
      <c r="Q634" t="str">
        <f>IF(AND(TBL_Employees3[[#This Row],[Gender]]="Female",TBL_Employees3[[#This Row],[Ethnicity]]="Black"), "Female_Black", "Others")</f>
        <v>Others</v>
      </c>
    </row>
    <row r="635" spans="1:17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6">
        <v>41647</v>
      </c>
      <c r="J635" s="54">
        <v>51877</v>
      </c>
      <c r="K635" s="1">
        <v>0</v>
      </c>
      <c r="L635" t="s">
        <v>33</v>
      </c>
      <c r="M635" t="s">
        <v>60</v>
      </c>
      <c r="N635" s="6" t="s">
        <v>21</v>
      </c>
      <c r="O635" s="54">
        <f>TBL_Employees3[[#This Row],[Annual Salary]]+TBL_Employees3[[#This Row],[Bonus %]]*TBL_Employees3[[#This Row],[Annual Salary]]</f>
        <v>51877</v>
      </c>
      <c r="P635" t="str">
        <f>IF(AND(TBL_Employees3[[#This Row],[Department]]="IT",TBL_Employees3[[#This Row],[Gender]]="Female"),"Yes","No")</f>
        <v>No</v>
      </c>
      <c r="Q635" t="str">
        <f>IF(AND(TBL_Employees3[[#This Row],[Gender]]="Female",TBL_Employees3[[#This Row],[Ethnicity]]="Black"), "Female_Black", "Others")</f>
        <v>Others</v>
      </c>
    </row>
    <row r="636" spans="1:17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6">
        <v>42753</v>
      </c>
      <c r="J636" s="54">
        <v>86417</v>
      </c>
      <c r="K636" s="1">
        <v>0</v>
      </c>
      <c r="L636" t="s">
        <v>19</v>
      </c>
      <c r="M636" t="s">
        <v>20</v>
      </c>
      <c r="N636" s="6" t="s">
        <v>21</v>
      </c>
      <c r="O636" s="54">
        <f>TBL_Employees3[[#This Row],[Annual Salary]]+TBL_Employees3[[#This Row],[Bonus %]]*TBL_Employees3[[#This Row],[Annual Salary]]</f>
        <v>86417</v>
      </c>
      <c r="P636" t="str">
        <f>IF(AND(TBL_Employees3[[#This Row],[Department]]="IT",TBL_Employees3[[#This Row],[Gender]]="Female"),"Yes","No")</f>
        <v>No</v>
      </c>
      <c r="Q636" t="str">
        <f>IF(AND(TBL_Employees3[[#This Row],[Gender]]="Female",TBL_Employees3[[#This Row],[Ethnicity]]="Black"), "Female_Black", "Others")</f>
        <v>Others</v>
      </c>
    </row>
    <row r="637" spans="1:17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6">
        <v>37749</v>
      </c>
      <c r="J637" s="54">
        <v>96548</v>
      </c>
      <c r="K637" s="1">
        <v>0</v>
      </c>
      <c r="L637" t="s">
        <v>19</v>
      </c>
      <c r="M637" t="s">
        <v>25</v>
      </c>
      <c r="N637" s="6" t="s">
        <v>21</v>
      </c>
      <c r="O637" s="54">
        <f>TBL_Employees3[[#This Row],[Annual Salary]]+TBL_Employees3[[#This Row],[Bonus %]]*TBL_Employees3[[#This Row],[Annual Salary]]</f>
        <v>96548</v>
      </c>
      <c r="P637" t="str">
        <f>IF(AND(TBL_Employees3[[#This Row],[Department]]="IT",TBL_Employees3[[#This Row],[Gender]]="Female"),"Yes","No")</f>
        <v>Yes</v>
      </c>
      <c r="Q637" t="str">
        <f>IF(AND(TBL_Employees3[[#This Row],[Gender]]="Female",TBL_Employees3[[#This Row],[Ethnicity]]="Black"), "Female_Black", "Others")</f>
        <v>Others</v>
      </c>
    </row>
    <row r="638" spans="1:17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6">
        <v>41662</v>
      </c>
      <c r="J638" s="54">
        <v>92940</v>
      </c>
      <c r="K638" s="1">
        <v>0</v>
      </c>
      <c r="L638" t="s">
        <v>33</v>
      </c>
      <c r="M638" t="s">
        <v>34</v>
      </c>
      <c r="N638" s="6" t="s">
        <v>21</v>
      </c>
      <c r="O638" s="54">
        <f>TBL_Employees3[[#This Row],[Annual Salary]]+TBL_Employees3[[#This Row],[Bonus %]]*TBL_Employees3[[#This Row],[Annual Salary]]</f>
        <v>92940</v>
      </c>
      <c r="P638" t="str">
        <f>IF(AND(TBL_Employees3[[#This Row],[Department]]="IT",TBL_Employees3[[#This Row],[Gender]]="Female"),"Yes","No")</f>
        <v>No</v>
      </c>
      <c r="Q638" t="str">
        <f>IF(AND(TBL_Employees3[[#This Row],[Gender]]="Female",TBL_Employees3[[#This Row],[Ethnicity]]="Black"), "Female_Black", "Others")</f>
        <v>Others</v>
      </c>
    </row>
    <row r="639" spans="1:17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6">
        <v>43336</v>
      </c>
      <c r="J639" s="54">
        <v>61410</v>
      </c>
      <c r="K639" s="1">
        <v>0</v>
      </c>
      <c r="L639" t="s">
        <v>19</v>
      </c>
      <c r="M639" t="s">
        <v>39</v>
      </c>
      <c r="N639" s="6" t="s">
        <v>21</v>
      </c>
      <c r="O639" s="54">
        <f>TBL_Employees3[[#This Row],[Annual Salary]]+TBL_Employees3[[#This Row],[Bonus %]]*TBL_Employees3[[#This Row],[Annual Salary]]</f>
        <v>61410</v>
      </c>
      <c r="P639" t="str">
        <f>IF(AND(TBL_Employees3[[#This Row],[Department]]="IT",TBL_Employees3[[#This Row],[Gender]]="Female"),"Yes","No")</f>
        <v>No</v>
      </c>
      <c r="Q639" t="str">
        <f>IF(AND(TBL_Employees3[[#This Row],[Gender]]="Female",TBL_Employees3[[#This Row],[Ethnicity]]="Black"), "Female_Black", "Others")</f>
        <v>Others</v>
      </c>
    </row>
    <row r="640" spans="1:17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6">
        <v>40293</v>
      </c>
      <c r="J640" s="54">
        <v>110302</v>
      </c>
      <c r="K640" s="1">
        <v>0.06</v>
      </c>
      <c r="L640" t="s">
        <v>19</v>
      </c>
      <c r="M640" t="s">
        <v>45</v>
      </c>
      <c r="N640" s="6" t="s">
        <v>21</v>
      </c>
      <c r="O640" s="54">
        <f>TBL_Employees3[[#This Row],[Annual Salary]]+TBL_Employees3[[#This Row],[Bonus %]]*TBL_Employees3[[#This Row],[Annual Salary]]</f>
        <v>116920.12</v>
      </c>
      <c r="P640" t="str">
        <f>IF(AND(TBL_Employees3[[#This Row],[Department]]="IT",TBL_Employees3[[#This Row],[Gender]]="Female"),"Yes","No")</f>
        <v>No</v>
      </c>
      <c r="Q640" t="str">
        <f>IF(AND(TBL_Employees3[[#This Row],[Gender]]="Female",TBL_Employees3[[#This Row],[Ethnicity]]="Black"), "Female_Black", "Others")</f>
        <v>Female_Black</v>
      </c>
    </row>
    <row r="641" spans="1:17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6">
        <v>43212</v>
      </c>
      <c r="J641" s="54">
        <v>187205</v>
      </c>
      <c r="K641" s="1">
        <v>0.24</v>
      </c>
      <c r="L641" t="s">
        <v>19</v>
      </c>
      <c r="M641" t="s">
        <v>29</v>
      </c>
      <c r="N641" s="6">
        <v>44732</v>
      </c>
      <c r="O641" s="54">
        <f>TBL_Employees3[[#This Row],[Annual Salary]]+TBL_Employees3[[#This Row],[Bonus %]]*TBL_Employees3[[#This Row],[Annual Salary]]</f>
        <v>232134.2</v>
      </c>
      <c r="P641" t="str">
        <f>IF(AND(TBL_Employees3[[#This Row],[Department]]="IT",TBL_Employees3[[#This Row],[Gender]]="Female"),"Yes","No")</f>
        <v>No</v>
      </c>
      <c r="Q641" t="str">
        <f>IF(AND(TBL_Employees3[[#This Row],[Gender]]="Female",TBL_Employees3[[#This Row],[Ethnicity]]="Black"), "Female_Black", "Others")</f>
        <v>Female_Black</v>
      </c>
    </row>
    <row r="642" spans="1:17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6">
        <v>40618</v>
      </c>
      <c r="J642" s="54">
        <v>81687</v>
      </c>
      <c r="K642" s="1">
        <v>0</v>
      </c>
      <c r="L642" t="s">
        <v>19</v>
      </c>
      <c r="M642" t="s">
        <v>39</v>
      </c>
      <c r="N642" s="6" t="s">
        <v>21</v>
      </c>
      <c r="O642" s="54">
        <f>TBL_Employees3[[#This Row],[Annual Salary]]+TBL_Employees3[[#This Row],[Bonus %]]*TBL_Employees3[[#This Row],[Annual Salary]]</f>
        <v>81687</v>
      </c>
      <c r="P642" t="str">
        <f>IF(AND(TBL_Employees3[[#This Row],[Department]]="IT",TBL_Employees3[[#This Row],[Gender]]="Female"),"Yes","No")</f>
        <v>No</v>
      </c>
      <c r="Q642" t="str">
        <f>IF(AND(TBL_Employees3[[#This Row],[Gender]]="Female",TBL_Employees3[[#This Row],[Ethnicity]]="Black"), "Female_Black", "Others")</f>
        <v>Others</v>
      </c>
    </row>
    <row r="643" spans="1:17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6">
        <v>40040</v>
      </c>
      <c r="J643" s="54">
        <v>241083</v>
      </c>
      <c r="K643" s="1">
        <v>0.39</v>
      </c>
      <c r="L643" t="s">
        <v>19</v>
      </c>
      <c r="M643" t="s">
        <v>29</v>
      </c>
      <c r="N643" s="6" t="s">
        <v>21</v>
      </c>
      <c r="O643" s="54">
        <f>TBL_Employees3[[#This Row],[Annual Salary]]+TBL_Employees3[[#This Row],[Bonus %]]*TBL_Employees3[[#This Row],[Annual Salary]]</f>
        <v>335105.37</v>
      </c>
      <c r="P643" t="str">
        <f>IF(AND(TBL_Employees3[[#This Row],[Department]]="IT",TBL_Employees3[[#This Row],[Gender]]="Female"),"Yes","No")</f>
        <v>No</v>
      </c>
      <c r="Q643" t="str">
        <f>IF(AND(TBL_Employees3[[#This Row],[Gender]]="Female",TBL_Employees3[[#This Row],[Ethnicity]]="Black"), "Female_Black", "Others")</f>
        <v>Others</v>
      </c>
    </row>
    <row r="644" spans="1:17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6">
        <v>43413</v>
      </c>
      <c r="J644" s="54">
        <v>223805</v>
      </c>
      <c r="K644" s="1">
        <v>0.36</v>
      </c>
      <c r="L644" t="s">
        <v>19</v>
      </c>
      <c r="M644" t="s">
        <v>20</v>
      </c>
      <c r="N644" s="6" t="s">
        <v>21</v>
      </c>
      <c r="O644" s="54">
        <f>TBL_Employees3[[#This Row],[Annual Salary]]+TBL_Employees3[[#This Row],[Bonus %]]*TBL_Employees3[[#This Row],[Annual Salary]]</f>
        <v>304374.8</v>
      </c>
      <c r="P644" t="str">
        <f>IF(AND(TBL_Employees3[[#This Row],[Department]]="IT",TBL_Employees3[[#This Row],[Gender]]="Female"),"Yes","No")</f>
        <v>No</v>
      </c>
      <c r="Q644" t="str">
        <f>IF(AND(TBL_Employees3[[#This Row],[Gender]]="Female",TBL_Employees3[[#This Row],[Ethnicity]]="Black"), "Female_Black", "Others")</f>
        <v>Female_Black</v>
      </c>
    </row>
    <row r="645" spans="1:17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6">
        <v>44393</v>
      </c>
      <c r="J645" s="54">
        <v>161759</v>
      </c>
      <c r="K645" s="1">
        <v>0.16</v>
      </c>
      <c r="L645" t="s">
        <v>19</v>
      </c>
      <c r="M645" t="s">
        <v>45</v>
      </c>
      <c r="N645" s="6" t="s">
        <v>21</v>
      </c>
      <c r="O645" s="54">
        <f>TBL_Employees3[[#This Row],[Annual Salary]]+TBL_Employees3[[#This Row],[Bonus %]]*TBL_Employees3[[#This Row],[Annual Salary]]</f>
        <v>187640.44</v>
      </c>
      <c r="P645" t="str">
        <f>IF(AND(TBL_Employees3[[#This Row],[Department]]="IT",TBL_Employees3[[#This Row],[Gender]]="Female"),"Yes","No")</f>
        <v>No</v>
      </c>
      <c r="Q645" t="str">
        <f>IF(AND(TBL_Employees3[[#This Row],[Gender]]="Female",TBL_Employees3[[#This Row],[Ethnicity]]="Black"), "Female_Black", "Others")</f>
        <v>Others</v>
      </c>
    </row>
    <row r="646" spans="1:17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6">
        <v>43520</v>
      </c>
      <c r="J646" s="54">
        <v>95899</v>
      </c>
      <c r="K646" s="1">
        <v>0.1</v>
      </c>
      <c r="L646" t="s">
        <v>19</v>
      </c>
      <c r="M646" t="s">
        <v>29</v>
      </c>
      <c r="N646" s="6">
        <v>44263</v>
      </c>
      <c r="O646" s="54">
        <f>TBL_Employees3[[#This Row],[Annual Salary]]+TBL_Employees3[[#This Row],[Bonus %]]*TBL_Employees3[[#This Row],[Annual Salary]]</f>
        <v>105488.9</v>
      </c>
      <c r="P646" t="str">
        <f>IF(AND(TBL_Employees3[[#This Row],[Department]]="IT",TBL_Employees3[[#This Row],[Gender]]="Female"),"Yes","No")</f>
        <v>No</v>
      </c>
      <c r="Q646" t="str">
        <f>IF(AND(TBL_Employees3[[#This Row],[Gender]]="Female",TBL_Employees3[[#This Row],[Ethnicity]]="Black"), "Female_Black", "Others")</f>
        <v>Others</v>
      </c>
    </row>
    <row r="647" spans="1:17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6">
        <v>43623</v>
      </c>
      <c r="J647" s="54">
        <v>80700</v>
      </c>
      <c r="K647" s="1">
        <v>0</v>
      </c>
      <c r="L647" t="s">
        <v>19</v>
      </c>
      <c r="M647" t="s">
        <v>29</v>
      </c>
      <c r="N647" s="6" t="s">
        <v>21</v>
      </c>
      <c r="O647" s="54">
        <f>TBL_Employees3[[#This Row],[Annual Salary]]+TBL_Employees3[[#This Row],[Bonus %]]*TBL_Employees3[[#This Row],[Annual Salary]]</f>
        <v>80700</v>
      </c>
      <c r="P647" t="str">
        <f>IF(AND(TBL_Employees3[[#This Row],[Department]]="IT",TBL_Employees3[[#This Row],[Gender]]="Female"),"Yes","No")</f>
        <v>No</v>
      </c>
      <c r="Q647" t="str">
        <f>IF(AND(TBL_Employees3[[#This Row],[Gender]]="Female",TBL_Employees3[[#This Row],[Ethnicity]]="Black"), "Female_Black", "Others")</f>
        <v>Others</v>
      </c>
    </row>
    <row r="648" spans="1:17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6">
        <v>35500</v>
      </c>
      <c r="J648" s="54">
        <v>128136</v>
      </c>
      <c r="K648" s="1">
        <v>0.05</v>
      </c>
      <c r="L648" t="s">
        <v>33</v>
      </c>
      <c r="M648" t="s">
        <v>60</v>
      </c>
      <c r="N648" s="6" t="s">
        <v>21</v>
      </c>
      <c r="O648" s="54">
        <f>TBL_Employees3[[#This Row],[Annual Salary]]+TBL_Employees3[[#This Row],[Bonus %]]*TBL_Employees3[[#This Row],[Annual Salary]]</f>
        <v>134542.79999999999</v>
      </c>
      <c r="P648" t="str">
        <f>IF(AND(TBL_Employees3[[#This Row],[Department]]="IT",TBL_Employees3[[#This Row],[Gender]]="Female"),"Yes","No")</f>
        <v>No</v>
      </c>
      <c r="Q648" t="str">
        <f>IF(AND(TBL_Employees3[[#This Row],[Gender]]="Female",TBL_Employees3[[#This Row],[Ethnicity]]="Black"), "Female_Black", "Others")</f>
        <v>Others</v>
      </c>
    </row>
    <row r="649" spans="1:17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6">
        <v>42843</v>
      </c>
      <c r="J649" s="54">
        <v>58745</v>
      </c>
      <c r="K649" s="1">
        <v>0</v>
      </c>
      <c r="L649" t="s">
        <v>19</v>
      </c>
      <c r="M649" t="s">
        <v>25</v>
      </c>
      <c r="N649" s="6" t="s">
        <v>21</v>
      </c>
      <c r="O649" s="54">
        <f>TBL_Employees3[[#This Row],[Annual Salary]]+TBL_Employees3[[#This Row],[Bonus %]]*TBL_Employees3[[#This Row],[Annual Salary]]</f>
        <v>58745</v>
      </c>
      <c r="P649" t="str">
        <f>IF(AND(TBL_Employees3[[#This Row],[Department]]="IT",TBL_Employees3[[#This Row],[Gender]]="Female"),"Yes","No")</f>
        <v>No</v>
      </c>
      <c r="Q649" t="str">
        <f>IF(AND(TBL_Employees3[[#This Row],[Gender]]="Female",TBL_Employees3[[#This Row],[Ethnicity]]="Black"), "Female_Black", "Others")</f>
        <v>Others</v>
      </c>
    </row>
    <row r="650" spans="1:17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6">
        <v>33728</v>
      </c>
      <c r="J650" s="54">
        <v>76202</v>
      </c>
      <c r="K650" s="1">
        <v>0</v>
      </c>
      <c r="L650" t="s">
        <v>19</v>
      </c>
      <c r="M650" t="s">
        <v>25</v>
      </c>
      <c r="N650" s="6">
        <v>34686</v>
      </c>
      <c r="O650" s="54">
        <f>TBL_Employees3[[#This Row],[Annual Salary]]+TBL_Employees3[[#This Row],[Bonus %]]*TBL_Employees3[[#This Row],[Annual Salary]]</f>
        <v>76202</v>
      </c>
      <c r="P650" t="str">
        <f>IF(AND(TBL_Employees3[[#This Row],[Department]]="IT",TBL_Employees3[[#This Row],[Gender]]="Female"),"Yes","No")</f>
        <v>Yes</v>
      </c>
      <c r="Q650" t="str">
        <f>IF(AND(TBL_Employees3[[#This Row],[Gender]]="Female",TBL_Employees3[[#This Row],[Ethnicity]]="Black"), "Female_Black", "Others")</f>
        <v>Others</v>
      </c>
    </row>
    <row r="651" spans="1:17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6">
        <v>43178</v>
      </c>
      <c r="J651" s="54">
        <v>195200</v>
      </c>
      <c r="K651" s="1">
        <v>0.36</v>
      </c>
      <c r="L651" t="s">
        <v>19</v>
      </c>
      <c r="M651" t="s">
        <v>25</v>
      </c>
      <c r="N651" s="6" t="s">
        <v>21</v>
      </c>
      <c r="O651" s="54">
        <f>TBL_Employees3[[#This Row],[Annual Salary]]+TBL_Employees3[[#This Row],[Bonus %]]*TBL_Employees3[[#This Row],[Annual Salary]]</f>
        <v>265472</v>
      </c>
      <c r="P651" t="str">
        <f>IF(AND(TBL_Employees3[[#This Row],[Department]]="IT",TBL_Employees3[[#This Row],[Gender]]="Female"),"Yes","No")</f>
        <v>No</v>
      </c>
      <c r="Q651" t="str">
        <f>IF(AND(TBL_Employees3[[#This Row],[Gender]]="Female",TBL_Employees3[[#This Row],[Ethnicity]]="Black"), "Female_Black", "Others")</f>
        <v>Others</v>
      </c>
    </row>
    <row r="652" spans="1:17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6">
        <v>42711</v>
      </c>
      <c r="J652" s="54">
        <v>71454</v>
      </c>
      <c r="K652" s="1">
        <v>0</v>
      </c>
      <c r="L652" t="s">
        <v>33</v>
      </c>
      <c r="M652" t="s">
        <v>74</v>
      </c>
      <c r="N652" s="6" t="s">
        <v>21</v>
      </c>
      <c r="O652" s="54">
        <f>TBL_Employees3[[#This Row],[Annual Salary]]+TBL_Employees3[[#This Row],[Bonus %]]*TBL_Employees3[[#This Row],[Annual Salary]]</f>
        <v>71454</v>
      </c>
      <c r="P652" t="str">
        <f>IF(AND(TBL_Employees3[[#This Row],[Department]]="IT",TBL_Employees3[[#This Row],[Gender]]="Female"),"Yes","No")</f>
        <v>No</v>
      </c>
      <c r="Q652" t="str">
        <f>IF(AND(TBL_Employees3[[#This Row],[Gender]]="Female",TBL_Employees3[[#This Row],[Ethnicity]]="Black"), "Female_Black", "Others")</f>
        <v>Others</v>
      </c>
    </row>
    <row r="653" spans="1:17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6">
        <v>43864</v>
      </c>
      <c r="J653" s="54">
        <v>94652</v>
      </c>
      <c r="K653" s="1">
        <v>0</v>
      </c>
      <c r="L653" t="s">
        <v>19</v>
      </c>
      <c r="M653" t="s">
        <v>63</v>
      </c>
      <c r="N653" s="6" t="s">
        <v>21</v>
      </c>
      <c r="O653" s="54">
        <f>TBL_Employees3[[#This Row],[Annual Salary]]+TBL_Employees3[[#This Row],[Bonus %]]*TBL_Employees3[[#This Row],[Annual Salary]]</f>
        <v>94652</v>
      </c>
      <c r="P653" t="str">
        <f>IF(AND(TBL_Employees3[[#This Row],[Department]]="IT",TBL_Employees3[[#This Row],[Gender]]="Female"),"Yes","No")</f>
        <v>Yes</v>
      </c>
      <c r="Q653" t="str">
        <f>IF(AND(TBL_Employees3[[#This Row],[Gender]]="Female",TBL_Employees3[[#This Row],[Ethnicity]]="Black"), "Female_Black", "Others")</f>
        <v>Others</v>
      </c>
    </row>
    <row r="654" spans="1:17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6">
        <v>42416</v>
      </c>
      <c r="J654" s="54">
        <v>63411</v>
      </c>
      <c r="K654" s="1">
        <v>0</v>
      </c>
      <c r="L654" t="s">
        <v>19</v>
      </c>
      <c r="M654" t="s">
        <v>45</v>
      </c>
      <c r="N654" s="6" t="s">
        <v>21</v>
      </c>
      <c r="O654" s="54">
        <f>TBL_Employees3[[#This Row],[Annual Salary]]+TBL_Employees3[[#This Row],[Bonus %]]*TBL_Employees3[[#This Row],[Annual Salary]]</f>
        <v>63411</v>
      </c>
      <c r="P654" t="str">
        <f>IF(AND(TBL_Employees3[[#This Row],[Department]]="IT",TBL_Employees3[[#This Row],[Gender]]="Female"),"Yes","No")</f>
        <v>No</v>
      </c>
      <c r="Q654" t="str">
        <f>IF(AND(TBL_Employees3[[#This Row],[Gender]]="Female",TBL_Employees3[[#This Row],[Ethnicity]]="Black"), "Female_Black", "Others")</f>
        <v>Others</v>
      </c>
    </row>
    <row r="655" spans="1:17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6">
        <v>43878</v>
      </c>
      <c r="J655" s="54">
        <v>67171</v>
      </c>
      <c r="K655" s="1">
        <v>0</v>
      </c>
      <c r="L655" t="s">
        <v>33</v>
      </c>
      <c r="M655" t="s">
        <v>80</v>
      </c>
      <c r="N655" s="6">
        <v>44317</v>
      </c>
      <c r="O655" s="54">
        <f>TBL_Employees3[[#This Row],[Annual Salary]]+TBL_Employees3[[#This Row],[Bonus %]]*TBL_Employees3[[#This Row],[Annual Salary]]</f>
        <v>67171</v>
      </c>
      <c r="P655" t="str">
        <f>IF(AND(TBL_Employees3[[#This Row],[Department]]="IT",TBL_Employees3[[#This Row],[Gender]]="Female"),"Yes","No")</f>
        <v>No</v>
      </c>
      <c r="Q655" t="str">
        <f>IF(AND(TBL_Employees3[[#This Row],[Gender]]="Female",TBL_Employees3[[#This Row],[Ethnicity]]="Black"), "Female_Black", "Others")</f>
        <v>Others</v>
      </c>
    </row>
    <row r="656" spans="1:17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6">
        <v>43652</v>
      </c>
      <c r="J656" s="54">
        <v>152036</v>
      </c>
      <c r="K656" s="1">
        <v>0.15</v>
      </c>
      <c r="L656" t="s">
        <v>52</v>
      </c>
      <c r="M656" t="s">
        <v>66</v>
      </c>
      <c r="N656" s="6" t="s">
        <v>21</v>
      </c>
      <c r="O656" s="54">
        <f>TBL_Employees3[[#This Row],[Annual Salary]]+TBL_Employees3[[#This Row],[Bonus %]]*TBL_Employees3[[#This Row],[Annual Salary]]</f>
        <v>174841.4</v>
      </c>
      <c r="P656" t="str">
        <f>IF(AND(TBL_Employees3[[#This Row],[Department]]="IT",TBL_Employees3[[#This Row],[Gender]]="Female"),"Yes","No")</f>
        <v>No</v>
      </c>
      <c r="Q656" t="str">
        <f>IF(AND(TBL_Employees3[[#This Row],[Gender]]="Female",TBL_Employees3[[#This Row],[Ethnicity]]="Black"), "Female_Black", "Others")</f>
        <v>Others</v>
      </c>
    </row>
    <row r="657" spans="1:17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6">
        <v>44276</v>
      </c>
      <c r="J657" s="54">
        <v>95562</v>
      </c>
      <c r="K657" s="1">
        <v>0</v>
      </c>
      <c r="L657" t="s">
        <v>19</v>
      </c>
      <c r="M657" t="s">
        <v>20</v>
      </c>
      <c r="N657" s="6" t="s">
        <v>21</v>
      </c>
      <c r="O657" s="54">
        <f>TBL_Employees3[[#This Row],[Annual Salary]]+TBL_Employees3[[#This Row],[Bonus %]]*TBL_Employees3[[#This Row],[Annual Salary]]</f>
        <v>95562</v>
      </c>
      <c r="P657" t="str">
        <f>IF(AND(TBL_Employees3[[#This Row],[Department]]="IT",TBL_Employees3[[#This Row],[Gender]]="Female"),"Yes","No")</f>
        <v>No</v>
      </c>
      <c r="Q657" t="str">
        <f>IF(AND(TBL_Employees3[[#This Row],[Gender]]="Female",TBL_Employees3[[#This Row],[Ethnicity]]="Black"), "Female_Black", "Others")</f>
        <v>Female_Black</v>
      </c>
    </row>
    <row r="658" spans="1:17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6">
        <v>43773</v>
      </c>
      <c r="J658" s="54">
        <v>96092</v>
      </c>
      <c r="K658" s="1">
        <v>0</v>
      </c>
      <c r="L658" t="s">
        <v>19</v>
      </c>
      <c r="M658" t="s">
        <v>25</v>
      </c>
      <c r="N658" s="6" t="s">
        <v>21</v>
      </c>
      <c r="O658" s="54">
        <f>TBL_Employees3[[#This Row],[Annual Salary]]+TBL_Employees3[[#This Row],[Bonus %]]*TBL_Employees3[[#This Row],[Annual Salary]]</f>
        <v>96092</v>
      </c>
      <c r="P658" t="str">
        <f>IF(AND(TBL_Employees3[[#This Row],[Department]]="IT",TBL_Employees3[[#This Row],[Gender]]="Female"),"Yes","No")</f>
        <v>No</v>
      </c>
      <c r="Q658" t="str">
        <f>IF(AND(TBL_Employees3[[#This Row],[Gender]]="Female",TBL_Employees3[[#This Row],[Ethnicity]]="Black"), "Female_Black", "Others")</f>
        <v>Others</v>
      </c>
    </row>
    <row r="659" spans="1:17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6">
        <v>41428</v>
      </c>
      <c r="J659" s="54">
        <v>254289</v>
      </c>
      <c r="K659" s="1">
        <v>0.39</v>
      </c>
      <c r="L659" t="s">
        <v>19</v>
      </c>
      <c r="M659" t="s">
        <v>20</v>
      </c>
      <c r="N659" s="6" t="s">
        <v>21</v>
      </c>
      <c r="O659" s="54">
        <f>TBL_Employees3[[#This Row],[Annual Salary]]+TBL_Employees3[[#This Row],[Bonus %]]*TBL_Employees3[[#This Row],[Annual Salary]]</f>
        <v>353461.71</v>
      </c>
      <c r="P659" t="str">
        <f>IF(AND(TBL_Employees3[[#This Row],[Department]]="IT",TBL_Employees3[[#This Row],[Gender]]="Female"),"Yes","No")</f>
        <v>No</v>
      </c>
      <c r="Q659" t="str">
        <f>IF(AND(TBL_Employees3[[#This Row],[Gender]]="Female",TBL_Employees3[[#This Row],[Ethnicity]]="Black"), "Female_Black", "Others")</f>
        <v>Others</v>
      </c>
    </row>
    <row r="660" spans="1:17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6">
        <v>43656</v>
      </c>
      <c r="J660" s="54">
        <v>69110</v>
      </c>
      <c r="K660" s="1">
        <v>0.05</v>
      </c>
      <c r="L660" t="s">
        <v>19</v>
      </c>
      <c r="M660" t="s">
        <v>20</v>
      </c>
      <c r="N660" s="6" t="s">
        <v>21</v>
      </c>
      <c r="O660" s="54">
        <f>TBL_Employees3[[#This Row],[Annual Salary]]+TBL_Employees3[[#This Row],[Bonus %]]*TBL_Employees3[[#This Row],[Annual Salary]]</f>
        <v>72565.5</v>
      </c>
      <c r="P660" t="str">
        <f>IF(AND(TBL_Employees3[[#This Row],[Department]]="IT",TBL_Employees3[[#This Row],[Gender]]="Female"),"Yes","No")</f>
        <v>No</v>
      </c>
      <c r="Q660" t="str">
        <f>IF(AND(TBL_Employees3[[#This Row],[Gender]]="Female",TBL_Employees3[[#This Row],[Ethnicity]]="Black"), "Female_Black", "Others")</f>
        <v>Others</v>
      </c>
    </row>
    <row r="661" spans="1:17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6">
        <v>37418</v>
      </c>
      <c r="J661" s="54">
        <v>236314</v>
      </c>
      <c r="K661" s="1">
        <v>0.34</v>
      </c>
      <c r="L661" t="s">
        <v>19</v>
      </c>
      <c r="M661" t="s">
        <v>45</v>
      </c>
      <c r="N661" s="6" t="s">
        <v>21</v>
      </c>
      <c r="O661" s="54">
        <f>TBL_Employees3[[#This Row],[Annual Salary]]+TBL_Employees3[[#This Row],[Bonus %]]*TBL_Employees3[[#This Row],[Annual Salary]]</f>
        <v>316660.76</v>
      </c>
      <c r="P661" t="str">
        <f>IF(AND(TBL_Employees3[[#This Row],[Department]]="IT",TBL_Employees3[[#This Row],[Gender]]="Female"),"Yes","No")</f>
        <v>No</v>
      </c>
      <c r="Q661" t="str">
        <f>IF(AND(TBL_Employees3[[#This Row],[Gender]]="Female",TBL_Employees3[[#This Row],[Ethnicity]]="Black"), "Female_Black", "Others")</f>
        <v>Others</v>
      </c>
    </row>
    <row r="662" spans="1:17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6">
        <v>39252</v>
      </c>
      <c r="J662" s="54">
        <v>45206</v>
      </c>
      <c r="K662" s="1">
        <v>0</v>
      </c>
      <c r="L662" t="s">
        <v>19</v>
      </c>
      <c r="M662" t="s">
        <v>29</v>
      </c>
      <c r="N662" s="6" t="s">
        <v>21</v>
      </c>
      <c r="O662" s="54">
        <f>TBL_Employees3[[#This Row],[Annual Salary]]+TBL_Employees3[[#This Row],[Bonus %]]*TBL_Employees3[[#This Row],[Annual Salary]]</f>
        <v>45206</v>
      </c>
      <c r="P662" t="str">
        <f>IF(AND(TBL_Employees3[[#This Row],[Department]]="IT",TBL_Employees3[[#This Row],[Gender]]="Female"),"Yes","No")</f>
        <v>No</v>
      </c>
      <c r="Q662" t="str">
        <f>IF(AND(TBL_Employees3[[#This Row],[Gender]]="Female",TBL_Employees3[[#This Row],[Ethnicity]]="Black"), "Female_Black", "Others")</f>
        <v>Others</v>
      </c>
    </row>
    <row r="663" spans="1:17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6">
        <v>44515</v>
      </c>
      <c r="J663" s="54">
        <v>210708</v>
      </c>
      <c r="K663" s="1">
        <v>0.33</v>
      </c>
      <c r="L663" t="s">
        <v>19</v>
      </c>
      <c r="M663" t="s">
        <v>20</v>
      </c>
      <c r="N663" s="6" t="s">
        <v>21</v>
      </c>
      <c r="O663" s="54">
        <f>TBL_Employees3[[#This Row],[Annual Salary]]+TBL_Employees3[[#This Row],[Bonus %]]*TBL_Employees3[[#This Row],[Annual Salary]]</f>
        <v>280241.64</v>
      </c>
      <c r="P663" t="str">
        <f>IF(AND(TBL_Employees3[[#This Row],[Department]]="IT",TBL_Employees3[[#This Row],[Gender]]="Female"),"Yes","No")</f>
        <v>No</v>
      </c>
      <c r="Q663" t="str">
        <f>IF(AND(TBL_Employees3[[#This Row],[Gender]]="Female",TBL_Employees3[[#This Row],[Ethnicity]]="Black"), "Female_Black", "Others")</f>
        <v>Others</v>
      </c>
    </row>
    <row r="664" spans="1:17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6">
        <v>44465</v>
      </c>
      <c r="J664" s="54">
        <v>87770</v>
      </c>
      <c r="K664" s="1">
        <v>0</v>
      </c>
      <c r="L664" t="s">
        <v>19</v>
      </c>
      <c r="M664" t="s">
        <v>25</v>
      </c>
      <c r="N664" s="6" t="s">
        <v>21</v>
      </c>
      <c r="O664" s="54">
        <f>TBL_Employees3[[#This Row],[Annual Salary]]+TBL_Employees3[[#This Row],[Bonus %]]*TBL_Employees3[[#This Row],[Annual Salary]]</f>
        <v>87770</v>
      </c>
      <c r="P664" t="str">
        <f>IF(AND(TBL_Employees3[[#This Row],[Department]]="IT",TBL_Employees3[[#This Row],[Gender]]="Female"),"Yes","No")</f>
        <v>No</v>
      </c>
      <c r="Q664" t="str">
        <f>IF(AND(TBL_Employees3[[#This Row],[Gender]]="Female",TBL_Employees3[[#This Row],[Ethnicity]]="Black"), "Female_Black", "Others")</f>
        <v>Others</v>
      </c>
    </row>
    <row r="665" spans="1:17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6">
        <v>42228</v>
      </c>
      <c r="J665" s="54">
        <v>106858</v>
      </c>
      <c r="K665" s="1">
        <v>0.05</v>
      </c>
      <c r="L665" t="s">
        <v>19</v>
      </c>
      <c r="M665" t="s">
        <v>63</v>
      </c>
      <c r="N665" s="6" t="s">
        <v>21</v>
      </c>
      <c r="O665" s="54">
        <f>TBL_Employees3[[#This Row],[Annual Salary]]+TBL_Employees3[[#This Row],[Bonus %]]*TBL_Employees3[[#This Row],[Annual Salary]]</f>
        <v>112200.9</v>
      </c>
      <c r="P665" t="str">
        <f>IF(AND(TBL_Employees3[[#This Row],[Department]]="IT",TBL_Employees3[[#This Row],[Gender]]="Female"),"Yes","No")</f>
        <v>No</v>
      </c>
      <c r="Q665" t="str">
        <f>IF(AND(TBL_Employees3[[#This Row],[Gender]]="Female",TBL_Employees3[[#This Row],[Ethnicity]]="Black"), "Female_Black", "Others")</f>
        <v>Others</v>
      </c>
    </row>
    <row r="666" spans="1:17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6">
        <v>42108</v>
      </c>
      <c r="J666" s="54">
        <v>155788</v>
      </c>
      <c r="K666" s="1">
        <v>0.17</v>
      </c>
      <c r="L666" t="s">
        <v>19</v>
      </c>
      <c r="M666" t="s">
        <v>63</v>
      </c>
      <c r="N666" s="6" t="s">
        <v>21</v>
      </c>
      <c r="O666" s="54">
        <f>TBL_Employees3[[#This Row],[Annual Salary]]+TBL_Employees3[[#This Row],[Bonus %]]*TBL_Employees3[[#This Row],[Annual Salary]]</f>
        <v>182271.96</v>
      </c>
      <c r="P666" t="str">
        <f>IF(AND(TBL_Employees3[[#This Row],[Department]]="IT",TBL_Employees3[[#This Row],[Gender]]="Female"),"Yes","No")</f>
        <v>No</v>
      </c>
      <c r="Q666" t="str">
        <f>IF(AND(TBL_Employees3[[#This Row],[Gender]]="Female",TBL_Employees3[[#This Row],[Ethnicity]]="Black"), "Female_Black", "Others")</f>
        <v>Others</v>
      </c>
    </row>
    <row r="667" spans="1:17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6">
        <v>43581</v>
      </c>
      <c r="J667" s="54">
        <v>74891</v>
      </c>
      <c r="K667" s="1">
        <v>0</v>
      </c>
      <c r="L667" t="s">
        <v>52</v>
      </c>
      <c r="M667" t="s">
        <v>66</v>
      </c>
      <c r="N667" s="6" t="s">
        <v>21</v>
      </c>
      <c r="O667" s="54">
        <f>TBL_Employees3[[#This Row],[Annual Salary]]+TBL_Employees3[[#This Row],[Bonus %]]*TBL_Employees3[[#This Row],[Annual Salary]]</f>
        <v>74891</v>
      </c>
      <c r="P667" t="str">
        <f>IF(AND(TBL_Employees3[[#This Row],[Department]]="IT",TBL_Employees3[[#This Row],[Gender]]="Female"),"Yes","No")</f>
        <v>No</v>
      </c>
      <c r="Q667" t="str">
        <f>IF(AND(TBL_Employees3[[#This Row],[Gender]]="Female",TBL_Employees3[[#This Row],[Ethnicity]]="Black"), "Female_Black", "Others")</f>
        <v>Others</v>
      </c>
    </row>
    <row r="668" spans="1:17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6">
        <v>44548</v>
      </c>
      <c r="J668" s="54">
        <v>95670</v>
      </c>
      <c r="K668" s="1">
        <v>0</v>
      </c>
      <c r="L668" t="s">
        <v>19</v>
      </c>
      <c r="M668" t="s">
        <v>39</v>
      </c>
      <c r="N668" s="6" t="s">
        <v>21</v>
      </c>
      <c r="O668" s="54">
        <f>TBL_Employees3[[#This Row],[Annual Salary]]+TBL_Employees3[[#This Row],[Bonus %]]*TBL_Employees3[[#This Row],[Annual Salary]]</f>
        <v>95670</v>
      </c>
      <c r="P668" t="str">
        <f>IF(AND(TBL_Employees3[[#This Row],[Department]]="IT",TBL_Employees3[[#This Row],[Gender]]="Female"),"Yes","No")</f>
        <v>No</v>
      </c>
      <c r="Q668" t="str">
        <f>IF(AND(TBL_Employees3[[#This Row],[Gender]]="Female",TBL_Employees3[[#This Row],[Ethnicity]]="Black"), "Female_Black", "Others")</f>
        <v>Others</v>
      </c>
    </row>
    <row r="669" spans="1:17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6">
        <v>36798</v>
      </c>
      <c r="J669" s="54">
        <v>67837</v>
      </c>
      <c r="K669" s="1">
        <v>0</v>
      </c>
      <c r="L669" t="s">
        <v>19</v>
      </c>
      <c r="M669" t="s">
        <v>25</v>
      </c>
      <c r="N669" s="6" t="s">
        <v>21</v>
      </c>
      <c r="O669" s="54">
        <f>TBL_Employees3[[#This Row],[Annual Salary]]+TBL_Employees3[[#This Row],[Bonus %]]*TBL_Employees3[[#This Row],[Annual Salary]]</f>
        <v>67837</v>
      </c>
      <c r="P669" t="str">
        <f>IF(AND(TBL_Employees3[[#This Row],[Department]]="IT",TBL_Employees3[[#This Row],[Gender]]="Female"),"Yes","No")</f>
        <v>No</v>
      </c>
      <c r="Q669" t="str">
        <f>IF(AND(TBL_Employees3[[#This Row],[Gender]]="Female",TBL_Employees3[[#This Row],[Ethnicity]]="Black"), "Female_Black", "Others")</f>
        <v>Female_Black</v>
      </c>
    </row>
    <row r="670" spans="1:17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6">
        <v>40333</v>
      </c>
      <c r="J670" s="54">
        <v>72425</v>
      </c>
      <c r="K670" s="1">
        <v>0</v>
      </c>
      <c r="L670" t="s">
        <v>33</v>
      </c>
      <c r="M670" t="s">
        <v>60</v>
      </c>
      <c r="N670" s="6" t="s">
        <v>21</v>
      </c>
      <c r="O670" s="54">
        <f>TBL_Employees3[[#This Row],[Annual Salary]]+TBL_Employees3[[#This Row],[Bonus %]]*TBL_Employees3[[#This Row],[Annual Salary]]</f>
        <v>72425</v>
      </c>
      <c r="P670" t="str">
        <f>IF(AND(TBL_Employees3[[#This Row],[Department]]="IT",TBL_Employees3[[#This Row],[Gender]]="Female"),"Yes","No")</f>
        <v>No</v>
      </c>
      <c r="Q670" t="str">
        <f>IF(AND(TBL_Employees3[[#This Row],[Gender]]="Female",TBL_Employees3[[#This Row],[Ethnicity]]="Black"), "Female_Black", "Others")</f>
        <v>Others</v>
      </c>
    </row>
    <row r="671" spans="1:17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6">
        <v>34623</v>
      </c>
      <c r="J671" s="54">
        <v>93103</v>
      </c>
      <c r="K671" s="1">
        <v>0</v>
      </c>
      <c r="L671" t="s">
        <v>19</v>
      </c>
      <c r="M671" t="s">
        <v>39</v>
      </c>
      <c r="N671" s="6" t="s">
        <v>21</v>
      </c>
      <c r="O671" s="54">
        <f>TBL_Employees3[[#This Row],[Annual Salary]]+TBL_Employees3[[#This Row],[Bonus %]]*TBL_Employees3[[#This Row],[Annual Salary]]</f>
        <v>93103</v>
      </c>
      <c r="P671" t="str">
        <f>IF(AND(TBL_Employees3[[#This Row],[Department]]="IT",TBL_Employees3[[#This Row],[Gender]]="Female"),"Yes","No")</f>
        <v>No</v>
      </c>
      <c r="Q671" t="str">
        <f>IF(AND(TBL_Employees3[[#This Row],[Gender]]="Female",TBL_Employees3[[#This Row],[Ethnicity]]="Black"), "Female_Black", "Others")</f>
        <v>Others</v>
      </c>
    </row>
    <row r="672" spans="1:17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6">
        <v>42291</v>
      </c>
      <c r="J672" s="54">
        <v>76272</v>
      </c>
      <c r="K672" s="1">
        <v>0</v>
      </c>
      <c r="L672" t="s">
        <v>19</v>
      </c>
      <c r="M672" t="s">
        <v>45</v>
      </c>
      <c r="N672" s="6">
        <v>44491</v>
      </c>
      <c r="O672" s="54">
        <f>TBL_Employees3[[#This Row],[Annual Salary]]+TBL_Employees3[[#This Row],[Bonus %]]*TBL_Employees3[[#This Row],[Annual Salary]]</f>
        <v>76272</v>
      </c>
      <c r="P672" t="str">
        <f>IF(AND(TBL_Employees3[[#This Row],[Department]]="IT",TBL_Employees3[[#This Row],[Gender]]="Female"),"Yes","No")</f>
        <v>No</v>
      </c>
      <c r="Q672" t="str">
        <f>IF(AND(TBL_Employees3[[#This Row],[Gender]]="Female",TBL_Employees3[[#This Row],[Ethnicity]]="Black"), "Female_Black", "Others")</f>
        <v>Others</v>
      </c>
    </row>
    <row r="673" spans="1:17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6">
        <v>37796</v>
      </c>
      <c r="J673" s="54">
        <v>55760</v>
      </c>
      <c r="K673" s="1">
        <v>0</v>
      </c>
      <c r="L673" t="s">
        <v>19</v>
      </c>
      <c r="M673" t="s">
        <v>25</v>
      </c>
      <c r="N673" s="6" t="s">
        <v>21</v>
      </c>
      <c r="O673" s="54">
        <f>TBL_Employees3[[#This Row],[Annual Salary]]+TBL_Employees3[[#This Row],[Bonus %]]*TBL_Employees3[[#This Row],[Annual Salary]]</f>
        <v>55760</v>
      </c>
      <c r="P673" t="str">
        <f>IF(AND(TBL_Employees3[[#This Row],[Department]]="IT",TBL_Employees3[[#This Row],[Gender]]="Female"),"Yes","No")</f>
        <v>No</v>
      </c>
      <c r="Q673" t="str">
        <f>IF(AND(TBL_Employees3[[#This Row],[Gender]]="Female",TBL_Employees3[[#This Row],[Ethnicity]]="Black"), "Female_Black", "Others")</f>
        <v>Others</v>
      </c>
    </row>
    <row r="674" spans="1:17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6">
        <v>43843</v>
      </c>
      <c r="J674" s="54">
        <v>253294</v>
      </c>
      <c r="K674" s="1">
        <v>0.4</v>
      </c>
      <c r="L674" t="s">
        <v>19</v>
      </c>
      <c r="M674" t="s">
        <v>45</v>
      </c>
      <c r="N674" s="6" t="s">
        <v>21</v>
      </c>
      <c r="O674" s="54">
        <f>TBL_Employees3[[#This Row],[Annual Salary]]+TBL_Employees3[[#This Row],[Bonus %]]*TBL_Employees3[[#This Row],[Annual Salary]]</f>
        <v>354611.6</v>
      </c>
      <c r="P674" t="str">
        <f>IF(AND(TBL_Employees3[[#This Row],[Department]]="IT",TBL_Employees3[[#This Row],[Gender]]="Female"),"Yes","No")</f>
        <v>No</v>
      </c>
      <c r="Q674" t="str">
        <f>IF(AND(TBL_Employees3[[#This Row],[Gender]]="Female",TBL_Employees3[[#This Row],[Ethnicity]]="Black"), "Female_Black", "Others")</f>
        <v>Others</v>
      </c>
    </row>
    <row r="675" spans="1:17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6">
        <v>39310</v>
      </c>
      <c r="J675" s="54">
        <v>58671</v>
      </c>
      <c r="K675" s="1">
        <v>0</v>
      </c>
      <c r="L675" t="s">
        <v>19</v>
      </c>
      <c r="M675" t="s">
        <v>29</v>
      </c>
      <c r="N675" s="6" t="s">
        <v>21</v>
      </c>
      <c r="O675" s="54">
        <f>TBL_Employees3[[#This Row],[Annual Salary]]+TBL_Employees3[[#This Row],[Bonus %]]*TBL_Employees3[[#This Row],[Annual Salary]]</f>
        <v>58671</v>
      </c>
      <c r="P675" t="str">
        <f>IF(AND(TBL_Employees3[[#This Row],[Department]]="IT",TBL_Employees3[[#This Row],[Gender]]="Female"),"Yes","No")</f>
        <v>No</v>
      </c>
      <c r="Q675" t="str">
        <f>IF(AND(TBL_Employees3[[#This Row],[Gender]]="Female",TBL_Employees3[[#This Row],[Ethnicity]]="Black"), "Female_Black", "Others")</f>
        <v>Others</v>
      </c>
    </row>
    <row r="676" spans="1:17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6">
        <v>43175</v>
      </c>
      <c r="J676" s="54">
        <v>55457</v>
      </c>
      <c r="K676" s="1">
        <v>0</v>
      </c>
      <c r="L676" t="s">
        <v>19</v>
      </c>
      <c r="M676" t="s">
        <v>29</v>
      </c>
      <c r="N676" s="6" t="s">
        <v>21</v>
      </c>
      <c r="O676" s="54">
        <f>TBL_Employees3[[#This Row],[Annual Salary]]+TBL_Employees3[[#This Row],[Bonus %]]*TBL_Employees3[[#This Row],[Annual Salary]]</f>
        <v>55457</v>
      </c>
      <c r="P676" t="str">
        <f>IF(AND(TBL_Employees3[[#This Row],[Department]]="IT",TBL_Employees3[[#This Row],[Gender]]="Female"),"Yes","No")</f>
        <v>No</v>
      </c>
      <c r="Q676" t="str">
        <f>IF(AND(TBL_Employees3[[#This Row],[Gender]]="Female",TBL_Employees3[[#This Row],[Ethnicity]]="Black"), "Female_Black", "Others")</f>
        <v>Others</v>
      </c>
    </row>
    <row r="677" spans="1:17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6">
        <v>43004</v>
      </c>
      <c r="J677" s="54">
        <v>72340</v>
      </c>
      <c r="K677" s="1">
        <v>0</v>
      </c>
      <c r="L677" t="s">
        <v>19</v>
      </c>
      <c r="M677" t="s">
        <v>39</v>
      </c>
      <c r="N677" s="6">
        <v>43558</v>
      </c>
      <c r="O677" s="54">
        <f>TBL_Employees3[[#This Row],[Annual Salary]]+TBL_Employees3[[#This Row],[Bonus %]]*TBL_Employees3[[#This Row],[Annual Salary]]</f>
        <v>72340</v>
      </c>
      <c r="P677" t="str">
        <f>IF(AND(TBL_Employees3[[#This Row],[Department]]="IT",TBL_Employees3[[#This Row],[Gender]]="Female"),"Yes","No")</f>
        <v>No</v>
      </c>
      <c r="Q677" t="str">
        <f>IF(AND(TBL_Employees3[[#This Row],[Gender]]="Female",TBL_Employees3[[#This Row],[Ethnicity]]="Black"), "Female_Black", "Others")</f>
        <v>Others</v>
      </c>
    </row>
    <row r="678" spans="1:17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6">
        <v>42676</v>
      </c>
      <c r="J678" s="54">
        <v>122054</v>
      </c>
      <c r="K678" s="1">
        <v>0.06</v>
      </c>
      <c r="L678" t="s">
        <v>19</v>
      </c>
      <c r="M678" t="s">
        <v>39</v>
      </c>
      <c r="N678" s="6" t="s">
        <v>21</v>
      </c>
      <c r="O678" s="54">
        <f>TBL_Employees3[[#This Row],[Annual Salary]]+TBL_Employees3[[#This Row],[Bonus %]]*TBL_Employees3[[#This Row],[Annual Salary]]</f>
        <v>129377.24</v>
      </c>
      <c r="P678" t="str">
        <f>IF(AND(TBL_Employees3[[#This Row],[Department]]="IT",TBL_Employees3[[#This Row],[Gender]]="Female"),"Yes","No")</f>
        <v>No</v>
      </c>
      <c r="Q678" t="str">
        <f>IF(AND(TBL_Employees3[[#This Row],[Gender]]="Female",TBL_Employees3[[#This Row],[Ethnicity]]="Black"), "Female_Black", "Others")</f>
        <v>Others</v>
      </c>
    </row>
    <row r="679" spans="1:17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6">
        <v>43103</v>
      </c>
      <c r="J679" s="54">
        <v>167100</v>
      </c>
      <c r="K679" s="1">
        <v>0.2</v>
      </c>
      <c r="L679" t="s">
        <v>33</v>
      </c>
      <c r="M679" t="s">
        <v>34</v>
      </c>
      <c r="N679" s="6" t="s">
        <v>21</v>
      </c>
      <c r="O679" s="54">
        <f>TBL_Employees3[[#This Row],[Annual Salary]]+TBL_Employees3[[#This Row],[Bonus %]]*TBL_Employees3[[#This Row],[Annual Salary]]</f>
        <v>200520</v>
      </c>
      <c r="P679" t="str">
        <f>IF(AND(TBL_Employees3[[#This Row],[Department]]="IT",TBL_Employees3[[#This Row],[Gender]]="Female"),"Yes","No")</f>
        <v>Yes</v>
      </c>
      <c r="Q679" t="str">
        <f>IF(AND(TBL_Employees3[[#This Row],[Gender]]="Female",TBL_Employees3[[#This Row],[Ethnicity]]="Black"), "Female_Black", "Others")</f>
        <v>Others</v>
      </c>
    </row>
    <row r="680" spans="1:17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6">
        <v>35543</v>
      </c>
      <c r="J680" s="54">
        <v>78153</v>
      </c>
      <c r="K680" s="1">
        <v>0</v>
      </c>
      <c r="L680" t="s">
        <v>19</v>
      </c>
      <c r="M680" t="s">
        <v>45</v>
      </c>
      <c r="N680" s="6" t="s">
        <v>21</v>
      </c>
      <c r="O680" s="54">
        <f>TBL_Employees3[[#This Row],[Annual Salary]]+TBL_Employees3[[#This Row],[Bonus %]]*TBL_Employees3[[#This Row],[Annual Salary]]</f>
        <v>78153</v>
      </c>
      <c r="P680" t="str">
        <f>IF(AND(TBL_Employees3[[#This Row],[Department]]="IT",TBL_Employees3[[#This Row],[Gender]]="Female"),"Yes","No")</f>
        <v>Yes</v>
      </c>
      <c r="Q680" t="str">
        <f>IF(AND(TBL_Employees3[[#This Row],[Gender]]="Female",TBL_Employees3[[#This Row],[Ethnicity]]="Black"), "Female_Black", "Others")</f>
        <v>Others</v>
      </c>
    </row>
    <row r="681" spans="1:17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6">
        <v>43935</v>
      </c>
      <c r="J681" s="54">
        <v>103524</v>
      </c>
      <c r="K681" s="1">
        <v>0.09</v>
      </c>
      <c r="L681" t="s">
        <v>19</v>
      </c>
      <c r="M681" t="s">
        <v>39</v>
      </c>
      <c r="N681" s="6" t="s">
        <v>21</v>
      </c>
      <c r="O681" s="54">
        <f>TBL_Employees3[[#This Row],[Annual Salary]]+TBL_Employees3[[#This Row],[Bonus %]]*TBL_Employees3[[#This Row],[Annual Salary]]</f>
        <v>112841.16</v>
      </c>
      <c r="P681" t="str">
        <f>IF(AND(TBL_Employees3[[#This Row],[Department]]="IT",TBL_Employees3[[#This Row],[Gender]]="Female"),"Yes","No")</f>
        <v>No</v>
      </c>
      <c r="Q681" t="str">
        <f>IF(AND(TBL_Employees3[[#This Row],[Gender]]="Female",TBL_Employees3[[#This Row],[Ethnicity]]="Black"), "Female_Black", "Others")</f>
        <v>Others</v>
      </c>
    </row>
    <row r="682" spans="1:17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6">
        <v>42952</v>
      </c>
      <c r="J682" s="54">
        <v>119906</v>
      </c>
      <c r="K682" s="1">
        <v>0.05</v>
      </c>
      <c r="L682" t="s">
        <v>19</v>
      </c>
      <c r="M682" t="s">
        <v>29</v>
      </c>
      <c r="N682" s="6" t="s">
        <v>21</v>
      </c>
      <c r="O682" s="54">
        <f>TBL_Employees3[[#This Row],[Annual Salary]]+TBL_Employees3[[#This Row],[Bonus %]]*TBL_Employees3[[#This Row],[Annual Salary]]</f>
        <v>125901.3</v>
      </c>
      <c r="P682" t="str">
        <f>IF(AND(TBL_Employees3[[#This Row],[Department]]="IT",TBL_Employees3[[#This Row],[Gender]]="Female"),"Yes","No")</f>
        <v>No</v>
      </c>
      <c r="Q682" t="str">
        <f>IF(AND(TBL_Employees3[[#This Row],[Gender]]="Female",TBL_Employees3[[#This Row],[Ethnicity]]="Black"), "Female_Black", "Others")</f>
        <v>Others</v>
      </c>
    </row>
    <row r="683" spans="1:17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6">
        <v>43847</v>
      </c>
      <c r="J683" s="54">
        <v>45061</v>
      </c>
      <c r="K683" s="1">
        <v>0</v>
      </c>
      <c r="L683" t="s">
        <v>19</v>
      </c>
      <c r="M683" t="s">
        <v>45</v>
      </c>
      <c r="N683" s="6" t="s">
        <v>21</v>
      </c>
      <c r="O683" s="54">
        <f>TBL_Employees3[[#This Row],[Annual Salary]]+TBL_Employees3[[#This Row],[Bonus %]]*TBL_Employees3[[#This Row],[Annual Salary]]</f>
        <v>45061</v>
      </c>
      <c r="P683" t="str">
        <f>IF(AND(TBL_Employees3[[#This Row],[Department]]="IT",TBL_Employees3[[#This Row],[Gender]]="Female"),"Yes","No")</f>
        <v>No</v>
      </c>
      <c r="Q683" t="str">
        <f>IF(AND(TBL_Employees3[[#This Row],[Gender]]="Female",TBL_Employees3[[#This Row],[Ethnicity]]="Black"), "Female_Black", "Others")</f>
        <v>Others</v>
      </c>
    </row>
    <row r="684" spans="1:17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6">
        <v>37638</v>
      </c>
      <c r="J684" s="54">
        <v>91399</v>
      </c>
      <c r="K684" s="1">
        <v>0</v>
      </c>
      <c r="L684" t="s">
        <v>19</v>
      </c>
      <c r="M684" t="s">
        <v>63</v>
      </c>
      <c r="N684" s="6" t="s">
        <v>21</v>
      </c>
      <c r="O684" s="54">
        <f>TBL_Employees3[[#This Row],[Annual Salary]]+TBL_Employees3[[#This Row],[Bonus %]]*TBL_Employees3[[#This Row],[Annual Salary]]</f>
        <v>91399</v>
      </c>
      <c r="P684" t="str">
        <f>IF(AND(TBL_Employees3[[#This Row],[Department]]="IT",TBL_Employees3[[#This Row],[Gender]]="Female"),"Yes","No")</f>
        <v>No</v>
      </c>
      <c r="Q684" t="str">
        <f>IF(AND(TBL_Employees3[[#This Row],[Gender]]="Female",TBL_Employees3[[#This Row],[Ethnicity]]="Black"), "Female_Black", "Others")</f>
        <v>Others</v>
      </c>
    </row>
    <row r="685" spans="1:17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6">
        <v>43006</v>
      </c>
      <c r="J685" s="54">
        <v>97336</v>
      </c>
      <c r="K685" s="1">
        <v>0</v>
      </c>
      <c r="L685" t="s">
        <v>19</v>
      </c>
      <c r="M685" t="s">
        <v>25</v>
      </c>
      <c r="N685" s="6" t="s">
        <v>21</v>
      </c>
      <c r="O685" s="54">
        <f>TBL_Employees3[[#This Row],[Annual Salary]]+TBL_Employees3[[#This Row],[Bonus %]]*TBL_Employees3[[#This Row],[Annual Salary]]</f>
        <v>97336</v>
      </c>
      <c r="P685" t="str">
        <f>IF(AND(TBL_Employees3[[#This Row],[Department]]="IT",TBL_Employees3[[#This Row],[Gender]]="Female"),"Yes","No")</f>
        <v>No</v>
      </c>
      <c r="Q685" t="str">
        <f>IF(AND(TBL_Employees3[[#This Row],[Gender]]="Female",TBL_Employees3[[#This Row],[Ethnicity]]="Black"), "Female_Black", "Others")</f>
        <v>Others</v>
      </c>
    </row>
    <row r="686" spans="1:17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6">
        <v>42755</v>
      </c>
      <c r="J686" s="54">
        <v>124629</v>
      </c>
      <c r="K686" s="1">
        <v>0.1</v>
      </c>
      <c r="L686" t="s">
        <v>19</v>
      </c>
      <c r="M686" t="s">
        <v>29</v>
      </c>
      <c r="N686" s="6" t="s">
        <v>21</v>
      </c>
      <c r="O686" s="54">
        <f>TBL_Employees3[[#This Row],[Annual Salary]]+TBL_Employees3[[#This Row],[Bonus %]]*TBL_Employees3[[#This Row],[Annual Salary]]</f>
        <v>137091.9</v>
      </c>
      <c r="P686" t="str">
        <f>IF(AND(TBL_Employees3[[#This Row],[Department]]="IT",TBL_Employees3[[#This Row],[Gender]]="Female"),"Yes","No")</f>
        <v>No</v>
      </c>
      <c r="Q686" t="str">
        <f>IF(AND(TBL_Employees3[[#This Row],[Gender]]="Female",TBL_Employees3[[#This Row],[Ethnicity]]="Black"), "Female_Black", "Others")</f>
        <v>Female_Black</v>
      </c>
    </row>
    <row r="687" spans="1:17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6">
        <v>44402</v>
      </c>
      <c r="J687" s="54">
        <v>231850</v>
      </c>
      <c r="K687" s="1">
        <v>0.39</v>
      </c>
      <c r="L687" t="s">
        <v>19</v>
      </c>
      <c r="M687" t="s">
        <v>45</v>
      </c>
      <c r="N687" s="6" t="s">
        <v>21</v>
      </c>
      <c r="O687" s="54">
        <f>TBL_Employees3[[#This Row],[Annual Salary]]+TBL_Employees3[[#This Row],[Bonus %]]*TBL_Employees3[[#This Row],[Annual Salary]]</f>
        <v>322271.5</v>
      </c>
      <c r="P687" t="str">
        <f>IF(AND(TBL_Employees3[[#This Row],[Department]]="IT",TBL_Employees3[[#This Row],[Gender]]="Female"),"Yes","No")</f>
        <v>No</v>
      </c>
      <c r="Q687" t="str">
        <f>IF(AND(TBL_Employees3[[#This Row],[Gender]]="Female",TBL_Employees3[[#This Row],[Ethnicity]]="Black"), "Female_Black", "Others")</f>
        <v>Others</v>
      </c>
    </row>
    <row r="688" spans="1:17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6">
        <v>43255</v>
      </c>
      <c r="J688" s="54">
        <v>128329</v>
      </c>
      <c r="K688" s="1">
        <v>0.08</v>
      </c>
      <c r="L688" t="s">
        <v>19</v>
      </c>
      <c r="M688" t="s">
        <v>39</v>
      </c>
      <c r="N688" s="6" t="s">
        <v>21</v>
      </c>
      <c r="O688" s="54">
        <f>TBL_Employees3[[#This Row],[Annual Salary]]+TBL_Employees3[[#This Row],[Bonus %]]*TBL_Employees3[[#This Row],[Annual Salary]]</f>
        <v>138595.32</v>
      </c>
      <c r="P688" t="str">
        <f>IF(AND(TBL_Employees3[[#This Row],[Department]]="IT",TBL_Employees3[[#This Row],[Gender]]="Female"),"Yes","No")</f>
        <v>No</v>
      </c>
      <c r="Q688" t="str">
        <f>IF(AND(TBL_Employees3[[#This Row],[Gender]]="Female",TBL_Employees3[[#This Row],[Ethnicity]]="Black"), "Female_Black", "Others")</f>
        <v>Others</v>
      </c>
    </row>
    <row r="689" spans="1:17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6">
        <v>44283</v>
      </c>
      <c r="J689" s="54">
        <v>186033</v>
      </c>
      <c r="K689" s="1">
        <v>0.34</v>
      </c>
      <c r="L689" t="s">
        <v>52</v>
      </c>
      <c r="M689" t="s">
        <v>53</v>
      </c>
      <c r="N689" s="6" t="s">
        <v>21</v>
      </c>
      <c r="O689" s="54">
        <f>TBL_Employees3[[#This Row],[Annual Salary]]+TBL_Employees3[[#This Row],[Bonus %]]*TBL_Employees3[[#This Row],[Annual Salary]]</f>
        <v>249284.22</v>
      </c>
      <c r="P689" t="str">
        <f>IF(AND(TBL_Employees3[[#This Row],[Department]]="IT",TBL_Employees3[[#This Row],[Gender]]="Female"),"Yes","No")</f>
        <v>No</v>
      </c>
      <c r="Q689" t="str">
        <f>IF(AND(TBL_Employees3[[#This Row],[Gender]]="Female",TBL_Employees3[[#This Row],[Ethnicity]]="Black"), "Female_Black", "Others")</f>
        <v>Others</v>
      </c>
    </row>
    <row r="690" spans="1:17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6">
        <v>44403</v>
      </c>
      <c r="J690" s="54">
        <v>121480</v>
      </c>
      <c r="K690" s="1">
        <v>0.14000000000000001</v>
      </c>
      <c r="L690" t="s">
        <v>19</v>
      </c>
      <c r="M690" t="s">
        <v>39</v>
      </c>
      <c r="N690" s="6" t="s">
        <v>21</v>
      </c>
      <c r="O690" s="54">
        <f>TBL_Employees3[[#This Row],[Annual Salary]]+TBL_Employees3[[#This Row],[Bonus %]]*TBL_Employees3[[#This Row],[Annual Salary]]</f>
        <v>138487.20000000001</v>
      </c>
      <c r="P690" t="str">
        <f>IF(AND(TBL_Employees3[[#This Row],[Department]]="IT",TBL_Employees3[[#This Row],[Gender]]="Female"),"Yes","No")</f>
        <v>No</v>
      </c>
      <c r="Q690" t="str">
        <f>IF(AND(TBL_Employees3[[#This Row],[Gender]]="Female",TBL_Employees3[[#This Row],[Ethnicity]]="Black"), "Female_Black", "Others")</f>
        <v>Others</v>
      </c>
    </row>
    <row r="691" spans="1:17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6">
        <v>40319</v>
      </c>
      <c r="J691" s="54">
        <v>153275</v>
      </c>
      <c r="K691" s="1">
        <v>0.24</v>
      </c>
      <c r="L691" t="s">
        <v>19</v>
      </c>
      <c r="M691" t="s">
        <v>29</v>
      </c>
      <c r="N691" s="6" t="s">
        <v>21</v>
      </c>
      <c r="O691" s="54">
        <f>TBL_Employees3[[#This Row],[Annual Salary]]+TBL_Employees3[[#This Row],[Bonus %]]*TBL_Employees3[[#This Row],[Annual Salary]]</f>
        <v>190061</v>
      </c>
      <c r="P691" t="str">
        <f>IF(AND(TBL_Employees3[[#This Row],[Department]]="IT",TBL_Employees3[[#This Row],[Gender]]="Female"),"Yes","No")</f>
        <v>No</v>
      </c>
      <c r="Q691" t="str">
        <f>IF(AND(TBL_Employees3[[#This Row],[Gender]]="Female",TBL_Employees3[[#This Row],[Ethnicity]]="Black"), "Female_Black", "Others")</f>
        <v>Others</v>
      </c>
    </row>
    <row r="692" spans="1:17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6">
        <v>43969</v>
      </c>
      <c r="J692" s="54">
        <v>97830</v>
      </c>
      <c r="K692" s="1">
        <v>0</v>
      </c>
      <c r="L692" t="s">
        <v>19</v>
      </c>
      <c r="M692" t="s">
        <v>25</v>
      </c>
      <c r="N692" s="6" t="s">
        <v>21</v>
      </c>
      <c r="O692" s="54">
        <f>TBL_Employees3[[#This Row],[Annual Salary]]+TBL_Employees3[[#This Row],[Bonus %]]*TBL_Employees3[[#This Row],[Annual Salary]]</f>
        <v>97830</v>
      </c>
      <c r="P692" t="str">
        <f>IF(AND(TBL_Employees3[[#This Row],[Department]]="IT",TBL_Employees3[[#This Row],[Gender]]="Female"),"Yes","No")</f>
        <v>No</v>
      </c>
      <c r="Q692" t="str">
        <f>IF(AND(TBL_Employees3[[#This Row],[Gender]]="Female",TBL_Employees3[[#This Row],[Ethnicity]]="Black"), "Female_Black", "Others")</f>
        <v>Others</v>
      </c>
    </row>
    <row r="693" spans="1:17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6">
        <v>36232</v>
      </c>
      <c r="J693" s="54">
        <v>239394</v>
      </c>
      <c r="K693" s="1">
        <v>0.32</v>
      </c>
      <c r="L693" t="s">
        <v>19</v>
      </c>
      <c r="M693" t="s">
        <v>25</v>
      </c>
      <c r="N693" s="6" t="s">
        <v>21</v>
      </c>
      <c r="O693" s="54">
        <f>TBL_Employees3[[#This Row],[Annual Salary]]+TBL_Employees3[[#This Row],[Bonus %]]*TBL_Employees3[[#This Row],[Annual Salary]]</f>
        <v>316000.08</v>
      </c>
      <c r="P693" t="str">
        <f>IF(AND(TBL_Employees3[[#This Row],[Department]]="IT",TBL_Employees3[[#This Row],[Gender]]="Female"),"Yes","No")</f>
        <v>No</v>
      </c>
      <c r="Q693" t="str">
        <f>IF(AND(TBL_Employees3[[#This Row],[Gender]]="Female",TBL_Employees3[[#This Row],[Ethnicity]]="Black"), "Female_Black", "Others")</f>
        <v>Others</v>
      </c>
    </row>
    <row r="694" spans="1:17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6">
        <v>37519</v>
      </c>
      <c r="J694" s="54">
        <v>49738</v>
      </c>
      <c r="K694" s="1">
        <v>0</v>
      </c>
      <c r="L694" t="s">
        <v>33</v>
      </c>
      <c r="M694" t="s">
        <v>60</v>
      </c>
      <c r="N694" s="6" t="s">
        <v>21</v>
      </c>
      <c r="O694" s="54">
        <f>TBL_Employees3[[#This Row],[Annual Salary]]+TBL_Employees3[[#This Row],[Bonus %]]*TBL_Employees3[[#This Row],[Annual Salary]]</f>
        <v>49738</v>
      </c>
      <c r="P694" t="str">
        <f>IF(AND(TBL_Employees3[[#This Row],[Department]]="IT",TBL_Employees3[[#This Row],[Gender]]="Female"),"Yes","No")</f>
        <v>No</v>
      </c>
      <c r="Q694" t="str">
        <f>IF(AND(TBL_Employees3[[#This Row],[Gender]]="Female",TBL_Employees3[[#This Row],[Ethnicity]]="Black"), "Female_Black", "Others")</f>
        <v>Others</v>
      </c>
    </row>
    <row r="695" spans="1:17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6">
        <v>43247</v>
      </c>
      <c r="J695" s="54">
        <v>45049</v>
      </c>
      <c r="K695" s="1">
        <v>0</v>
      </c>
      <c r="L695" t="s">
        <v>19</v>
      </c>
      <c r="M695" t="s">
        <v>63</v>
      </c>
      <c r="N695" s="6" t="s">
        <v>21</v>
      </c>
      <c r="O695" s="54">
        <f>TBL_Employees3[[#This Row],[Annual Salary]]+TBL_Employees3[[#This Row],[Bonus %]]*TBL_Employees3[[#This Row],[Annual Salary]]</f>
        <v>45049</v>
      </c>
      <c r="P695" t="str">
        <f>IF(AND(TBL_Employees3[[#This Row],[Department]]="IT",TBL_Employees3[[#This Row],[Gender]]="Female"),"Yes","No")</f>
        <v>No</v>
      </c>
      <c r="Q695" t="str">
        <f>IF(AND(TBL_Employees3[[#This Row],[Gender]]="Female",TBL_Employees3[[#This Row],[Ethnicity]]="Black"), "Female_Black", "Others")</f>
        <v>Others</v>
      </c>
    </row>
    <row r="696" spans="1:17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6">
        <v>43977</v>
      </c>
      <c r="J696" s="54">
        <v>153628</v>
      </c>
      <c r="K696" s="1">
        <v>0.28999999999999998</v>
      </c>
      <c r="L696" t="s">
        <v>33</v>
      </c>
      <c r="M696" t="s">
        <v>80</v>
      </c>
      <c r="N696" s="6">
        <v>44177</v>
      </c>
      <c r="O696" s="54">
        <f>TBL_Employees3[[#This Row],[Annual Salary]]+TBL_Employees3[[#This Row],[Bonus %]]*TBL_Employees3[[#This Row],[Annual Salary]]</f>
        <v>198180.12</v>
      </c>
      <c r="P696" t="str">
        <f>IF(AND(TBL_Employees3[[#This Row],[Department]]="IT",TBL_Employees3[[#This Row],[Gender]]="Female"),"Yes","No")</f>
        <v>No</v>
      </c>
      <c r="Q696" t="str">
        <f>IF(AND(TBL_Employees3[[#This Row],[Gender]]="Female",TBL_Employees3[[#This Row],[Ethnicity]]="Black"), "Female_Black", "Others")</f>
        <v>Others</v>
      </c>
    </row>
    <row r="697" spans="1:17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6">
        <v>44362</v>
      </c>
      <c r="J697" s="54">
        <v>142731</v>
      </c>
      <c r="K697" s="1">
        <v>0.11</v>
      </c>
      <c r="L697" t="s">
        <v>33</v>
      </c>
      <c r="M697" t="s">
        <v>74</v>
      </c>
      <c r="N697" s="6">
        <v>44715</v>
      </c>
      <c r="O697" s="54">
        <f>TBL_Employees3[[#This Row],[Annual Salary]]+TBL_Employees3[[#This Row],[Bonus %]]*TBL_Employees3[[#This Row],[Annual Salary]]</f>
        <v>158431.41</v>
      </c>
      <c r="P697" t="str">
        <f>IF(AND(TBL_Employees3[[#This Row],[Department]]="IT",TBL_Employees3[[#This Row],[Gender]]="Female"),"Yes","No")</f>
        <v>No</v>
      </c>
      <c r="Q697" t="str">
        <f>IF(AND(TBL_Employees3[[#This Row],[Gender]]="Female",TBL_Employees3[[#This Row],[Ethnicity]]="Black"), "Female_Black", "Others")</f>
        <v>Others</v>
      </c>
    </row>
    <row r="698" spans="1:17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6">
        <v>43966</v>
      </c>
      <c r="J698" s="54">
        <v>137106</v>
      </c>
      <c r="K698" s="1">
        <v>0.12</v>
      </c>
      <c r="L698" t="s">
        <v>52</v>
      </c>
      <c r="M698" t="s">
        <v>53</v>
      </c>
      <c r="N698" s="6" t="s">
        <v>21</v>
      </c>
      <c r="O698" s="54">
        <f>TBL_Employees3[[#This Row],[Annual Salary]]+TBL_Employees3[[#This Row],[Bonus %]]*TBL_Employees3[[#This Row],[Annual Salary]]</f>
        <v>153558.72</v>
      </c>
      <c r="P698" t="str">
        <f>IF(AND(TBL_Employees3[[#This Row],[Department]]="IT",TBL_Employees3[[#This Row],[Gender]]="Female"),"Yes","No")</f>
        <v>No</v>
      </c>
      <c r="Q698" t="str">
        <f>IF(AND(TBL_Employees3[[#This Row],[Gender]]="Female",TBL_Employees3[[#This Row],[Ethnicity]]="Black"), "Female_Black", "Others")</f>
        <v>Others</v>
      </c>
    </row>
    <row r="699" spans="1:17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6">
        <v>39330</v>
      </c>
      <c r="J699" s="54">
        <v>183239</v>
      </c>
      <c r="K699" s="1">
        <v>0.32</v>
      </c>
      <c r="L699" t="s">
        <v>19</v>
      </c>
      <c r="M699" t="s">
        <v>63</v>
      </c>
      <c r="N699" s="6" t="s">
        <v>21</v>
      </c>
      <c r="O699" s="54">
        <f>TBL_Employees3[[#This Row],[Annual Salary]]+TBL_Employees3[[#This Row],[Bonus %]]*TBL_Employees3[[#This Row],[Annual Salary]]</f>
        <v>241875.48</v>
      </c>
      <c r="P699" t="str">
        <f>IF(AND(TBL_Employees3[[#This Row],[Department]]="IT",TBL_Employees3[[#This Row],[Gender]]="Female"),"Yes","No")</f>
        <v>No</v>
      </c>
      <c r="Q699" t="str">
        <f>IF(AND(TBL_Employees3[[#This Row],[Gender]]="Female",TBL_Employees3[[#This Row],[Ethnicity]]="Black"), "Female_Black", "Others")</f>
        <v>Others</v>
      </c>
    </row>
    <row r="700" spans="1:17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6">
        <v>43610</v>
      </c>
      <c r="J700" s="54">
        <v>45819</v>
      </c>
      <c r="K700" s="1">
        <v>0</v>
      </c>
      <c r="L700" t="s">
        <v>19</v>
      </c>
      <c r="M700" t="s">
        <v>45</v>
      </c>
      <c r="N700" s="6" t="s">
        <v>21</v>
      </c>
      <c r="O700" s="54">
        <f>TBL_Employees3[[#This Row],[Annual Salary]]+TBL_Employees3[[#This Row],[Bonus %]]*TBL_Employees3[[#This Row],[Annual Salary]]</f>
        <v>45819</v>
      </c>
      <c r="P700" t="str">
        <f>IF(AND(TBL_Employees3[[#This Row],[Department]]="IT",TBL_Employees3[[#This Row],[Gender]]="Female"),"Yes","No")</f>
        <v>No</v>
      </c>
      <c r="Q700" t="str">
        <f>IF(AND(TBL_Employees3[[#This Row],[Gender]]="Female",TBL_Employees3[[#This Row],[Ethnicity]]="Black"), "Female_Black", "Others")</f>
        <v>Others</v>
      </c>
    </row>
    <row r="701" spans="1:17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6">
        <v>39080</v>
      </c>
      <c r="J701" s="54">
        <v>55518</v>
      </c>
      <c r="K701" s="1">
        <v>0</v>
      </c>
      <c r="L701" t="s">
        <v>19</v>
      </c>
      <c r="M701" t="s">
        <v>29</v>
      </c>
      <c r="N701" s="6" t="s">
        <v>21</v>
      </c>
      <c r="O701" s="54">
        <f>TBL_Employees3[[#This Row],[Annual Salary]]+TBL_Employees3[[#This Row],[Bonus %]]*TBL_Employees3[[#This Row],[Annual Salary]]</f>
        <v>55518</v>
      </c>
      <c r="P701" t="str">
        <f>IF(AND(TBL_Employees3[[#This Row],[Department]]="IT",TBL_Employees3[[#This Row],[Gender]]="Female"),"Yes","No")</f>
        <v>No</v>
      </c>
      <c r="Q701" t="str">
        <f>IF(AND(TBL_Employees3[[#This Row],[Gender]]="Female",TBL_Employees3[[#This Row],[Ethnicity]]="Black"), "Female_Black", "Others")</f>
        <v>Others</v>
      </c>
    </row>
    <row r="702" spans="1:17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6">
        <v>40979</v>
      </c>
      <c r="J702" s="54">
        <v>108134</v>
      </c>
      <c r="K702" s="1">
        <v>0.1</v>
      </c>
      <c r="L702" t="s">
        <v>33</v>
      </c>
      <c r="M702" t="s">
        <v>74</v>
      </c>
      <c r="N702" s="6" t="s">
        <v>21</v>
      </c>
      <c r="O702" s="54">
        <f>TBL_Employees3[[#This Row],[Annual Salary]]+TBL_Employees3[[#This Row],[Bonus %]]*TBL_Employees3[[#This Row],[Annual Salary]]</f>
        <v>118947.4</v>
      </c>
      <c r="P702" t="str">
        <f>IF(AND(TBL_Employees3[[#This Row],[Department]]="IT",TBL_Employees3[[#This Row],[Gender]]="Female"),"Yes","No")</f>
        <v>No</v>
      </c>
      <c r="Q702" t="str">
        <f>IF(AND(TBL_Employees3[[#This Row],[Gender]]="Female",TBL_Employees3[[#This Row],[Ethnicity]]="Black"), "Female_Black", "Others")</f>
        <v>Others</v>
      </c>
    </row>
    <row r="703" spans="1:17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6">
        <v>33958</v>
      </c>
      <c r="J703" s="54">
        <v>113950</v>
      </c>
      <c r="K703" s="1">
        <v>0.09</v>
      </c>
      <c r="L703" t="s">
        <v>19</v>
      </c>
      <c r="M703" t="s">
        <v>45</v>
      </c>
      <c r="N703" s="6" t="s">
        <v>21</v>
      </c>
      <c r="O703" s="54">
        <f>TBL_Employees3[[#This Row],[Annual Salary]]+TBL_Employees3[[#This Row],[Bonus %]]*TBL_Employees3[[#This Row],[Annual Salary]]</f>
        <v>124205.5</v>
      </c>
      <c r="P703" t="str">
        <f>IF(AND(TBL_Employees3[[#This Row],[Department]]="IT",TBL_Employees3[[#This Row],[Gender]]="Female"),"Yes","No")</f>
        <v>No</v>
      </c>
      <c r="Q703" t="str">
        <f>IF(AND(TBL_Employees3[[#This Row],[Gender]]="Female",TBL_Employees3[[#This Row],[Ethnicity]]="Black"), "Female_Black", "Others")</f>
        <v>Female_Black</v>
      </c>
    </row>
    <row r="704" spans="1:17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6">
        <v>35886</v>
      </c>
      <c r="J704" s="54">
        <v>182035</v>
      </c>
      <c r="K704" s="1">
        <v>0.3</v>
      </c>
      <c r="L704" t="s">
        <v>19</v>
      </c>
      <c r="M704" t="s">
        <v>20</v>
      </c>
      <c r="N704" s="6" t="s">
        <v>21</v>
      </c>
      <c r="O704" s="54">
        <f>TBL_Employees3[[#This Row],[Annual Salary]]+TBL_Employees3[[#This Row],[Bonus %]]*TBL_Employees3[[#This Row],[Annual Salary]]</f>
        <v>236645.5</v>
      </c>
      <c r="P704" t="str">
        <f>IF(AND(TBL_Employees3[[#This Row],[Department]]="IT",TBL_Employees3[[#This Row],[Gender]]="Female"),"Yes","No")</f>
        <v>No</v>
      </c>
      <c r="Q704" t="str">
        <f>IF(AND(TBL_Employees3[[#This Row],[Gender]]="Female",TBL_Employees3[[#This Row],[Ethnicity]]="Black"), "Female_Black", "Others")</f>
        <v>Others</v>
      </c>
    </row>
    <row r="705" spans="1:17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6">
        <v>42963</v>
      </c>
      <c r="J705" s="54">
        <v>181356</v>
      </c>
      <c r="K705" s="1">
        <v>0.23</v>
      </c>
      <c r="L705" t="s">
        <v>33</v>
      </c>
      <c r="M705" t="s">
        <v>60</v>
      </c>
      <c r="N705" s="6" t="s">
        <v>21</v>
      </c>
      <c r="O705" s="54">
        <f>TBL_Employees3[[#This Row],[Annual Salary]]+TBL_Employees3[[#This Row],[Bonus %]]*TBL_Employees3[[#This Row],[Annual Salary]]</f>
        <v>223067.88</v>
      </c>
      <c r="P705" t="str">
        <f>IF(AND(TBL_Employees3[[#This Row],[Department]]="IT",TBL_Employees3[[#This Row],[Gender]]="Female"),"Yes","No")</f>
        <v>No</v>
      </c>
      <c r="Q705" t="str">
        <f>IF(AND(TBL_Employees3[[#This Row],[Gender]]="Female",TBL_Employees3[[#This Row],[Ethnicity]]="Black"), "Female_Black", "Others")</f>
        <v>Others</v>
      </c>
    </row>
    <row r="706" spans="1:17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6">
        <v>43698</v>
      </c>
      <c r="J706" s="54">
        <v>66084</v>
      </c>
      <c r="K706" s="1">
        <v>0</v>
      </c>
      <c r="L706" t="s">
        <v>19</v>
      </c>
      <c r="M706" t="s">
        <v>63</v>
      </c>
      <c r="N706" s="6" t="s">
        <v>21</v>
      </c>
      <c r="O706" s="54">
        <f>TBL_Employees3[[#This Row],[Annual Salary]]+TBL_Employees3[[#This Row],[Bonus %]]*TBL_Employees3[[#This Row],[Annual Salary]]</f>
        <v>66084</v>
      </c>
      <c r="P706" t="str">
        <f>IF(AND(TBL_Employees3[[#This Row],[Department]]="IT",TBL_Employees3[[#This Row],[Gender]]="Female"),"Yes","No")</f>
        <v>No</v>
      </c>
      <c r="Q706" t="str">
        <f>IF(AND(TBL_Employees3[[#This Row],[Gender]]="Female",TBL_Employees3[[#This Row],[Ethnicity]]="Black"), "Female_Black", "Others")</f>
        <v>Female_Black</v>
      </c>
    </row>
    <row r="707" spans="1:17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6">
        <v>40290</v>
      </c>
      <c r="J707" s="54">
        <v>76912</v>
      </c>
      <c r="K707" s="1">
        <v>0</v>
      </c>
      <c r="L707" t="s">
        <v>52</v>
      </c>
      <c r="M707" t="s">
        <v>53</v>
      </c>
      <c r="N707" s="6" t="s">
        <v>21</v>
      </c>
      <c r="O707" s="54">
        <f>TBL_Employees3[[#This Row],[Annual Salary]]+TBL_Employees3[[#This Row],[Bonus %]]*TBL_Employees3[[#This Row],[Annual Salary]]</f>
        <v>76912</v>
      </c>
      <c r="P707" t="str">
        <f>IF(AND(TBL_Employees3[[#This Row],[Department]]="IT",TBL_Employees3[[#This Row],[Gender]]="Female"),"Yes","No")</f>
        <v>Yes</v>
      </c>
      <c r="Q707" t="str">
        <f>IF(AND(TBL_Employees3[[#This Row],[Gender]]="Female",TBL_Employees3[[#This Row],[Ethnicity]]="Black"), "Female_Black", "Others")</f>
        <v>Others</v>
      </c>
    </row>
    <row r="708" spans="1:17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6">
        <v>43227</v>
      </c>
      <c r="J708" s="54">
        <v>67987</v>
      </c>
      <c r="K708" s="1">
        <v>0</v>
      </c>
      <c r="L708" t="s">
        <v>19</v>
      </c>
      <c r="M708" t="s">
        <v>45</v>
      </c>
      <c r="N708" s="6" t="s">
        <v>21</v>
      </c>
      <c r="O708" s="54">
        <f>TBL_Employees3[[#This Row],[Annual Salary]]+TBL_Employees3[[#This Row],[Bonus %]]*TBL_Employees3[[#This Row],[Annual Salary]]</f>
        <v>67987</v>
      </c>
      <c r="P708" t="str">
        <f>IF(AND(TBL_Employees3[[#This Row],[Department]]="IT",TBL_Employees3[[#This Row],[Gender]]="Female"),"Yes","No")</f>
        <v>No</v>
      </c>
      <c r="Q708" t="str">
        <f>IF(AND(TBL_Employees3[[#This Row],[Gender]]="Female",TBL_Employees3[[#This Row],[Ethnicity]]="Black"), "Female_Black", "Others")</f>
        <v>Others</v>
      </c>
    </row>
    <row r="709" spans="1:17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6">
        <v>38584</v>
      </c>
      <c r="J709" s="54">
        <v>59833</v>
      </c>
      <c r="K709" s="1">
        <v>0</v>
      </c>
      <c r="L709" t="s">
        <v>19</v>
      </c>
      <c r="M709" t="s">
        <v>29</v>
      </c>
      <c r="N709" s="6" t="s">
        <v>21</v>
      </c>
      <c r="O709" s="54">
        <f>TBL_Employees3[[#This Row],[Annual Salary]]+TBL_Employees3[[#This Row],[Bonus %]]*TBL_Employees3[[#This Row],[Annual Salary]]</f>
        <v>59833</v>
      </c>
      <c r="P709" t="str">
        <f>IF(AND(TBL_Employees3[[#This Row],[Department]]="IT",TBL_Employees3[[#This Row],[Gender]]="Female"),"Yes","No")</f>
        <v>No</v>
      </c>
      <c r="Q709" t="str">
        <f>IF(AND(TBL_Employees3[[#This Row],[Gender]]="Female",TBL_Employees3[[#This Row],[Ethnicity]]="Black"), "Female_Black", "Others")</f>
        <v>Others</v>
      </c>
    </row>
    <row r="710" spans="1:17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6">
        <v>38453</v>
      </c>
      <c r="J710" s="54">
        <v>128468</v>
      </c>
      <c r="K710" s="1">
        <v>0.11</v>
      </c>
      <c r="L710" t="s">
        <v>19</v>
      </c>
      <c r="M710" t="s">
        <v>20</v>
      </c>
      <c r="N710" s="6" t="s">
        <v>21</v>
      </c>
      <c r="O710" s="54">
        <f>TBL_Employees3[[#This Row],[Annual Salary]]+TBL_Employees3[[#This Row],[Bonus %]]*TBL_Employees3[[#This Row],[Annual Salary]]</f>
        <v>142599.48000000001</v>
      </c>
      <c r="P710" t="str">
        <f>IF(AND(TBL_Employees3[[#This Row],[Department]]="IT",TBL_Employees3[[#This Row],[Gender]]="Female"),"Yes","No")</f>
        <v>No</v>
      </c>
      <c r="Q710" t="str">
        <f>IF(AND(TBL_Employees3[[#This Row],[Gender]]="Female",TBL_Employees3[[#This Row],[Ethnicity]]="Black"), "Female_Black", "Others")</f>
        <v>Others</v>
      </c>
    </row>
    <row r="711" spans="1:17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6">
        <v>40692</v>
      </c>
      <c r="J711" s="54">
        <v>102440</v>
      </c>
      <c r="K711" s="1">
        <v>0.06</v>
      </c>
      <c r="L711" t="s">
        <v>19</v>
      </c>
      <c r="M711" t="s">
        <v>20</v>
      </c>
      <c r="N711" s="6" t="s">
        <v>21</v>
      </c>
      <c r="O711" s="54">
        <f>TBL_Employees3[[#This Row],[Annual Salary]]+TBL_Employees3[[#This Row],[Bonus %]]*TBL_Employees3[[#This Row],[Annual Salary]]</f>
        <v>108586.4</v>
      </c>
      <c r="P711" t="str">
        <f>IF(AND(TBL_Employees3[[#This Row],[Department]]="IT",TBL_Employees3[[#This Row],[Gender]]="Female"),"Yes","No")</f>
        <v>No</v>
      </c>
      <c r="Q711" t="str">
        <f>IF(AND(TBL_Employees3[[#This Row],[Gender]]="Female",TBL_Employees3[[#This Row],[Ethnicity]]="Black"), "Female_Black", "Others")</f>
        <v>Others</v>
      </c>
    </row>
    <row r="712" spans="1:17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6">
        <v>40542</v>
      </c>
      <c r="J712" s="54">
        <v>246619</v>
      </c>
      <c r="K712" s="1">
        <v>0.36</v>
      </c>
      <c r="L712" t="s">
        <v>19</v>
      </c>
      <c r="M712" t="s">
        <v>45</v>
      </c>
      <c r="N712" s="6" t="s">
        <v>21</v>
      </c>
      <c r="O712" s="54">
        <f>TBL_Employees3[[#This Row],[Annual Salary]]+TBL_Employees3[[#This Row],[Bonus %]]*TBL_Employees3[[#This Row],[Annual Salary]]</f>
        <v>335401.83999999997</v>
      </c>
      <c r="P712" t="str">
        <f>IF(AND(TBL_Employees3[[#This Row],[Department]]="IT",TBL_Employees3[[#This Row],[Gender]]="Female"),"Yes","No")</f>
        <v>No</v>
      </c>
      <c r="Q712" t="str">
        <f>IF(AND(TBL_Employees3[[#This Row],[Gender]]="Female",TBL_Employees3[[#This Row],[Ethnicity]]="Black"), "Female_Black", "Others")</f>
        <v>Others</v>
      </c>
    </row>
    <row r="713" spans="1:17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6">
        <v>43058</v>
      </c>
      <c r="J713" s="54">
        <v>101143</v>
      </c>
      <c r="K713" s="1">
        <v>0.06</v>
      </c>
      <c r="L713" t="s">
        <v>19</v>
      </c>
      <c r="M713" t="s">
        <v>45</v>
      </c>
      <c r="N713" s="6" t="s">
        <v>21</v>
      </c>
      <c r="O713" s="54">
        <f>TBL_Employees3[[#This Row],[Annual Salary]]+TBL_Employees3[[#This Row],[Bonus %]]*TBL_Employees3[[#This Row],[Annual Salary]]</f>
        <v>107211.58</v>
      </c>
      <c r="P713" t="str">
        <f>IF(AND(TBL_Employees3[[#This Row],[Department]]="IT",TBL_Employees3[[#This Row],[Gender]]="Female"),"Yes","No")</f>
        <v>No</v>
      </c>
      <c r="Q713" t="str">
        <f>IF(AND(TBL_Employees3[[#This Row],[Gender]]="Female",TBL_Employees3[[#This Row],[Ethnicity]]="Black"), "Female_Black", "Others")</f>
        <v>Others</v>
      </c>
    </row>
    <row r="714" spans="1:17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6">
        <v>38639</v>
      </c>
      <c r="J714" s="54">
        <v>51404</v>
      </c>
      <c r="K714" s="1">
        <v>0</v>
      </c>
      <c r="L714" t="s">
        <v>52</v>
      </c>
      <c r="M714" t="s">
        <v>81</v>
      </c>
      <c r="N714" s="6">
        <v>40153</v>
      </c>
      <c r="O714" s="54">
        <f>TBL_Employees3[[#This Row],[Annual Salary]]+TBL_Employees3[[#This Row],[Bonus %]]*TBL_Employees3[[#This Row],[Annual Salary]]</f>
        <v>51404</v>
      </c>
      <c r="P714" t="str">
        <f>IF(AND(TBL_Employees3[[#This Row],[Department]]="IT",TBL_Employees3[[#This Row],[Gender]]="Female"),"Yes","No")</f>
        <v>No</v>
      </c>
      <c r="Q714" t="str">
        <f>IF(AND(TBL_Employees3[[#This Row],[Gender]]="Female",TBL_Employees3[[#This Row],[Ethnicity]]="Black"), "Female_Black", "Others")</f>
        <v>Others</v>
      </c>
    </row>
    <row r="715" spans="1:17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6">
        <v>42329</v>
      </c>
      <c r="J715" s="54">
        <v>87292</v>
      </c>
      <c r="K715" s="1">
        <v>0</v>
      </c>
      <c r="L715" t="s">
        <v>19</v>
      </c>
      <c r="M715" t="s">
        <v>29</v>
      </c>
      <c r="N715" s="6" t="s">
        <v>21</v>
      </c>
      <c r="O715" s="54">
        <f>TBL_Employees3[[#This Row],[Annual Salary]]+TBL_Employees3[[#This Row],[Bonus %]]*TBL_Employees3[[#This Row],[Annual Salary]]</f>
        <v>87292</v>
      </c>
      <c r="P715" t="str">
        <f>IF(AND(TBL_Employees3[[#This Row],[Department]]="IT",TBL_Employees3[[#This Row],[Gender]]="Female"),"Yes","No")</f>
        <v>No</v>
      </c>
      <c r="Q715" t="str">
        <f>IF(AND(TBL_Employees3[[#This Row],[Gender]]="Female",TBL_Employees3[[#This Row],[Ethnicity]]="Black"), "Female_Black", "Others")</f>
        <v>Others</v>
      </c>
    </row>
    <row r="716" spans="1:17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6">
        <v>43810</v>
      </c>
      <c r="J716" s="54">
        <v>182321</v>
      </c>
      <c r="K716" s="1">
        <v>0.28000000000000003</v>
      </c>
      <c r="L716" t="s">
        <v>33</v>
      </c>
      <c r="M716" t="s">
        <v>60</v>
      </c>
      <c r="N716" s="6" t="s">
        <v>21</v>
      </c>
      <c r="O716" s="54">
        <f>TBL_Employees3[[#This Row],[Annual Salary]]+TBL_Employees3[[#This Row],[Bonus %]]*TBL_Employees3[[#This Row],[Annual Salary]]</f>
        <v>233370.88</v>
      </c>
      <c r="P716" t="str">
        <f>IF(AND(TBL_Employees3[[#This Row],[Department]]="IT",TBL_Employees3[[#This Row],[Gender]]="Female"),"Yes","No")</f>
        <v>No</v>
      </c>
      <c r="Q716" t="str">
        <f>IF(AND(TBL_Employees3[[#This Row],[Gender]]="Female",TBL_Employees3[[#This Row],[Ethnicity]]="Black"), "Female_Black", "Others")</f>
        <v>Others</v>
      </c>
    </row>
    <row r="717" spans="1:17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6">
        <v>41697</v>
      </c>
      <c r="J717" s="54">
        <v>53929</v>
      </c>
      <c r="K717" s="1">
        <v>0</v>
      </c>
      <c r="L717" t="s">
        <v>19</v>
      </c>
      <c r="M717" t="s">
        <v>45</v>
      </c>
      <c r="N717" s="6">
        <v>43091</v>
      </c>
      <c r="O717" s="54">
        <f>TBL_Employees3[[#This Row],[Annual Salary]]+TBL_Employees3[[#This Row],[Bonus %]]*TBL_Employees3[[#This Row],[Annual Salary]]</f>
        <v>53929</v>
      </c>
      <c r="P717" t="str">
        <f>IF(AND(TBL_Employees3[[#This Row],[Department]]="IT",TBL_Employees3[[#This Row],[Gender]]="Female"),"Yes","No")</f>
        <v>No</v>
      </c>
      <c r="Q717" t="str">
        <f>IF(AND(TBL_Employees3[[#This Row],[Gender]]="Female",TBL_Employees3[[#This Row],[Ethnicity]]="Black"), "Female_Black", "Others")</f>
        <v>Others</v>
      </c>
    </row>
    <row r="718" spans="1:17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6">
        <v>41256</v>
      </c>
      <c r="J718" s="54">
        <v>191571</v>
      </c>
      <c r="K718" s="1">
        <v>0.32</v>
      </c>
      <c r="L718" t="s">
        <v>19</v>
      </c>
      <c r="M718" t="s">
        <v>25</v>
      </c>
      <c r="N718" s="6" t="s">
        <v>21</v>
      </c>
      <c r="O718" s="54">
        <f>TBL_Employees3[[#This Row],[Annual Salary]]+TBL_Employees3[[#This Row],[Bonus %]]*TBL_Employees3[[#This Row],[Annual Salary]]</f>
        <v>252873.72</v>
      </c>
      <c r="P718" t="str">
        <f>IF(AND(TBL_Employees3[[#This Row],[Department]]="IT",TBL_Employees3[[#This Row],[Gender]]="Female"),"Yes","No")</f>
        <v>No</v>
      </c>
      <c r="Q718" t="str">
        <f>IF(AND(TBL_Employees3[[#This Row],[Gender]]="Female",TBL_Employees3[[#This Row],[Ethnicity]]="Black"), "Female_Black", "Others")</f>
        <v>Others</v>
      </c>
    </row>
    <row r="719" spans="1:17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6">
        <v>39843</v>
      </c>
      <c r="J719" s="54">
        <v>150555</v>
      </c>
      <c r="K719" s="1">
        <v>0.13</v>
      </c>
      <c r="L719" t="s">
        <v>19</v>
      </c>
      <c r="M719" t="s">
        <v>39</v>
      </c>
      <c r="N719" s="6" t="s">
        <v>21</v>
      </c>
      <c r="O719" s="54">
        <f>TBL_Employees3[[#This Row],[Annual Salary]]+TBL_Employees3[[#This Row],[Bonus %]]*TBL_Employees3[[#This Row],[Annual Salary]]</f>
        <v>170127.15</v>
      </c>
      <c r="P719" t="str">
        <f>IF(AND(TBL_Employees3[[#This Row],[Department]]="IT",TBL_Employees3[[#This Row],[Gender]]="Female"),"Yes","No")</f>
        <v>No</v>
      </c>
      <c r="Q719" t="str">
        <f>IF(AND(TBL_Employees3[[#This Row],[Gender]]="Female",TBL_Employees3[[#This Row],[Ethnicity]]="Black"), "Female_Black", "Others")</f>
        <v>Others</v>
      </c>
    </row>
    <row r="720" spans="1:17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6">
        <v>40091</v>
      </c>
      <c r="J720" s="54">
        <v>122890</v>
      </c>
      <c r="K720" s="1">
        <v>7.0000000000000007E-2</v>
      </c>
      <c r="L720" t="s">
        <v>33</v>
      </c>
      <c r="M720" t="s">
        <v>74</v>
      </c>
      <c r="N720" s="6" t="s">
        <v>21</v>
      </c>
      <c r="O720" s="54">
        <f>TBL_Employees3[[#This Row],[Annual Salary]]+TBL_Employees3[[#This Row],[Bonus %]]*TBL_Employees3[[#This Row],[Annual Salary]]</f>
        <v>131492.29999999999</v>
      </c>
      <c r="P720" t="str">
        <f>IF(AND(TBL_Employees3[[#This Row],[Department]]="IT",TBL_Employees3[[#This Row],[Gender]]="Female"),"Yes","No")</f>
        <v>No</v>
      </c>
      <c r="Q720" t="str">
        <f>IF(AND(TBL_Employees3[[#This Row],[Gender]]="Female",TBL_Employees3[[#This Row],[Ethnicity]]="Black"), "Female_Black", "Others")</f>
        <v>Others</v>
      </c>
    </row>
    <row r="721" spans="1:17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6">
        <v>35576</v>
      </c>
      <c r="J721" s="54">
        <v>216999</v>
      </c>
      <c r="K721" s="1">
        <v>0.37</v>
      </c>
      <c r="L721" t="s">
        <v>19</v>
      </c>
      <c r="M721" t="s">
        <v>45</v>
      </c>
      <c r="N721" s="6" t="s">
        <v>21</v>
      </c>
      <c r="O721" s="54">
        <f>TBL_Employees3[[#This Row],[Annual Salary]]+TBL_Employees3[[#This Row],[Bonus %]]*TBL_Employees3[[#This Row],[Annual Salary]]</f>
        <v>297288.63</v>
      </c>
      <c r="P721" t="str">
        <f>IF(AND(TBL_Employees3[[#This Row],[Department]]="IT",TBL_Employees3[[#This Row],[Gender]]="Female"),"Yes","No")</f>
        <v>No</v>
      </c>
      <c r="Q721" t="str">
        <f>IF(AND(TBL_Employees3[[#This Row],[Gender]]="Female",TBL_Employees3[[#This Row],[Ethnicity]]="Black"), "Female_Black", "Others")</f>
        <v>Others</v>
      </c>
    </row>
    <row r="722" spans="1:17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6">
        <v>42201</v>
      </c>
      <c r="J722" s="54">
        <v>110565</v>
      </c>
      <c r="K722" s="1">
        <v>0.09</v>
      </c>
      <c r="L722" t="s">
        <v>33</v>
      </c>
      <c r="M722" t="s">
        <v>60</v>
      </c>
      <c r="N722" s="6" t="s">
        <v>21</v>
      </c>
      <c r="O722" s="54">
        <f>TBL_Employees3[[#This Row],[Annual Salary]]+TBL_Employees3[[#This Row],[Bonus %]]*TBL_Employees3[[#This Row],[Annual Salary]]</f>
        <v>120515.85</v>
      </c>
      <c r="P722" t="str">
        <f>IF(AND(TBL_Employees3[[#This Row],[Department]]="IT",TBL_Employees3[[#This Row],[Gender]]="Female"),"Yes","No")</f>
        <v>No</v>
      </c>
      <c r="Q722" t="str">
        <f>IF(AND(TBL_Employees3[[#This Row],[Gender]]="Female",TBL_Employees3[[#This Row],[Ethnicity]]="Black"), "Female_Black", "Others")</f>
        <v>Others</v>
      </c>
    </row>
    <row r="723" spans="1:17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6">
        <v>42113</v>
      </c>
      <c r="J723" s="54">
        <v>48762</v>
      </c>
      <c r="K723" s="1">
        <v>0</v>
      </c>
      <c r="L723" t="s">
        <v>19</v>
      </c>
      <c r="M723" t="s">
        <v>63</v>
      </c>
      <c r="N723" s="6" t="s">
        <v>21</v>
      </c>
      <c r="O723" s="54">
        <f>TBL_Employees3[[#This Row],[Annual Salary]]+TBL_Employees3[[#This Row],[Bonus %]]*TBL_Employees3[[#This Row],[Annual Salary]]</f>
        <v>48762</v>
      </c>
      <c r="P723" t="str">
        <f>IF(AND(TBL_Employees3[[#This Row],[Department]]="IT",TBL_Employees3[[#This Row],[Gender]]="Female"),"Yes","No")</f>
        <v>No</v>
      </c>
      <c r="Q723" t="str">
        <f>IF(AND(TBL_Employees3[[#This Row],[Gender]]="Female",TBL_Employees3[[#This Row],[Ethnicity]]="Black"), "Female_Black", "Others")</f>
        <v>Others</v>
      </c>
    </row>
    <row r="724" spans="1:17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6">
        <v>42777</v>
      </c>
      <c r="J724" s="54">
        <v>87036</v>
      </c>
      <c r="K724" s="1">
        <v>0</v>
      </c>
      <c r="L724" t="s">
        <v>33</v>
      </c>
      <c r="M724" t="s">
        <v>80</v>
      </c>
      <c r="N724" s="6" t="s">
        <v>21</v>
      </c>
      <c r="O724" s="54">
        <f>TBL_Employees3[[#This Row],[Annual Salary]]+TBL_Employees3[[#This Row],[Bonus %]]*TBL_Employees3[[#This Row],[Annual Salary]]</f>
        <v>87036</v>
      </c>
      <c r="P724" t="str">
        <f>IF(AND(TBL_Employees3[[#This Row],[Department]]="IT",TBL_Employees3[[#This Row],[Gender]]="Female"),"Yes","No")</f>
        <v>No</v>
      </c>
      <c r="Q724" t="str">
        <f>IF(AND(TBL_Employees3[[#This Row],[Gender]]="Female",TBL_Employees3[[#This Row],[Ethnicity]]="Black"), "Female_Black", "Others")</f>
        <v>Others</v>
      </c>
    </row>
    <row r="725" spans="1:17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6">
        <v>42702</v>
      </c>
      <c r="J725" s="54">
        <v>177443</v>
      </c>
      <c r="K725" s="1">
        <v>0.16</v>
      </c>
      <c r="L725" t="s">
        <v>19</v>
      </c>
      <c r="M725" t="s">
        <v>63</v>
      </c>
      <c r="N725" s="6" t="s">
        <v>21</v>
      </c>
      <c r="O725" s="54">
        <f>TBL_Employees3[[#This Row],[Annual Salary]]+TBL_Employees3[[#This Row],[Bonus %]]*TBL_Employees3[[#This Row],[Annual Salary]]</f>
        <v>205833.88</v>
      </c>
      <c r="P725" t="str">
        <f>IF(AND(TBL_Employees3[[#This Row],[Department]]="IT",TBL_Employees3[[#This Row],[Gender]]="Female"),"Yes","No")</f>
        <v>No</v>
      </c>
      <c r="Q725" t="str">
        <f>IF(AND(TBL_Employees3[[#This Row],[Gender]]="Female",TBL_Employees3[[#This Row],[Ethnicity]]="Black"), "Female_Black", "Others")</f>
        <v>Others</v>
      </c>
    </row>
    <row r="726" spans="1:17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6">
        <v>42489</v>
      </c>
      <c r="J726" s="54">
        <v>75862</v>
      </c>
      <c r="K726" s="1">
        <v>0</v>
      </c>
      <c r="L726" t="s">
        <v>19</v>
      </c>
      <c r="M726" t="s">
        <v>25</v>
      </c>
      <c r="N726" s="6" t="s">
        <v>21</v>
      </c>
      <c r="O726" s="54">
        <f>TBL_Employees3[[#This Row],[Annual Salary]]+TBL_Employees3[[#This Row],[Bonus %]]*TBL_Employees3[[#This Row],[Annual Salary]]</f>
        <v>75862</v>
      </c>
      <c r="P726" t="str">
        <f>IF(AND(TBL_Employees3[[#This Row],[Department]]="IT",TBL_Employees3[[#This Row],[Gender]]="Female"),"Yes","No")</f>
        <v>Yes</v>
      </c>
      <c r="Q726" t="str">
        <f>IF(AND(TBL_Employees3[[#This Row],[Gender]]="Female",TBL_Employees3[[#This Row],[Ethnicity]]="Black"), "Female_Black", "Others")</f>
        <v>Others</v>
      </c>
    </row>
    <row r="727" spans="1:17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6">
        <v>43581</v>
      </c>
      <c r="J727" s="54">
        <v>90870</v>
      </c>
      <c r="K727" s="1">
        <v>0</v>
      </c>
      <c r="L727" t="s">
        <v>19</v>
      </c>
      <c r="M727" t="s">
        <v>20</v>
      </c>
      <c r="N727" s="6" t="s">
        <v>21</v>
      </c>
      <c r="O727" s="54">
        <f>TBL_Employees3[[#This Row],[Annual Salary]]+TBL_Employees3[[#This Row],[Bonus %]]*TBL_Employees3[[#This Row],[Annual Salary]]</f>
        <v>90870</v>
      </c>
      <c r="P727" t="str">
        <f>IF(AND(TBL_Employees3[[#This Row],[Department]]="IT",TBL_Employees3[[#This Row],[Gender]]="Female"),"Yes","No")</f>
        <v>No</v>
      </c>
      <c r="Q727" t="str">
        <f>IF(AND(TBL_Employees3[[#This Row],[Gender]]="Female",TBL_Employees3[[#This Row],[Ethnicity]]="Black"), "Female_Black", "Others")</f>
        <v>Others</v>
      </c>
    </row>
    <row r="728" spans="1:17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6">
        <v>41977</v>
      </c>
      <c r="J728" s="54">
        <v>99202</v>
      </c>
      <c r="K728" s="1">
        <v>0.11</v>
      </c>
      <c r="L728" t="s">
        <v>19</v>
      </c>
      <c r="M728" t="s">
        <v>39</v>
      </c>
      <c r="N728" s="6" t="s">
        <v>21</v>
      </c>
      <c r="O728" s="54">
        <f>TBL_Employees3[[#This Row],[Annual Salary]]+TBL_Employees3[[#This Row],[Bonus %]]*TBL_Employees3[[#This Row],[Annual Salary]]</f>
        <v>110114.22</v>
      </c>
      <c r="P728" t="str">
        <f>IF(AND(TBL_Employees3[[#This Row],[Department]]="IT",TBL_Employees3[[#This Row],[Gender]]="Female"),"Yes","No")</f>
        <v>No</v>
      </c>
      <c r="Q728" t="str">
        <f>IF(AND(TBL_Employees3[[#This Row],[Gender]]="Female",TBL_Employees3[[#This Row],[Ethnicity]]="Black"), "Female_Black", "Others")</f>
        <v>Others</v>
      </c>
    </row>
    <row r="729" spans="1:17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6">
        <v>39347</v>
      </c>
      <c r="J729" s="54">
        <v>92293</v>
      </c>
      <c r="K729" s="1">
        <v>0</v>
      </c>
      <c r="L729" t="s">
        <v>33</v>
      </c>
      <c r="M729" t="s">
        <v>34</v>
      </c>
      <c r="N729" s="6" t="s">
        <v>21</v>
      </c>
      <c r="O729" s="54">
        <f>TBL_Employees3[[#This Row],[Annual Salary]]+TBL_Employees3[[#This Row],[Bonus %]]*TBL_Employees3[[#This Row],[Annual Salary]]</f>
        <v>92293</v>
      </c>
      <c r="P729" t="str">
        <f>IF(AND(TBL_Employees3[[#This Row],[Department]]="IT",TBL_Employees3[[#This Row],[Gender]]="Female"),"Yes","No")</f>
        <v>No</v>
      </c>
      <c r="Q729" t="str">
        <f>IF(AND(TBL_Employees3[[#This Row],[Gender]]="Female",TBL_Employees3[[#This Row],[Ethnicity]]="Black"), "Female_Black", "Others")</f>
        <v>Others</v>
      </c>
    </row>
    <row r="730" spans="1:17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6">
        <v>33785</v>
      </c>
      <c r="J730" s="54">
        <v>63196</v>
      </c>
      <c r="K730" s="1">
        <v>0</v>
      </c>
      <c r="L730" t="s">
        <v>19</v>
      </c>
      <c r="M730" t="s">
        <v>20</v>
      </c>
      <c r="N730" s="6">
        <v>41938</v>
      </c>
      <c r="O730" s="54">
        <f>TBL_Employees3[[#This Row],[Annual Salary]]+TBL_Employees3[[#This Row],[Bonus %]]*TBL_Employees3[[#This Row],[Annual Salary]]</f>
        <v>63196</v>
      </c>
      <c r="P730" t="str">
        <f>IF(AND(TBL_Employees3[[#This Row],[Department]]="IT",TBL_Employees3[[#This Row],[Gender]]="Female"),"Yes","No")</f>
        <v>No</v>
      </c>
      <c r="Q730" t="str">
        <f>IF(AND(TBL_Employees3[[#This Row],[Gender]]="Female",TBL_Employees3[[#This Row],[Ethnicity]]="Black"), "Female_Black", "Others")</f>
        <v>Others</v>
      </c>
    </row>
    <row r="731" spans="1:17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6">
        <v>41032</v>
      </c>
      <c r="J731" s="54">
        <v>65340</v>
      </c>
      <c r="K731" s="1">
        <v>0</v>
      </c>
      <c r="L731" t="s">
        <v>33</v>
      </c>
      <c r="M731" t="s">
        <v>74</v>
      </c>
      <c r="N731" s="6">
        <v>43229</v>
      </c>
      <c r="O731" s="54">
        <f>TBL_Employees3[[#This Row],[Annual Salary]]+TBL_Employees3[[#This Row],[Bonus %]]*TBL_Employees3[[#This Row],[Annual Salary]]</f>
        <v>65340</v>
      </c>
      <c r="P731" t="str">
        <f>IF(AND(TBL_Employees3[[#This Row],[Department]]="IT",TBL_Employees3[[#This Row],[Gender]]="Female"),"Yes","No")</f>
        <v>No</v>
      </c>
      <c r="Q731" t="str">
        <f>IF(AND(TBL_Employees3[[#This Row],[Gender]]="Female",TBL_Employees3[[#This Row],[Ethnicity]]="Black"), "Female_Black", "Others")</f>
        <v>Others</v>
      </c>
    </row>
    <row r="732" spans="1:17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6">
        <v>42271</v>
      </c>
      <c r="J732" s="54">
        <v>202680</v>
      </c>
      <c r="K732" s="1">
        <v>0.32</v>
      </c>
      <c r="L732" t="s">
        <v>19</v>
      </c>
      <c r="M732" t="s">
        <v>39</v>
      </c>
      <c r="N732" s="6">
        <v>44790</v>
      </c>
      <c r="O732" s="54">
        <f>TBL_Employees3[[#This Row],[Annual Salary]]+TBL_Employees3[[#This Row],[Bonus %]]*TBL_Employees3[[#This Row],[Annual Salary]]</f>
        <v>267537.59999999998</v>
      </c>
      <c r="P732" t="str">
        <f>IF(AND(TBL_Employees3[[#This Row],[Department]]="IT",TBL_Employees3[[#This Row],[Gender]]="Female"),"Yes","No")</f>
        <v>No</v>
      </c>
      <c r="Q732" t="str">
        <f>IF(AND(TBL_Employees3[[#This Row],[Gender]]="Female",TBL_Employees3[[#This Row],[Ethnicity]]="Black"), "Female_Black", "Others")</f>
        <v>Others</v>
      </c>
    </row>
    <row r="733" spans="1:17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6">
        <v>42849</v>
      </c>
      <c r="J733" s="54">
        <v>77461</v>
      </c>
      <c r="K733" s="1">
        <v>0.09</v>
      </c>
      <c r="L733" t="s">
        <v>52</v>
      </c>
      <c r="M733" t="s">
        <v>53</v>
      </c>
      <c r="N733" s="6" t="s">
        <v>21</v>
      </c>
      <c r="O733" s="54">
        <f>TBL_Employees3[[#This Row],[Annual Salary]]+TBL_Employees3[[#This Row],[Bonus %]]*TBL_Employees3[[#This Row],[Annual Salary]]</f>
        <v>84432.49</v>
      </c>
      <c r="P733" t="str">
        <f>IF(AND(TBL_Employees3[[#This Row],[Department]]="IT",TBL_Employees3[[#This Row],[Gender]]="Female"),"Yes","No")</f>
        <v>Yes</v>
      </c>
      <c r="Q733" t="str">
        <f>IF(AND(TBL_Employees3[[#This Row],[Gender]]="Female",TBL_Employees3[[#This Row],[Ethnicity]]="Black"), "Female_Black", "Others")</f>
        <v>Others</v>
      </c>
    </row>
    <row r="734" spans="1:17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6">
        <v>42622</v>
      </c>
      <c r="J734" s="54">
        <v>109680</v>
      </c>
      <c r="K734" s="1">
        <v>0</v>
      </c>
      <c r="L734" t="s">
        <v>33</v>
      </c>
      <c r="M734" t="s">
        <v>34</v>
      </c>
      <c r="N734" s="6" t="s">
        <v>21</v>
      </c>
      <c r="O734" s="54">
        <f>TBL_Employees3[[#This Row],[Annual Salary]]+TBL_Employees3[[#This Row],[Bonus %]]*TBL_Employees3[[#This Row],[Annual Salary]]</f>
        <v>109680</v>
      </c>
      <c r="P734" t="str">
        <f>IF(AND(TBL_Employees3[[#This Row],[Department]]="IT",TBL_Employees3[[#This Row],[Gender]]="Female"),"Yes","No")</f>
        <v>No</v>
      </c>
      <c r="Q734" t="str">
        <f>IF(AND(TBL_Employees3[[#This Row],[Gender]]="Female",TBL_Employees3[[#This Row],[Ethnicity]]="Black"), "Female_Black", "Others")</f>
        <v>Others</v>
      </c>
    </row>
    <row r="735" spans="1:17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6">
        <v>35661</v>
      </c>
      <c r="J735" s="54">
        <v>159567</v>
      </c>
      <c r="K735" s="1">
        <v>0.28000000000000003</v>
      </c>
      <c r="L735" t="s">
        <v>19</v>
      </c>
      <c r="M735" t="s">
        <v>39</v>
      </c>
      <c r="N735" s="6" t="s">
        <v>21</v>
      </c>
      <c r="O735" s="54">
        <f>TBL_Employees3[[#This Row],[Annual Salary]]+TBL_Employees3[[#This Row],[Bonus %]]*TBL_Employees3[[#This Row],[Annual Salary]]</f>
        <v>204245.76000000001</v>
      </c>
      <c r="P735" t="str">
        <f>IF(AND(TBL_Employees3[[#This Row],[Department]]="IT",TBL_Employees3[[#This Row],[Gender]]="Female"),"Yes","No")</f>
        <v>No</v>
      </c>
      <c r="Q735" t="str">
        <f>IF(AND(TBL_Employees3[[#This Row],[Gender]]="Female",TBL_Employees3[[#This Row],[Ethnicity]]="Black"), "Female_Black", "Others")</f>
        <v>Female_Black</v>
      </c>
    </row>
    <row r="736" spans="1:17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6">
        <v>41237</v>
      </c>
      <c r="J736" s="54">
        <v>94407</v>
      </c>
      <c r="K736" s="1">
        <v>0</v>
      </c>
      <c r="L736" t="s">
        <v>52</v>
      </c>
      <c r="M736" t="s">
        <v>53</v>
      </c>
      <c r="N736" s="6" t="s">
        <v>21</v>
      </c>
      <c r="O736" s="54">
        <f>TBL_Employees3[[#This Row],[Annual Salary]]+TBL_Employees3[[#This Row],[Bonus %]]*TBL_Employees3[[#This Row],[Annual Salary]]</f>
        <v>94407</v>
      </c>
      <c r="P736" t="str">
        <f>IF(AND(TBL_Employees3[[#This Row],[Department]]="IT",TBL_Employees3[[#This Row],[Gender]]="Female"),"Yes","No")</f>
        <v>No</v>
      </c>
      <c r="Q736" t="str">
        <f>IF(AND(TBL_Employees3[[#This Row],[Gender]]="Female",TBL_Employees3[[#This Row],[Ethnicity]]="Black"), "Female_Black", "Others")</f>
        <v>Others</v>
      </c>
    </row>
    <row r="737" spans="1:17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6">
        <v>37484</v>
      </c>
      <c r="J737" s="54">
        <v>234594</v>
      </c>
      <c r="K737" s="1">
        <v>0.33</v>
      </c>
      <c r="L737" t="s">
        <v>19</v>
      </c>
      <c r="M737" t="s">
        <v>63</v>
      </c>
      <c r="N737" s="6" t="s">
        <v>21</v>
      </c>
      <c r="O737" s="54">
        <f>TBL_Employees3[[#This Row],[Annual Salary]]+TBL_Employees3[[#This Row],[Bonus %]]*TBL_Employees3[[#This Row],[Annual Salary]]</f>
        <v>312010.02</v>
      </c>
      <c r="P737" t="str">
        <f>IF(AND(TBL_Employees3[[#This Row],[Department]]="IT",TBL_Employees3[[#This Row],[Gender]]="Female"),"Yes","No")</f>
        <v>No</v>
      </c>
      <c r="Q737" t="str">
        <f>IF(AND(TBL_Employees3[[#This Row],[Gender]]="Female",TBL_Employees3[[#This Row],[Ethnicity]]="Black"), "Female_Black", "Others")</f>
        <v>Others</v>
      </c>
    </row>
    <row r="738" spans="1:17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6">
        <v>37298</v>
      </c>
      <c r="J738" s="54">
        <v>43080</v>
      </c>
      <c r="K738" s="1">
        <v>0</v>
      </c>
      <c r="L738" t="s">
        <v>19</v>
      </c>
      <c r="M738" t="s">
        <v>25</v>
      </c>
      <c r="N738" s="6" t="s">
        <v>21</v>
      </c>
      <c r="O738" s="54">
        <f>TBL_Employees3[[#This Row],[Annual Salary]]+TBL_Employees3[[#This Row],[Bonus %]]*TBL_Employees3[[#This Row],[Annual Salary]]</f>
        <v>43080</v>
      </c>
      <c r="P738" t="str">
        <f>IF(AND(TBL_Employees3[[#This Row],[Department]]="IT",TBL_Employees3[[#This Row],[Gender]]="Female"),"Yes","No")</f>
        <v>No</v>
      </c>
      <c r="Q738" t="str">
        <f>IF(AND(TBL_Employees3[[#This Row],[Gender]]="Female",TBL_Employees3[[#This Row],[Ethnicity]]="Black"), "Female_Black", "Others")</f>
        <v>Others</v>
      </c>
    </row>
    <row r="739" spans="1:17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6">
        <v>44325</v>
      </c>
      <c r="J739" s="54">
        <v>129541</v>
      </c>
      <c r="K739" s="1">
        <v>0.08</v>
      </c>
      <c r="L739" t="s">
        <v>19</v>
      </c>
      <c r="M739" t="s">
        <v>39</v>
      </c>
      <c r="N739" s="6">
        <v>44340</v>
      </c>
      <c r="O739" s="54">
        <f>TBL_Employees3[[#This Row],[Annual Salary]]+TBL_Employees3[[#This Row],[Bonus %]]*TBL_Employees3[[#This Row],[Annual Salary]]</f>
        <v>139904.28</v>
      </c>
      <c r="P739" t="str">
        <f>IF(AND(TBL_Employees3[[#This Row],[Department]]="IT",TBL_Employees3[[#This Row],[Gender]]="Female"),"Yes","No")</f>
        <v>No</v>
      </c>
      <c r="Q739" t="str">
        <f>IF(AND(TBL_Employees3[[#This Row],[Gender]]="Female",TBL_Employees3[[#This Row],[Ethnicity]]="Black"), "Female_Black", "Others")</f>
        <v>Others</v>
      </c>
    </row>
    <row r="740" spans="1:17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6">
        <v>41635</v>
      </c>
      <c r="J740" s="54">
        <v>165756</v>
      </c>
      <c r="K740" s="1">
        <v>0.28000000000000003</v>
      </c>
      <c r="L740" t="s">
        <v>19</v>
      </c>
      <c r="M740" t="s">
        <v>29</v>
      </c>
      <c r="N740" s="6">
        <v>43991</v>
      </c>
      <c r="O740" s="54">
        <f>TBL_Employees3[[#This Row],[Annual Salary]]+TBL_Employees3[[#This Row],[Bonus %]]*TBL_Employees3[[#This Row],[Annual Salary]]</f>
        <v>212167.67999999999</v>
      </c>
      <c r="P740" t="str">
        <f>IF(AND(TBL_Employees3[[#This Row],[Department]]="IT",TBL_Employees3[[#This Row],[Gender]]="Female"),"Yes","No")</f>
        <v>No</v>
      </c>
      <c r="Q740" t="str">
        <f>IF(AND(TBL_Employees3[[#This Row],[Gender]]="Female",TBL_Employees3[[#This Row],[Ethnicity]]="Black"), "Female_Black", "Others")</f>
        <v>Others</v>
      </c>
    </row>
    <row r="741" spans="1:17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6">
        <v>40274</v>
      </c>
      <c r="J741" s="54">
        <v>142878</v>
      </c>
      <c r="K741" s="1">
        <v>0.12</v>
      </c>
      <c r="L741" t="s">
        <v>19</v>
      </c>
      <c r="M741" t="s">
        <v>29</v>
      </c>
      <c r="N741" s="6" t="s">
        <v>21</v>
      </c>
      <c r="O741" s="54">
        <f>TBL_Employees3[[#This Row],[Annual Salary]]+TBL_Employees3[[#This Row],[Bonus %]]*TBL_Employees3[[#This Row],[Annual Salary]]</f>
        <v>160023.35999999999</v>
      </c>
      <c r="P741" t="str">
        <f>IF(AND(TBL_Employees3[[#This Row],[Department]]="IT",TBL_Employees3[[#This Row],[Gender]]="Female"),"Yes","No")</f>
        <v>No</v>
      </c>
      <c r="Q741" t="str">
        <f>IF(AND(TBL_Employees3[[#This Row],[Gender]]="Female",TBL_Employees3[[#This Row],[Ethnicity]]="Black"), "Female_Black", "Others")</f>
        <v>Others</v>
      </c>
    </row>
    <row r="742" spans="1:17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6">
        <v>39018</v>
      </c>
      <c r="J742" s="54">
        <v>187992</v>
      </c>
      <c r="K742" s="1">
        <v>0.28000000000000003</v>
      </c>
      <c r="L742" t="s">
        <v>19</v>
      </c>
      <c r="M742" t="s">
        <v>45</v>
      </c>
      <c r="N742" s="6" t="s">
        <v>21</v>
      </c>
      <c r="O742" s="54">
        <f>TBL_Employees3[[#This Row],[Annual Salary]]+TBL_Employees3[[#This Row],[Bonus %]]*TBL_Employees3[[#This Row],[Annual Salary]]</f>
        <v>240629.76000000001</v>
      </c>
      <c r="P742" t="str">
        <f>IF(AND(TBL_Employees3[[#This Row],[Department]]="IT",TBL_Employees3[[#This Row],[Gender]]="Female"),"Yes","No")</f>
        <v>No</v>
      </c>
      <c r="Q742" t="str">
        <f>IF(AND(TBL_Employees3[[#This Row],[Gender]]="Female",TBL_Employees3[[#This Row],[Ethnicity]]="Black"), "Female_Black", "Others")</f>
        <v>Others</v>
      </c>
    </row>
    <row r="743" spans="1:17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6">
        <v>43521</v>
      </c>
      <c r="J743" s="54">
        <v>249801</v>
      </c>
      <c r="K743" s="1">
        <v>0.39</v>
      </c>
      <c r="L743" t="s">
        <v>52</v>
      </c>
      <c r="M743" t="s">
        <v>53</v>
      </c>
      <c r="N743" s="6" t="s">
        <v>21</v>
      </c>
      <c r="O743" s="54">
        <f>TBL_Employees3[[#This Row],[Annual Salary]]+TBL_Employees3[[#This Row],[Bonus %]]*TBL_Employees3[[#This Row],[Annual Salary]]</f>
        <v>347223.39</v>
      </c>
      <c r="P743" t="str">
        <f>IF(AND(TBL_Employees3[[#This Row],[Department]]="IT",TBL_Employees3[[#This Row],[Gender]]="Female"),"Yes","No")</f>
        <v>No</v>
      </c>
      <c r="Q743" t="str">
        <f>IF(AND(TBL_Employees3[[#This Row],[Gender]]="Female",TBL_Employees3[[#This Row],[Ethnicity]]="Black"), "Female_Black", "Others")</f>
        <v>Others</v>
      </c>
    </row>
    <row r="744" spans="1:17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6">
        <v>38987</v>
      </c>
      <c r="J744" s="54">
        <v>76505</v>
      </c>
      <c r="K744" s="1">
        <v>0</v>
      </c>
      <c r="L744" t="s">
        <v>19</v>
      </c>
      <c r="M744" t="s">
        <v>63</v>
      </c>
      <c r="N744" s="6">
        <v>39180</v>
      </c>
      <c r="O744" s="54">
        <f>TBL_Employees3[[#This Row],[Annual Salary]]+TBL_Employees3[[#This Row],[Bonus %]]*TBL_Employees3[[#This Row],[Annual Salary]]</f>
        <v>76505</v>
      </c>
      <c r="P744" t="str">
        <f>IF(AND(TBL_Employees3[[#This Row],[Department]]="IT",TBL_Employees3[[#This Row],[Gender]]="Female"),"Yes","No")</f>
        <v>No</v>
      </c>
      <c r="Q744" t="str">
        <f>IF(AND(TBL_Employees3[[#This Row],[Gender]]="Female",TBL_Employees3[[#This Row],[Ethnicity]]="Black"), "Female_Black", "Others")</f>
        <v>Others</v>
      </c>
    </row>
    <row r="745" spans="1:17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6">
        <v>42664</v>
      </c>
      <c r="J745" s="54">
        <v>84297</v>
      </c>
      <c r="K745" s="1">
        <v>0</v>
      </c>
      <c r="L745" t="s">
        <v>52</v>
      </c>
      <c r="M745" t="s">
        <v>81</v>
      </c>
      <c r="N745" s="6" t="s">
        <v>21</v>
      </c>
      <c r="O745" s="54">
        <f>TBL_Employees3[[#This Row],[Annual Salary]]+TBL_Employees3[[#This Row],[Bonus %]]*TBL_Employees3[[#This Row],[Annual Salary]]</f>
        <v>84297</v>
      </c>
      <c r="P745" t="str">
        <f>IF(AND(TBL_Employees3[[#This Row],[Department]]="IT",TBL_Employees3[[#This Row],[Gender]]="Female"),"Yes","No")</f>
        <v>No</v>
      </c>
      <c r="Q745" t="str">
        <f>IF(AND(TBL_Employees3[[#This Row],[Gender]]="Female",TBL_Employees3[[#This Row],[Ethnicity]]="Black"), "Female_Black", "Others")</f>
        <v>Others</v>
      </c>
    </row>
    <row r="746" spans="1:17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6">
        <v>42744</v>
      </c>
      <c r="J746" s="54">
        <v>75769</v>
      </c>
      <c r="K746" s="1">
        <v>0</v>
      </c>
      <c r="L746" t="s">
        <v>52</v>
      </c>
      <c r="M746" t="s">
        <v>81</v>
      </c>
      <c r="N746" s="6">
        <v>44029</v>
      </c>
      <c r="O746" s="54">
        <f>TBL_Employees3[[#This Row],[Annual Salary]]+TBL_Employees3[[#This Row],[Bonus %]]*TBL_Employees3[[#This Row],[Annual Salary]]</f>
        <v>75769</v>
      </c>
      <c r="P746" t="str">
        <f>IF(AND(TBL_Employees3[[#This Row],[Department]]="IT",TBL_Employees3[[#This Row],[Gender]]="Female"),"Yes","No")</f>
        <v>No</v>
      </c>
      <c r="Q746" t="str">
        <f>IF(AND(TBL_Employees3[[#This Row],[Gender]]="Female",TBL_Employees3[[#This Row],[Ethnicity]]="Black"), "Female_Black", "Others")</f>
        <v>Others</v>
      </c>
    </row>
    <row r="747" spans="1:17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6">
        <v>41503</v>
      </c>
      <c r="J747" s="54">
        <v>235619</v>
      </c>
      <c r="K747" s="1">
        <v>0.3</v>
      </c>
      <c r="L747" t="s">
        <v>19</v>
      </c>
      <c r="M747" t="s">
        <v>63</v>
      </c>
      <c r="N747" s="6" t="s">
        <v>21</v>
      </c>
      <c r="O747" s="54">
        <f>TBL_Employees3[[#This Row],[Annual Salary]]+TBL_Employees3[[#This Row],[Bonus %]]*TBL_Employees3[[#This Row],[Annual Salary]]</f>
        <v>306304.7</v>
      </c>
      <c r="P747" t="str">
        <f>IF(AND(TBL_Employees3[[#This Row],[Department]]="IT",TBL_Employees3[[#This Row],[Gender]]="Female"),"Yes","No")</f>
        <v>No</v>
      </c>
      <c r="Q747" t="str">
        <f>IF(AND(TBL_Employees3[[#This Row],[Gender]]="Female",TBL_Employees3[[#This Row],[Ethnicity]]="Black"), "Female_Black", "Others")</f>
        <v>Others</v>
      </c>
    </row>
    <row r="748" spans="1:17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6">
        <v>43868</v>
      </c>
      <c r="J748" s="54">
        <v>187187</v>
      </c>
      <c r="K748" s="1">
        <v>0.18</v>
      </c>
      <c r="L748" t="s">
        <v>52</v>
      </c>
      <c r="M748" t="s">
        <v>81</v>
      </c>
      <c r="N748" s="6" t="s">
        <v>21</v>
      </c>
      <c r="O748" s="54">
        <f>TBL_Employees3[[#This Row],[Annual Salary]]+TBL_Employees3[[#This Row],[Bonus %]]*TBL_Employees3[[#This Row],[Annual Salary]]</f>
        <v>220880.66</v>
      </c>
      <c r="P748" t="str">
        <f>IF(AND(TBL_Employees3[[#This Row],[Department]]="IT",TBL_Employees3[[#This Row],[Gender]]="Female"),"Yes","No")</f>
        <v>No</v>
      </c>
      <c r="Q748" t="str">
        <f>IF(AND(TBL_Employees3[[#This Row],[Gender]]="Female",TBL_Employees3[[#This Row],[Ethnicity]]="Black"), "Female_Black", "Others")</f>
        <v>Others</v>
      </c>
    </row>
    <row r="749" spans="1:17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6">
        <v>38560</v>
      </c>
      <c r="J749" s="54">
        <v>68987</v>
      </c>
      <c r="K749" s="1">
        <v>0</v>
      </c>
      <c r="L749" t="s">
        <v>19</v>
      </c>
      <c r="M749" t="s">
        <v>20</v>
      </c>
      <c r="N749" s="6">
        <v>38829</v>
      </c>
      <c r="O749" s="54">
        <f>TBL_Employees3[[#This Row],[Annual Salary]]+TBL_Employees3[[#This Row],[Bonus %]]*TBL_Employees3[[#This Row],[Annual Salary]]</f>
        <v>68987</v>
      </c>
      <c r="P749" t="str">
        <f>IF(AND(TBL_Employees3[[#This Row],[Department]]="IT",TBL_Employees3[[#This Row],[Gender]]="Female"),"Yes","No")</f>
        <v>No</v>
      </c>
      <c r="Q749" t="str">
        <f>IF(AND(TBL_Employees3[[#This Row],[Gender]]="Female",TBL_Employees3[[#This Row],[Ethnicity]]="Black"), "Female_Black", "Others")</f>
        <v>Others</v>
      </c>
    </row>
    <row r="750" spans="1:17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6">
        <v>39156</v>
      </c>
      <c r="J750" s="54">
        <v>155926</v>
      </c>
      <c r="K750" s="1">
        <v>0.24</v>
      </c>
      <c r="L750" t="s">
        <v>19</v>
      </c>
      <c r="M750" t="s">
        <v>29</v>
      </c>
      <c r="N750" s="6">
        <v>39598</v>
      </c>
      <c r="O750" s="54">
        <f>TBL_Employees3[[#This Row],[Annual Salary]]+TBL_Employees3[[#This Row],[Bonus %]]*TBL_Employees3[[#This Row],[Annual Salary]]</f>
        <v>193348.24</v>
      </c>
      <c r="P750" t="str">
        <f>IF(AND(TBL_Employees3[[#This Row],[Department]]="IT",TBL_Employees3[[#This Row],[Gender]]="Female"),"Yes","No")</f>
        <v>No</v>
      </c>
      <c r="Q750" t="str">
        <f>IF(AND(TBL_Employees3[[#This Row],[Gender]]="Female",TBL_Employees3[[#This Row],[Ethnicity]]="Black"), "Female_Black", "Others")</f>
        <v>Others</v>
      </c>
    </row>
    <row r="751" spans="1:17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6">
        <v>42494</v>
      </c>
      <c r="J751" s="54">
        <v>93668</v>
      </c>
      <c r="K751" s="1">
        <v>0</v>
      </c>
      <c r="L751" t="s">
        <v>19</v>
      </c>
      <c r="M751" t="s">
        <v>20</v>
      </c>
      <c r="N751" s="6" t="s">
        <v>21</v>
      </c>
      <c r="O751" s="54">
        <f>TBL_Employees3[[#This Row],[Annual Salary]]+TBL_Employees3[[#This Row],[Bonus %]]*TBL_Employees3[[#This Row],[Annual Salary]]</f>
        <v>93668</v>
      </c>
      <c r="P751" t="str">
        <f>IF(AND(TBL_Employees3[[#This Row],[Department]]="IT",TBL_Employees3[[#This Row],[Gender]]="Female"),"Yes","No")</f>
        <v>No</v>
      </c>
      <c r="Q751" t="str">
        <f>IF(AND(TBL_Employees3[[#This Row],[Gender]]="Female",TBL_Employees3[[#This Row],[Ethnicity]]="Black"), "Female_Black", "Others")</f>
        <v>Others</v>
      </c>
    </row>
    <row r="752" spans="1:17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6">
        <v>43798</v>
      </c>
      <c r="J752" s="54">
        <v>69647</v>
      </c>
      <c r="K752" s="1">
        <v>0</v>
      </c>
      <c r="L752" t="s">
        <v>19</v>
      </c>
      <c r="M752" t="s">
        <v>45</v>
      </c>
      <c r="N752" s="6">
        <v>44671</v>
      </c>
      <c r="O752" s="54">
        <f>TBL_Employees3[[#This Row],[Annual Salary]]+TBL_Employees3[[#This Row],[Bonus %]]*TBL_Employees3[[#This Row],[Annual Salary]]</f>
        <v>69647</v>
      </c>
      <c r="P752" t="str">
        <f>IF(AND(TBL_Employees3[[#This Row],[Department]]="IT",TBL_Employees3[[#This Row],[Gender]]="Female"),"Yes","No")</f>
        <v>No</v>
      </c>
      <c r="Q752" t="str">
        <f>IF(AND(TBL_Employees3[[#This Row],[Gender]]="Female",TBL_Employees3[[#This Row],[Ethnicity]]="Black"), "Female_Black", "Others")</f>
        <v>Others</v>
      </c>
    </row>
    <row r="753" spans="1:17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6">
        <v>37798</v>
      </c>
      <c r="J753" s="54">
        <v>63318</v>
      </c>
      <c r="K753" s="1">
        <v>0</v>
      </c>
      <c r="L753" t="s">
        <v>19</v>
      </c>
      <c r="M753" t="s">
        <v>29</v>
      </c>
      <c r="N753" s="6" t="s">
        <v>21</v>
      </c>
      <c r="O753" s="54">
        <f>TBL_Employees3[[#This Row],[Annual Salary]]+TBL_Employees3[[#This Row],[Bonus %]]*TBL_Employees3[[#This Row],[Annual Salary]]</f>
        <v>63318</v>
      </c>
      <c r="P753" t="str">
        <f>IF(AND(TBL_Employees3[[#This Row],[Department]]="IT",TBL_Employees3[[#This Row],[Gender]]="Female"),"Yes","No")</f>
        <v>No</v>
      </c>
      <c r="Q753" t="str">
        <f>IF(AND(TBL_Employees3[[#This Row],[Gender]]="Female",TBL_Employees3[[#This Row],[Ethnicity]]="Black"), "Female_Black", "Others")</f>
        <v>Others</v>
      </c>
    </row>
    <row r="754" spans="1:17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6">
        <v>42778</v>
      </c>
      <c r="J754" s="54">
        <v>77629</v>
      </c>
      <c r="K754" s="1">
        <v>0</v>
      </c>
      <c r="L754" t="s">
        <v>33</v>
      </c>
      <c r="M754" t="s">
        <v>60</v>
      </c>
      <c r="N754" s="6" t="s">
        <v>21</v>
      </c>
      <c r="O754" s="54">
        <f>TBL_Employees3[[#This Row],[Annual Salary]]+TBL_Employees3[[#This Row],[Bonus %]]*TBL_Employees3[[#This Row],[Annual Salary]]</f>
        <v>77629</v>
      </c>
      <c r="P754" t="str">
        <f>IF(AND(TBL_Employees3[[#This Row],[Department]]="IT",TBL_Employees3[[#This Row],[Gender]]="Female"),"Yes","No")</f>
        <v>No</v>
      </c>
      <c r="Q754" t="str">
        <f>IF(AND(TBL_Employees3[[#This Row],[Gender]]="Female",TBL_Employees3[[#This Row],[Ethnicity]]="Black"), "Female_Black", "Others")</f>
        <v>Others</v>
      </c>
    </row>
    <row r="755" spans="1:17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6">
        <v>43061</v>
      </c>
      <c r="J755" s="54">
        <v>138808</v>
      </c>
      <c r="K755" s="1">
        <v>0.15</v>
      </c>
      <c r="L755" t="s">
        <v>33</v>
      </c>
      <c r="M755" t="s">
        <v>80</v>
      </c>
      <c r="N755" s="6" t="s">
        <v>21</v>
      </c>
      <c r="O755" s="54">
        <f>TBL_Employees3[[#This Row],[Annual Salary]]+TBL_Employees3[[#This Row],[Bonus %]]*TBL_Employees3[[#This Row],[Annual Salary]]</f>
        <v>159629.20000000001</v>
      </c>
      <c r="P755" t="str">
        <f>IF(AND(TBL_Employees3[[#This Row],[Department]]="IT",TBL_Employees3[[#This Row],[Gender]]="Female"),"Yes","No")</f>
        <v>No</v>
      </c>
      <c r="Q755" t="str">
        <f>IF(AND(TBL_Employees3[[#This Row],[Gender]]="Female",TBL_Employees3[[#This Row],[Ethnicity]]="Black"), "Female_Black", "Others")</f>
        <v>Others</v>
      </c>
    </row>
    <row r="756" spans="1:17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6">
        <v>41703</v>
      </c>
      <c r="J756" s="54">
        <v>88777</v>
      </c>
      <c r="K756" s="1">
        <v>0</v>
      </c>
      <c r="L756" t="s">
        <v>19</v>
      </c>
      <c r="M756" t="s">
        <v>20</v>
      </c>
      <c r="N756" s="6" t="s">
        <v>21</v>
      </c>
      <c r="O756" s="54">
        <f>TBL_Employees3[[#This Row],[Annual Salary]]+TBL_Employees3[[#This Row],[Bonus %]]*TBL_Employees3[[#This Row],[Annual Salary]]</f>
        <v>88777</v>
      </c>
      <c r="P756" t="str">
        <f>IF(AND(TBL_Employees3[[#This Row],[Department]]="IT",TBL_Employees3[[#This Row],[Gender]]="Female"),"Yes","No")</f>
        <v>Yes</v>
      </c>
      <c r="Q756" t="str">
        <f>IF(AND(TBL_Employees3[[#This Row],[Gender]]="Female",TBL_Employees3[[#This Row],[Ethnicity]]="Black"), "Female_Black", "Others")</f>
        <v>Others</v>
      </c>
    </row>
    <row r="757" spans="1:17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6">
        <v>38121</v>
      </c>
      <c r="J757" s="54">
        <v>186378</v>
      </c>
      <c r="K757" s="1">
        <v>0.26</v>
      </c>
      <c r="L757" t="s">
        <v>33</v>
      </c>
      <c r="M757" t="s">
        <v>80</v>
      </c>
      <c r="N757" s="6" t="s">
        <v>21</v>
      </c>
      <c r="O757" s="54">
        <f>TBL_Employees3[[#This Row],[Annual Salary]]+TBL_Employees3[[#This Row],[Bonus %]]*TBL_Employees3[[#This Row],[Annual Salary]]</f>
        <v>234836.28</v>
      </c>
      <c r="P757" t="str">
        <f>IF(AND(TBL_Employees3[[#This Row],[Department]]="IT",TBL_Employees3[[#This Row],[Gender]]="Female"),"Yes","No")</f>
        <v>No</v>
      </c>
      <c r="Q757" t="str">
        <f>IF(AND(TBL_Employees3[[#This Row],[Gender]]="Female",TBL_Employees3[[#This Row],[Ethnicity]]="Black"), "Female_Black", "Others")</f>
        <v>Others</v>
      </c>
    </row>
    <row r="758" spans="1:17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6">
        <v>42117</v>
      </c>
      <c r="J758" s="54">
        <v>60017</v>
      </c>
      <c r="K758" s="1">
        <v>0</v>
      </c>
      <c r="L758" t="s">
        <v>19</v>
      </c>
      <c r="M758" t="s">
        <v>20</v>
      </c>
      <c r="N758" s="6" t="s">
        <v>21</v>
      </c>
      <c r="O758" s="54">
        <f>TBL_Employees3[[#This Row],[Annual Salary]]+TBL_Employees3[[#This Row],[Bonus %]]*TBL_Employees3[[#This Row],[Annual Salary]]</f>
        <v>60017</v>
      </c>
      <c r="P758" t="str">
        <f>IF(AND(TBL_Employees3[[#This Row],[Department]]="IT",TBL_Employees3[[#This Row],[Gender]]="Female"),"Yes","No")</f>
        <v>No</v>
      </c>
      <c r="Q758" t="str">
        <f>IF(AND(TBL_Employees3[[#This Row],[Gender]]="Female",TBL_Employees3[[#This Row],[Ethnicity]]="Black"), "Female_Black", "Others")</f>
        <v>Others</v>
      </c>
    </row>
    <row r="759" spans="1:17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6">
        <v>43305</v>
      </c>
      <c r="J759" s="54">
        <v>148991</v>
      </c>
      <c r="K759" s="1">
        <v>0.12</v>
      </c>
      <c r="L759" t="s">
        <v>52</v>
      </c>
      <c r="M759" t="s">
        <v>53</v>
      </c>
      <c r="N759" s="6" t="s">
        <v>21</v>
      </c>
      <c r="O759" s="54">
        <f>TBL_Employees3[[#This Row],[Annual Salary]]+TBL_Employees3[[#This Row],[Bonus %]]*TBL_Employees3[[#This Row],[Annual Salary]]</f>
        <v>166869.91999999998</v>
      </c>
      <c r="P759" t="str">
        <f>IF(AND(TBL_Employees3[[#This Row],[Department]]="IT",TBL_Employees3[[#This Row],[Gender]]="Female"),"Yes","No")</f>
        <v>No</v>
      </c>
      <c r="Q759" t="str">
        <f>IF(AND(TBL_Employees3[[#This Row],[Gender]]="Female",TBL_Employees3[[#This Row],[Ethnicity]]="Black"), "Female_Black", "Others")</f>
        <v>Others</v>
      </c>
    </row>
    <row r="760" spans="1:17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6">
        <v>39532</v>
      </c>
      <c r="J760" s="54">
        <v>97398</v>
      </c>
      <c r="K760" s="1">
        <v>0</v>
      </c>
      <c r="L760" t="s">
        <v>52</v>
      </c>
      <c r="M760" t="s">
        <v>81</v>
      </c>
      <c r="N760" s="6" t="s">
        <v>21</v>
      </c>
      <c r="O760" s="54">
        <f>TBL_Employees3[[#This Row],[Annual Salary]]+TBL_Employees3[[#This Row],[Bonus %]]*TBL_Employees3[[#This Row],[Annual Salary]]</f>
        <v>97398</v>
      </c>
      <c r="P760" t="str">
        <f>IF(AND(TBL_Employees3[[#This Row],[Department]]="IT",TBL_Employees3[[#This Row],[Gender]]="Female"),"Yes","No")</f>
        <v>No</v>
      </c>
      <c r="Q760" t="str">
        <f>IF(AND(TBL_Employees3[[#This Row],[Gender]]="Female",TBL_Employees3[[#This Row],[Ethnicity]]="Black"), "Female_Black", "Others")</f>
        <v>Others</v>
      </c>
    </row>
    <row r="761" spans="1:17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6">
        <v>39204</v>
      </c>
      <c r="J761" s="54">
        <v>72805</v>
      </c>
      <c r="K761" s="1">
        <v>0</v>
      </c>
      <c r="L761" t="s">
        <v>33</v>
      </c>
      <c r="M761" t="s">
        <v>74</v>
      </c>
      <c r="N761" s="6" t="s">
        <v>21</v>
      </c>
      <c r="O761" s="54">
        <f>TBL_Employees3[[#This Row],[Annual Salary]]+TBL_Employees3[[#This Row],[Bonus %]]*TBL_Employees3[[#This Row],[Annual Salary]]</f>
        <v>72805</v>
      </c>
      <c r="P761" t="str">
        <f>IF(AND(TBL_Employees3[[#This Row],[Department]]="IT",TBL_Employees3[[#This Row],[Gender]]="Female"),"Yes","No")</f>
        <v>No</v>
      </c>
      <c r="Q761" t="str">
        <f>IF(AND(TBL_Employees3[[#This Row],[Gender]]="Female",TBL_Employees3[[#This Row],[Ethnicity]]="Black"), "Female_Black", "Others")</f>
        <v>Others</v>
      </c>
    </row>
    <row r="762" spans="1:17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6">
        <v>44213</v>
      </c>
      <c r="J762" s="54">
        <v>72131</v>
      </c>
      <c r="K762" s="1">
        <v>0</v>
      </c>
      <c r="L762" t="s">
        <v>33</v>
      </c>
      <c r="M762" t="s">
        <v>74</v>
      </c>
      <c r="N762" s="6" t="s">
        <v>21</v>
      </c>
      <c r="O762" s="54">
        <f>TBL_Employees3[[#This Row],[Annual Salary]]+TBL_Employees3[[#This Row],[Bonus %]]*TBL_Employees3[[#This Row],[Annual Salary]]</f>
        <v>72131</v>
      </c>
      <c r="P762" t="str">
        <f>IF(AND(TBL_Employees3[[#This Row],[Department]]="IT",TBL_Employees3[[#This Row],[Gender]]="Female"),"Yes","No")</f>
        <v>No</v>
      </c>
      <c r="Q762" t="str">
        <f>IF(AND(TBL_Employees3[[#This Row],[Gender]]="Female",TBL_Employees3[[#This Row],[Ethnicity]]="Black"), "Female_Black", "Others")</f>
        <v>Others</v>
      </c>
    </row>
    <row r="763" spans="1:17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6">
        <v>33964</v>
      </c>
      <c r="J763" s="54">
        <v>104668</v>
      </c>
      <c r="K763" s="1">
        <v>0.08</v>
      </c>
      <c r="L763" t="s">
        <v>19</v>
      </c>
      <c r="M763" t="s">
        <v>29</v>
      </c>
      <c r="N763" s="6" t="s">
        <v>21</v>
      </c>
      <c r="O763" s="54">
        <f>TBL_Employees3[[#This Row],[Annual Salary]]+TBL_Employees3[[#This Row],[Bonus %]]*TBL_Employees3[[#This Row],[Annual Salary]]</f>
        <v>113041.44</v>
      </c>
      <c r="P763" t="str">
        <f>IF(AND(TBL_Employees3[[#This Row],[Department]]="IT",TBL_Employees3[[#This Row],[Gender]]="Female"),"Yes","No")</f>
        <v>No</v>
      </c>
      <c r="Q763" t="str">
        <f>IF(AND(TBL_Employees3[[#This Row],[Gender]]="Female",TBL_Employees3[[#This Row],[Ethnicity]]="Black"), "Female_Black", "Others")</f>
        <v>Others</v>
      </c>
    </row>
    <row r="764" spans="1:17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6">
        <v>42952</v>
      </c>
      <c r="J764" s="54">
        <v>89769</v>
      </c>
      <c r="K764" s="1">
        <v>0</v>
      </c>
      <c r="L764" t="s">
        <v>19</v>
      </c>
      <c r="M764" t="s">
        <v>63</v>
      </c>
      <c r="N764" s="6" t="s">
        <v>21</v>
      </c>
      <c r="O764" s="54">
        <f>TBL_Employees3[[#This Row],[Annual Salary]]+TBL_Employees3[[#This Row],[Bonus %]]*TBL_Employees3[[#This Row],[Annual Salary]]</f>
        <v>89769</v>
      </c>
      <c r="P764" t="str">
        <f>IF(AND(TBL_Employees3[[#This Row],[Department]]="IT",TBL_Employees3[[#This Row],[Gender]]="Female"),"Yes","No")</f>
        <v>No</v>
      </c>
      <c r="Q764" t="str">
        <f>IF(AND(TBL_Employees3[[#This Row],[Gender]]="Female",TBL_Employees3[[#This Row],[Ethnicity]]="Black"), "Female_Black", "Others")</f>
        <v>Others</v>
      </c>
    </row>
    <row r="765" spans="1:17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6">
        <v>43358</v>
      </c>
      <c r="J765" s="54">
        <v>127616</v>
      </c>
      <c r="K765" s="1">
        <v>7.0000000000000007E-2</v>
      </c>
      <c r="L765" t="s">
        <v>19</v>
      </c>
      <c r="M765" t="s">
        <v>29</v>
      </c>
      <c r="N765" s="6" t="s">
        <v>21</v>
      </c>
      <c r="O765" s="54">
        <f>TBL_Employees3[[#This Row],[Annual Salary]]+TBL_Employees3[[#This Row],[Bonus %]]*TBL_Employees3[[#This Row],[Annual Salary]]</f>
        <v>136549.12</v>
      </c>
      <c r="P765" t="str">
        <f>IF(AND(TBL_Employees3[[#This Row],[Department]]="IT",TBL_Employees3[[#This Row],[Gender]]="Female"),"Yes","No")</f>
        <v>No</v>
      </c>
      <c r="Q765" t="str">
        <f>IF(AND(TBL_Employees3[[#This Row],[Gender]]="Female",TBL_Employees3[[#This Row],[Ethnicity]]="Black"), "Female_Black", "Others")</f>
        <v>Others</v>
      </c>
    </row>
    <row r="766" spans="1:17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6">
        <v>41099</v>
      </c>
      <c r="J766" s="54">
        <v>109883</v>
      </c>
      <c r="K766" s="1">
        <v>7.0000000000000007E-2</v>
      </c>
      <c r="L766" t="s">
        <v>19</v>
      </c>
      <c r="M766" t="s">
        <v>29</v>
      </c>
      <c r="N766" s="6" t="s">
        <v>21</v>
      </c>
      <c r="O766" s="54">
        <f>TBL_Employees3[[#This Row],[Annual Salary]]+TBL_Employees3[[#This Row],[Bonus %]]*TBL_Employees3[[#This Row],[Annual Salary]]</f>
        <v>117574.81</v>
      </c>
      <c r="P766" t="str">
        <f>IF(AND(TBL_Employees3[[#This Row],[Department]]="IT",TBL_Employees3[[#This Row],[Gender]]="Female"),"Yes","No")</f>
        <v>No</v>
      </c>
      <c r="Q766" t="str">
        <f>IF(AND(TBL_Employees3[[#This Row],[Gender]]="Female",TBL_Employees3[[#This Row],[Ethnicity]]="Black"), "Female_Black", "Others")</f>
        <v>Others</v>
      </c>
    </row>
    <row r="767" spans="1:17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6">
        <v>44270</v>
      </c>
      <c r="J767" s="54">
        <v>47974</v>
      </c>
      <c r="K767" s="1">
        <v>0</v>
      </c>
      <c r="L767" t="s">
        <v>33</v>
      </c>
      <c r="M767" t="s">
        <v>80</v>
      </c>
      <c r="N767" s="6" t="s">
        <v>21</v>
      </c>
      <c r="O767" s="54">
        <f>TBL_Employees3[[#This Row],[Annual Salary]]+TBL_Employees3[[#This Row],[Bonus %]]*TBL_Employees3[[#This Row],[Annual Salary]]</f>
        <v>47974</v>
      </c>
      <c r="P767" t="str">
        <f>IF(AND(TBL_Employees3[[#This Row],[Department]]="IT",TBL_Employees3[[#This Row],[Gender]]="Female"),"Yes","No")</f>
        <v>No</v>
      </c>
      <c r="Q767" t="str">
        <f>IF(AND(TBL_Employees3[[#This Row],[Gender]]="Female",TBL_Employees3[[#This Row],[Ethnicity]]="Black"), "Female_Black", "Others")</f>
        <v>Others</v>
      </c>
    </row>
    <row r="768" spans="1:17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6">
        <v>42090</v>
      </c>
      <c r="J768" s="54">
        <v>120321</v>
      </c>
      <c r="K768" s="1">
        <v>0.12</v>
      </c>
      <c r="L768" t="s">
        <v>19</v>
      </c>
      <c r="M768" t="s">
        <v>25</v>
      </c>
      <c r="N768" s="6" t="s">
        <v>21</v>
      </c>
      <c r="O768" s="54">
        <f>TBL_Employees3[[#This Row],[Annual Salary]]+TBL_Employees3[[#This Row],[Bonus %]]*TBL_Employees3[[#This Row],[Annual Salary]]</f>
        <v>134759.51999999999</v>
      </c>
      <c r="P768" t="str">
        <f>IF(AND(TBL_Employees3[[#This Row],[Department]]="IT",TBL_Employees3[[#This Row],[Gender]]="Female"),"Yes","No")</f>
        <v>Yes</v>
      </c>
      <c r="Q768" t="str">
        <f>IF(AND(TBL_Employees3[[#This Row],[Gender]]="Female",TBL_Employees3[[#This Row],[Ethnicity]]="Black"), "Female_Black", "Others")</f>
        <v>Others</v>
      </c>
    </row>
    <row r="769" spans="1:17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6">
        <v>41861</v>
      </c>
      <c r="J769" s="54">
        <v>57446</v>
      </c>
      <c r="K769" s="1">
        <v>0</v>
      </c>
      <c r="L769" t="s">
        <v>19</v>
      </c>
      <c r="M769" t="s">
        <v>39</v>
      </c>
      <c r="N769" s="6" t="s">
        <v>21</v>
      </c>
      <c r="O769" s="54">
        <f>TBL_Employees3[[#This Row],[Annual Salary]]+TBL_Employees3[[#This Row],[Bonus %]]*TBL_Employees3[[#This Row],[Annual Salary]]</f>
        <v>57446</v>
      </c>
      <c r="P769" t="str">
        <f>IF(AND(TBL_Employees3[[#This Row],[Department]]="IT",TBL_Employees3[[#This Row],[Gender]]="Female"),"Yes","No")</f>
        <v>Yes</v>
      </c>
      <c r="Q769" t="str">
        <f>IF(AND(TBL_Employees3[[#This Row],[Gender]]="Female",TBL_Employees3[[#This Row],[Ethnicity]]="Black"), "Female_Black", "Others")</f>
        <v>Others</v>
      </c>
    </row>
    <row r="770" spans="1:17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6">
        <v>39968</v>
      </c>
      <c r="J770" s="54">
        <v>174099</v>
      </c>
      <c r="K770" s="1">
        <v>0.26</v>
      </c>
      <c r="L770" t="s">
        <v>19</v>
      </c>
      <c r="M770" t="s">
        <v>25</v>
      </c>
      <c r="N770" s="6" t="s">
        <v>21</v>
      </c>
      <c r="O770" s="54">
        <f>TBL_Employees3[[#This Row],[Annual Salary]]+TBL_Employees3[[#This Row],[Bonus %]]*TBL_Employees3[[#This Row],[Annual Salary]]</f>
        <v>219364.74</v>
      </c>
      <c r="P770" t="str">
        <f>IF(AND(TBL_Employees3[[#This Row],[Department]]="IT",TBL_Employees3[[#This Row],[Gender]]="Female"),"Yes","No")</f>
        <v>No</v>
      </c>
      <c r="Q770" t="str">
        <f>IF(AND(TBL_Employees3[[#This Row],[Gender]]="Female",TBL_Employees3[[#This Row],[Ethnicity]]="Black"), "Female_Black", "Others")</f>
        <v>Others</v>
      </c>
    </row>
    <row r="771" spans="1:17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6">
        <v>37295</v>
      </c>
      <c r="J771" s="54">
        <v>128703</v>
      </c>
      <c r="K771" s="1">
        <v>0.13</v>
      </c>
      <c r="L771" t="s">
        <v>19</v>
      </c>
      <c r="M771" t="s">
        <v>25</v>
      </c>
      <c r="N771" s="6" t="s">
        <v>21</v>
      </c>
      <c r="O771" s="54">
        <f>TBL_Employees3[[#This Row],[Annual Salary]]+TBL_Employees3[[#This Row],[Bonus %]]*TBL_Employees3[[#This Row],[Annual Salary]]</f>
        <v>145434.39000000001</v>
      </c>
      <c r="P771" t="str">
        <f>IF(AND(TBL_Employees3[[#This Row],[Department]]="IT",TBL_Employees3[[#This Row],[Gender]]="Female"),"Yes","No")</f>
        <v>No</v>
      </c>
      <c r="Q771" t="str">
        <f>IF(AND(TBL_Employees3[[#This Row],[Gender]]="Female",TBL_Employees3[[#This Row],[Ethnicity]]="Black"), "Female_Black", "Others")</f>
        <v>Others</v>
      </c>
    </row>
    <row r="772" spans="1:17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6">
        <v>42317</v>
      </c>
      <c r="J772" s="54">
        <v>65247</v>
      </c>
      <c r="K772" s="1">
        <v>0</v>
      </c>
      <c r="L772" t="s">
        <v>19</v>
      </c>
      <c r="M772" t="s">
        <v>39</v>
      </c>
      <c r="N772" s="6" t="s">
        <v>21</v>
      </c>
      <c r="O772" s="54">
        <f>TBL_Employees3[[#This Row],[Annual Salary]]+TBL_Employees3[[#This Row],[Bonus %]]*TBL_Employees3[[#This Row],[Annual Salary]]</f>
        <v>65247</v>
      </c>
      <c r="P772" t="str">
        <f>IF(AND(TBL_Employees3[[#This Row],[Department]]="IT",TBL_Employees3[[#This Row],[Gender]]="Female"),"Yes","No")</f>
        <v>No</v>
      </c>
      <c r="Q772" t="str">
        <f>IF(AND(TBL_Employees3[[#This Row],[Gender]]="Female",TBL_Employees3[[#This Row],[Ethnicity]]="Black"), "Female_Black", "Others")</f>
        <v>Others</v>
      </c>
    </row>
    <row r="773" spans="1:17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6">
        <v>43371</v>
      </c>
      <c r="J773" s="54">
        <v>64247</v>
      </c>
      <c r="K773" s="1">
        <v>0</v>
      </c>
      <c r="L773" t="s">
        <v>52</v>
      </c>
      <c r="M773" t="s">
        <v>66</v>
      </c>
      <c r="N773" s="6" t="s">
        <v>21</v>
      </c>
      <c r="O773" s="54">
        <f>TBL_Employees3[[#This Row],[Annual Salary]]+TBL_Employees3[[#This Row],[Bonus %]]*TBL_Employees3[[#This Row],[Annual Salary]]</f>
        <v>64247</v>
      </c>
      <c r="P773" t="str">
        <f>IF(AND(TBL_Employees3[[#This Row],[Department]]="IT",TBL_Employees3[[#This Row],[Gender]]="Female"),"Yes","No")</f>
        <v>No</v>
      </c>
      <c r="Q773" t="str">
        <f>IF(AND(TBL_Employees3[[#This Row],[Gender]]="Female",TBL_Employees3[[#This Row],[Ethnicity]]="Black"), "Female_Black", "Others")</f>
        <v>Others</v>
      </c>
    </row>
    <row r="774" spans="1:17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6">
        <v>41071</v>
      </c>
      <c r="J774" s="54">
        <v>118253</v>
      </c>
      <c r="K774" s="1">
        <v>0.08</v>
      </c>
      <c r="L774" t="s">
        <v>19</v>
      </c>
      <c r="M774" t="s">
        <v>25</v>
      </c>
      <c r="N774" s="6" t="s">
        <v>21</v>
      </c>
      <c r="O774" s="54">
        <f>TBL_Employees3[[#This Row],[Annual Salary]]+TBL_Employees3[[#This Row],[Bonus %]]*TBL_Employees3[[#This Row],[Annual Salary]]</f>
        <v>127713.24</v>
      </c>
      <c r="P774" t="str">
        <f>IF(AND(TBL_Employees3[[#This Row],[Department]]="IT",TBL_Employees3[[#This Row],[Gender]]="Female"),"Yes","No")</f>
        <v>No</v>
      </c>
      <c r="Q774" t="str">
        <f>IF(AND(TBL_Employees3[[#This Row],[Gender]]="Female",TBL_Employees3[[#This Row],[Ethnicity]]="Black"), "Female_Black", "Others")</f>
        <v>Others</v>
      </c>
    </row>
    <row r="775" spans="1:17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6">
        <v>38057</v>
      </c>
      <c r="J775" s="54">
        <v>109422</v>
      </c>
      <c r="K775" s="1">
        <v>0</v>
      </c>
      <c r="L775" t="s">
        <v>33</v>
      </c>
      <c r="M775" t="s">
        <v>80</v>
      </c>
      <c r="N775" s="6" t="s">
        <v>21</v>
      </c>
      <c r="O775" s="54">
        <f>TBL_Employees3[[#This Row],[Annual Salary]]+TBL_Employees3[[#This Row],[Bonus %]]*TBL_Employees3[[#This Row],[Annual Salary]]</f>
        <v>109422</v>
      </c>
      <c r="P775" t="str">
        <f>IF(AND(TBL_Employees3[[#This Row],[Department]]="IT",TBL_Employees3[[#This Row],[Gender]]="Female"),"Yes","No")</f>
        <v>No</v>
      </c>
      <c r="Q775" t="str">
        <f>IF(AND(TBL_Employees3[[#This Row],[Gender]]="Female",TBL_Employees3[[#This Row],[Ethnicity]]="Black"), "Female_Black", "Others")</f>
        <v>Others</v>
      </c>
    </row>
    <row r="776" spans="1:17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6">
        <v>43502</v>
      </c>
      <c r="J776" s="54">
        <v>126950</v>
      </c>
      <c r="K776" s="1">
        <v>0.1</v>
      </c>
      <c r="L776" t="s">
        <v>19</v>
      </c>
      <c r="M776" t="s">
        <v>20</v>
      </c>
      <c r="N776" s="6" t="s">
        <v>21</v>
      </c>
      <c r="O776" s="54">
        <f>TBL_Employees3[[#This Row],[Annual Salary]]+TBL_Employees3[[#This Row],[Bonus %]]*TBL_Employees3[[#This Row],[Annual Salary]]</f>
        <v>139645</v>
      </c>
      <c r="P776" t="str">
        <f>IF(AND(TBL_Employees3[[#This Row],[Department]]="IT",TBL_Employees3[[#This Row],[Gender]]="Female"),"Yes","No")</f>
        <v>No</v>
      </c>
      <c r="Q776" t="str">
        <f>IF(AND(TBL_Employees3[[#This Row],[Gender]]="Female",TBL_Employees3[[#This Row],[Ethnicity]]="Black"), "Female_Black", "Others")</f>
        <v>Others</v>
      </c>
    </row>
    <row r="777" spans="1:17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6">
        <v>41964</v>
      </c>
      <c r="J777" s="54">
        <v>97500</v>
      </c>
      <c r="K777" s="1">
        <v>0</v>
      </c>
      <c r="L777" t="s">
        <v>19</v>
      </c>
      <c r="M777" t="s">
        <v>45</v>
      </c>
      <c r="N777" s="6" t="s">
        <v>21</v>
      </c>
      <c r="O777" s="54">
        <f>TBL_Employees3[[#This Row],[Annual Salary]]+TBL_Employees3[[#This Row],[Bonus %]]*TBL_Employees3[[#This Row],[Annual Salary]]</f>
        <v>97500</v>
      </c>
      <c r="P777" t="str">
        <f>IF(AND(TBL_Employees3[[#This Row],[Department]]="IT",TBL_Employees3[[#This Row],[Gender]]="Female"),"Yes","No")</f>
        <v>Yes</v>
      </c>
      <c r="Q777" t="str">
        <f>IF(AND(TBL_Employees3[[#This Row],[Gender]]="Female",TBL_Employees3[[#This Row],[Ethnicity]]="Black"), "Female_Black", "Others")</f>
        <v>Others</v>
      </c>
    </row>
    <row r="778" spans="1:17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6">
        <v>44213</v>
      </c>
      <c r="J778" s="54">
        <v>41844</v>
      </c>
      <c r="K778" s="1">
        <v>0</v>
      </c>
      <c r="L778" t="s">
        <v>33</v>
      </c>
      <c r="M778" t="s">
        <v>80</v>
      </c>
      <c r="N778" s="6" t="s">
        <v>21</v>
      </c>
      <c r="O778" s="54">
        <f>TBL_Employees3[[#This Row],[Annual Salary]]+TBL_Employees3[[#This Row],[Bonus %]]*TBL_Employees3[[#This Row],[Annual Salary]]</f>
        <v>41844</v>
      </c>
      <c r="P778" t="str">
        <f>IF(AND(TBL_Employees3[[#This Row],[Department]]="IT",TBL_Employees3[[#This Row],[Gender]]="Female"),"Yes","No")</f>
        <v>No</v>
      </c>
      <c r="Q778" t="str">
        <f>IF(AND(TBL_Employees3[[#This Row],[Gender]]="Female",TBL_Employees3[[#This Row],[Ethnicity]]="Black"), "Female_Black", "Others")</f>
        <v>Others</v>
      </c>
    </row>
    <row r="779" spans="1:17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6">
        <v>41680</v>
      </c>
      <c r="J779" s="54">
        <v>58875</v>
      </c>
      <c r="K779" s="1">
        <v>0</v>
      </c>
      <c r="L779" t="s">
        <v>33</v>
      </c>
      <c r="M779" t="s">
        <v>34</v>
      </c>
      <c r="N779" s="6" t="s">
        <v>21</v>
      </c>
      <c r="O779" s="54">
        <f>TBL_Employees3[[#This Row],[Annual Salary]]+TBL_Employees3[[#This Row],[Bonus %]]*TBL_Employees3[[#This Row],[Annual Salary]]</f>
        <v>58875</v>
      </c>
      <c r="P779" t="str">
        <f>IF(AND(TBL_Employees3[[#This Row],[Department]]="IT",TBL_Employees3[[#This Row],[Gender]]="Female"),"Yes","No")</f>
        <v>No</v>
      </c>
      <c r="Q779" t="str">
        <f>IF(AND(TBL_Employees3[[#This Row],[Gender]]="Female",TBL_Employees3[[#This Row],[Ethnicity]]="Black"), "Female_Black", "Others")</f>
        <v>Others</v>
      </c>
    </row>
    <row r="780" spans="1:17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6">
        <v>42318</v>
      </c>
      <c r="J780" s="54">
        <v>64204</v>
      </c>
      <c r="K780" s="1">
        <v>0</v>
      </c>
      <c r="L780" t="s">
        <v>19</v>
      </c>
      <c r="M780" t="s">
        <v>29</v>
      </c>
      <c r="N780" s="6">
        <v>44306</v>
      </c>
      <c r="O780" s="54">
        <f>TBL_Employees3[[#This Row],[Annual Salary]]+TBL_Employees3[[#This Row],[Bonus %]]*TBL_Employees3[[#This Row],[Annual Salary]]</f>
        <v>64204</v>
      </c>
      <c r="P780" t="str">
        <f>IF(AND(TBL_Employees3[[#This Row],[Department]]="IT",TBL_Employees3[[#This Row],[Gender]]="Female"),"Yes","No")</f>
        <v>No</v>
      </c>
      <c r="Q780" t="str">
        <f>IF(AND(TBL_Employees3[[#This Row],[Gender]]="Female",TBL_Employees3[[#This Row],[Ethnicity]]="Black"), "Female_Black", "Others")</f>
        <v>Others</v>
      </c>
    </row>
    <row r="781" spans="1:17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6">
        <v>40307</v>
      </c>
      <c r="J781" s="54">
        <v>67743</v>
      </c>
      <c r="K781" s="1">
        <v>0</v>
      </c>
      <c r="L781" t="s">
        <v>33</v>
      </c>
      <c r="M781" t="s">
        <v>60</v>
      </c>
      <c r="N781" s="6">
        <v>41998</v>
      </c>
      <c r="O781" s="54">
        <f>TBL_Employees3[[#This Row],[Annual Salary]]+TBL_Employees3[[#This Row],[Bonus %]]*TBL_Employees3[[#This Row],[Annual Salary]]</f>
        <v>67743</v>
      </c>
      <c r="P781" t="str">
        <f>IF(AND(TBL_Employees3[[#This Row],[Department]]="IT",TBL_Employees3[[#This Row],[Gender]]="Female"),"Yes","No")</f>
        <v>No</v>
      </c>
      <c r="Q781" t="str">
        <f>IF(AND(TBL_Employees3[[#This Row],[Gender]]="Female",TBL_Employees3[[#This Row],[Ethnicity]]="Black"), "Female_Black", "Others")</f>
        <v>Others</v>
      </c>
    </row>
    <row r="782" spans="1:17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6">
        <v>35641</v>
      </c>
      <c r="J782" s="54">
        <v>71677</v>
      </c>
      <c r="K782" s="1">
        <v>0</v>
      </c>
      <c r="L782" t="s">
        <v>19</v>
      </c>
      <c r="M782" t="s">
        <v>29</v>
      </c>
      <c r="N782" s="6" t="s">
        <v>21</v>
      </c>
      <c r="O782" s="54">
        <f>TBL_Employees3[[#This Row],[Annual Salary]]+TBL_Employees3[[#This Row],[Bonus %]]*TBL_Employees3[[#This Row],[Annual Salary]]</f>
        <v>71677</v>
      </c>
      <c r="P782" t="str">
        <f>IF(AND(TBL_Employees3[[#This Row],[Department]]="IT",TBL_Employees3[[#This Row],[Gender]]="Female"),"Yes","No")</f>
        <v>No</v>
      </c>
      <c r="Q782" t="str">
        <f>IF(AND(TBL_Employees3[[#This Row],[Gender]]="Female",TBL_Employees3[[#This Row],[Ethnicity]]="Black"), "Female_Black", "Others")</f>
        <v>Female_Black</v>
      </c>
    </row>
    <row r="783" spans="1:17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6">
        <v>36793</v>
      </c>
      <c r="J783" s="54">
        <v>40063</v>
      </c>
      <c r="K783" s="1">
        <v>0</v>
      </c>
      <c r="L783" t="s">
        <v>19</v>
      </c>
      <c r="M783" t="s">
        <v>45</v>
      </c>
      <c r="N783" s="6" t="s">
        <v>21</v>
      </c>
      <c r="O783" s="54">
        <f>TBL_Employees3[[#This Row],[Annual Salary]]+TBL_Employees3[[#This Row],[Bonus %]]*TBL_Employees3[[#This Row],[Annual Salary]]</f>
        <v>40063</v>
      </c>
      <c r="P783" t="str">
        <f>IF(AND(TBL_Employees3[[#This Row],[Department]]="IT",TBL_Employees3[[#This Row],[Gender]]="Female"),"Yes","No")</f>
        <v>No</v>
      </c>
      <c r="Q783" t="str">
        <f>IF(AND(TBL_Employees3[[#This Row],[Gender]]="Female",TBL_Employees3[[#This Row],[Ethnicity]]="Black"), "Female_Black", "Others")</f>
        <v>Others</v>
      </c>
    </row>
    <row r="784" spans="1:17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6">
        <v>38107</v>
      </c>
      <c r="J784" s="54">
        <v>40124</v>
      </c>
      <c r="K784" s="1">
        <v>0</v>
      </c>
      <c r="L784" t="s">
        <v>19</v>
      </c>
      <c r="M784" t="s">
        <v>25</v>
      </c>
      <c r="N784" s="6" t="s">
        <v>21</v>
      </c>
      <c r="O784" s="54">
        <f>TBL_Employees3[[#This Row],[Annual Salary]]+TBL_Employees3[[#This Row],[Bonus %]]*TBL_Employees3[[#This Row],[Annual Salary]]</f>
        <v>40124</v>
      </c>
      <c r="P784" t="str">
        <f>IF(AND(TBL_Employees3[[#This Row],[Department]]="IT",TBL_Employees3[[#This Row],[Gender]]="Female"),"Yes","No")</f>
        <v>Yes</v>
      </c>
      <c r="Q784" t="str">
        <f>IF(AND(TBL_Employees3[[#This Row],[Gender]]="Female",TBL_Employees3[[#This Row],[Ethnicity]]="Black"), "Female_Black", "Others")</f>
        <v>Others</v>
      </c>
    </row>
    <row r="785" spans="1:17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6">
        <v>43157</v>
      </c>
      <c r="J785" s="54">
        <v>103183</v>
      </c>
      <c r="K785" s="1">
        <v>0</v>
      </c>
      <c r="L785" t="s">
        <v>19</v>
      </c>
      <c r="M785" t="s">
        <v>25</v>
      </c>
      <c r="N785" s="6">
        <v>44386</v>
      </c>
      <c r="O785" s="54">
        <f>TBL_Employees3[[#This Row],[Annual Salary]]+TBL_Employees3[[#This Row],[Bonus %]]*TBL_Employees3[[#This Row],[Annual Salary]]</f>
        <v>103183</v>
      </c>
      <c r="P785" t="str">
        <f>IF(AND(TBL_Employees3[[#This Row],[Department]]="IT",TBL_Employees3[[#This Row],[Gender]]="Female"),"Yes","No")</f>
        <v>No</v>
      </c>
      <c r="Q785" t="str">
        <f>IF(AND(TBL_Employees3[[#This Row],[Gender]]="Female",TBL_Employees3[[#This Row],[Ethnicity]]="Black"), "Female_Black", "Others")</f>
        <v>Others</v>
      </c>
    </row>
    <row r="786" spans="1:17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6">
        <v>35961</v>
      </c>
      <c r="J786" s="54">
        <v>95239</v>
      </c>
      <c r="K786" s="1">
        <v>0</v>
      </c>
      <c r="L786" t="s">
        <v>19</v>
      </c>
      <c r="M786" t="s">
        <v>39</v>
      </c>
      <c r="N786" s="6" t="s">
        <v>21</v>
      </c>
      <c r="O786" s="54">
        <f>TBL_Employees3[[#This Row],[Annual Salary]]+TBL_Employees3[[#This Row],[Bonus %]]*TBL_Employees3[[#This Row],[Annual Salary]]</f>
        <v>95239</v>
      </c>
      <c r="P786" t="str">
        <f>IF(AND(TBL_Employees3[[#This Row],[Department]]="IT",TBL_Employees3[[#This Row],[Gender]]="Female"),"Yes","No")</f>
        <v>No</v>
      </c>
      <c r="Q786" t="str">
        <f>IF(AND(TBL_Employees3[[#This Row],[Gender]]="Female",TBL_Employees3[[#This Row],[Ethnicity]]="Black"), "Female_Black", "Others")</f>
        <v>Others</v>
      </c>
    </row>
    <row r="787" spans="1:17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6">
        <v>43778</v>
      </c>
      <c r="J787" s="54">
        <v>75012</v>
      </c>
      <c r="K787" s="1">
        <v>0</v>
      </c>
      <c r="L787" t="s">
        <v>19</v>
      </c>
      <c r="M787" t="s">
        <v>20</v>
      </c>
      <c r="N787" s="6" t="s">
        <v>21</v>
      </c>
      <c r="O787" s="54">
        <f>TBL_Employees3[[#This Row],[Annual Salary]]+TBL_Employees3[[#This Row],[Bonus %]]*TBL_Employees3[[#This Row],[Annual Salary]]</f>
        <v>75012</v>
      </c>
      <c r="P787" t="str">
        <f>IF(AND(TBL_Employees3[[#This Row],[Department]]="IT",TBL_Employees3[[#This Row],[Gender]]="Female"),"Yes","No")</f>
        <v>No</v>
      </c>
      <c r="Q787" t="str">
        <f>IF(AND(TBL_Employees3[[#This Row],[Gender]]="Female",TBL_Employees3[[#This Row],[Ethnicity]]="Black"), "Female_Black", "Others")</f>
        <v>Others</v>
      </c>
    </row>
    <row r="788" spans="1:17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6">
        <v>41819</v>
      </c>
      <c r="J788" s="54">
        <v>96366</v>
      </c>
      <c r="K788" s="1">
        <v>0</v>
      </c>
      <c r="L788" t="s">
        <v>33</v>
      </c>
      <c r="M788" t="s">
        <v>34</v>
      </c>
      <c r="N788" s="6" t="s">
        <v>21</v>
      </c>
      <c r="O788" s="54">
        <f>TBL_Employees3[[#This Row],[Annual Salary]]+TBL_Employees3[[#This Row],[Bonus %]]*TBL_Employees3[[#This Row],[Annual Salary]]</f>
        <v>96366</v>
      </c>
      <c r="P788" t="str">
        <f>IF(AND(TBL_Employees3[[#This Row],[Department]]="IT",TBL_Employees3[[#This Row],[Gender]]="Female"),"Yes","No")</f>
        <v>Yes</v>
      </c>
      <c r="Q788" t="str">
        <f>IF(AND(TBL_Employees3[[#This Row],[Gender]]="Female",TBL_Employees3[[#This Row],[Ethnicity]]="Black"), "Female_Black", "Others")</f>
        <v>Others</v>
      </c>
    </row>
    <row r="789" spans="1:17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6">
        <v>41849</v>
      </c>
      <c r="J789" s="54">
        <v>40897</v>
      </c>
      <c r="K789" s="1">
        <v>0</v>
      </c>
      <c r="L789" t="s">
        <v>19</v>
      </c>
      <c r="M789" t="s">
        <v>63</v>
      </c>
      <c r="N789" s="6" t="s">
        <v>21</v>
      </c>
      <c r="O789" s="54">
        <f>TBL_Employees3[[#This Row],[Annual Salary]]+TBL_Employees3[[#This Row],[Bonus %]]*TBL_Employees3[[#This Row],[Annual Salary]]</f>
        <v>40897</v>
      </c>
      <c r="P789" t="str">
        <f>IF(AND(TBL_Employees3[[#This Row],[Department]]="IT",TBL_Employees3[[#This Row],[Gender]]="Female"),"Yes","No")</f>
        <v>No</v>
      </c>
      <c r="Q789" t="str">
        <f>IF(AND(TBL_Employees3[[#This Row],[Gender]]="Female",TBL_Employees3[[#This Row],[Ethnicity]]="Black"), "Female_Black", "Others")</f>
        <v>Others</v>
      </c>
    </row>
    <row r="790" spans="1:17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6">
        <v>42605</v>
      </c>
      <c r="J790" s="54">
        <v>124928</v>
      </c>
      <c r="K790" s="1">
        <v>0.06</v>
      </c>
      <c r="L790" t="s">
        <v>33</v>
      </c>
      <c r="M790" t="s">
        <v>80</v>
      </c>
      <c r="N790" s="6" t="s">
        <v>21</v>
      </c>
      <c r="O790" s="54">
        <f>TBL_Employees3[[#This Row],[Annual Salary]]+TBL_Employees3[[#This Row],[Bonus %]]*TBL_Employees3[[#This Row],[Annual Salary]]</f>
        <v>132423.67999999999</v>
      </c>
      <c r="P790" t="str">
        <f>IF(AND(TBL_Employees3[[#This Row],[Department]]="IT",TBL_Employees3[[#This Row],[Gender]]="Female"),"Yes","No")</f>
        <v>No</v>
      </c>
      <c r="Q790" t="str">
        <f>IF(AND(TBL_Employees3[[#This Row],[Gender]]="Female",TBL_Employees3[[#This Row],[Ethnicity]]="Black"), "Female_Black", "Others")</f>
        <v>Others</v>
      </c>
    </row>
    <row r="791" spans="1:17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6">
        <v>41439</v>
      </c>
      <c r="J791" s="54">
        <v>108221</v>
      </c>
      <c r="K791" s="1">
        <v>0.05</v>
      </c>
      <c r="L791" t="s">
        <v>52</v>
      </c>
      <c r="M791" t="s">
        <v>81</v>
      </c>
      <c r="N791" s="6" t="s">
        <v>21</v>
      </c>
      <c r="O791" s="54">
        <f>TBL_Employees3[[#This Row],[Annual Salary]]+TBL_Employees3[[#This Row],[Bonus %]]*TBL_Employees3[[#This Row],[Annual Salary]]</f>
        <v>113632.05</v>
      </c>
      <c r="P791" t="str">
        <f>IF(AND(TBL_Employees3[[#This Row],[Department]]="IT",TBL_Employees3[[#This Row],[Gender]]="Female"),"Yes","No")</f>
        <v>No</v>
      </c>
      <c r="Q791" t="str">
        <f>IF(AND(TBL_Employees3[[#This Row],[Gender]]="Female",TBL_Employees3[[#This Row],[Ethnicity]]="Black"), "Female_Black", "Others")</f>
        <v>Others</v>
      </c>
    </row>
    <row r="792" spans="1:17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6">
        <v>39133</v>
      </c>
      <c r="J792" s="54">
        <v>75579</v>
      </c>
      <c r="K792" s="1">
        <v>0</v>
      </c>
      <c r="L792" t="s">
        <v>19</v>
      </c>
      <c r="M792" t="s">
        <v>63</v>
      </c>
      <c r="N792" s="6" t="s">
        <v>21</v>
      </c>
      <c r="O792" s="54">
        <f>TBL_Employees3[[#This Row],[Annual Salary]]+TBL_Employees3[[#This Row],[Bonus %]]*TBL_Employees3[[#This Row],[Annual Salary]]</f>
        <v>75579</v>
      </c>
      <c r="P792" t="str">
        <f>IF(AND(TBL_Employees3[[#This Row],[Department]]="IT",TBL_Employees3[[#This Row],[Gender]]="Female"),"Yes","No")</f>
        <v>No</v>
      </c>
      <c r="Q792" t="str">
        <f>IF(AND(TBL_Employees3[[#This Row],[Gender]]="Female",TBL_Employees3[[#This Row],[Ethnicity]]="Black"), "Female_Black", "Others")</f>
        <v>Others</v>
      </c>
    </row>
    <row r="793" spans="1:17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6">
        <v>42365</v>
      </c>
      <c r="J793" s="54">
        <v>129903</v>
      </c>
      <c r="K793" s="1">
        <v>0.13</v>
      </c>
      <c r="L793" t="s">
        <v>52</v>
      </c>
      <c r="M793" t="s">
        <v>53</v>
      </c>
      <c r="N793" s="6" t="s">
        <v>21</v>
      </c>
      <c r="O793" s="54">
        <f>TBL_Employees3[[#This Row],[Annual Salary]]+TBL_Employees3[[#This Row],[Bonus %]]*TBL_Employees3[[#This Row],[Annual Salary]]</f>
        <v>146790.39000000001</v>
      </c>
      <c r="P793" t="str">
        <f>IF(AND(TBL_Employees3[[#This Row],[Department]]="IT",TBL_Employees3[[#This Row],[Gender]]="Female"),"Yes","No")</f>
        <v>No</v>
      </c>
      <c r="Q793" t="str">
        <f>IF(AND(TBL_Employees3[[#This Row],[Gender]]="Female",TBL_Employees3[[#This Row],[Ethnicity]]="Black"), "Female_Black", "Others")</f>
        <v>Others</v>
      </c>
    </row>
    <row r="794" spans="1:17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6">
        <v>44303</v>
      </c>
      <c r="J794" s="54">
        <v>186870</v>
      </c>
      <c r="K794" s="1">
        <v>0.2</v>
      </c>
      <c r="L794" t="s">
        <v>33</v>
      </c>
      <c r="M794" t="s">
        <v>74</v>
      </c>
      <c r="N794" s="6" t="s">
        <v>21</v>
      </c>
      <c r="O794" s="54">
        <f>TBL_Employees3[[#This Row],[Annual Salary]]+TBL_Employees3[[#This Row],[Bonus %]]*TBL_Employees3[[#This Row],[Annual Salary]]</f>
        <v>224244</v>
      </c>
      <c r="P794" t="str">
        <f>IF(AND(TBL_Employees3[[#This Row],[Department]]="IT",TBL_Employees3[[#This Row],[Gender]]="Female"),"Yes","No")</f>
        <v>No</v>
      </c>
      <c r="Q794" t="str">
        <f>IF(AND(TBL_Employees3[[#This Row],[Gender]]="Female",TBL_Employees3[[#This Row],[Ethnicity]]="Black"), "Female_Black", "Others")</f>
        <v>Others</v>
      </c>
    </row>
    <row r="795" spans="1:17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6">
        <v>40291</v>
      </c>
      <c r="J795" s="54">
        <v>57531</v>
      </c>
      <c r="K795" s="1">
        <v>0</v>
      </c>
      <c r="L795" t="s">
        <v>19</v>
      </c>
      <c r="M795" t="s">
        <v>20</v>
      </c>
      <c r="N795" s="6" t="s">
        <v>21</v>
      </c>
      <c r="O795" s="54">
        <f>TBL_Employees3[[#This Row],[Annual Salary]]+TBL_Employees3[[#This Row],[Bonus %]]*TBL_Employees3[[#This Row],[Annual Salary]]</f>
        <v>57531</v>
      </c>
      <c r="P795" t="str">
        <f>IF(AND(TBL_Employees3[[#This Row],[Department]]="IT",TBL_Employees3[[#This Row],[Gender]]="Female"),"Yes","No")</f>
        <v>No</v>
      </c>
      <c r="Q795" t="str">
        <f>IF(AND(TBL_Employees3[[#This Row],[Gender]]="Female",TBL_Employees3[[#This Row],[Ethnicity]]="Black"), "Female_Black", "Others")</f>
        <v>Others</v>
      </c>
    </row>
    <row r="796" spans="1:17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6">
        <v>40657</v>
      </c>
      <c r="J796" s="54">
        <v>55894</v>
      </c>
      <c r="K796" s="1">
        <v>0</v>
      </c>
      <c r="L796" t="s">
        <v>19</v>
      </c>
      <c r="M796" t="s">
        <v>63</v>
      </c>
      <c r="N796" s="6" t="s">
        <v>21</v>
      </c>
      <c r="O796" s="54">
        <f>TBL_Employees3[[#This Row],[Annual Salary]]+TBL_Employees3[[#This Row],[Bonus %]]*TBL_Employees3[[#This Row],[Annual Salary]]</f>
        <v>55894</v>
      </c>
      <c r="P796" t="str">
        <f>IF(AND(TBL_Employees3[[#This Row],[Department]]="IT",TBL_Employees3[[#This Row],[Gender]]="Female"),"Yes","No")</f>
        <v>No</v>
      </c>
      <c r="Q796" t="str">
        <f>IF(AND(TBL_Employees3[[#This Row],[Gender]]="Female",TBL_Employees3[[#This Row],[Ethnicity]]="Black"), "Female_Black", "Others")</f>
        <v>Others</v>
      </c>
    </row>
    <row r="797" spans="1:17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6">
        <v>41026</v>
      </c>
      <c r="J797" s="54">
        <v>72903</v>
      </c>
      <c r="K797" s="1">
        <v>0</v>
      </c>
      <c r="L797" t="s">
        <v>19</v>
      </c>
      <c r="M797" t="s">
        <v>39</v>
      </c>
      <c r="N797" s="6" t="s">
        <v>21</v>
      </c>
      <c r="O797" s="54">
        <f>TBL_Employees3[[#This Row],[Annual Salary]]+TBL_Employees3[[#This Row],[Bonus %]]*TBL_Employees3[[#This Row],[Annual Salary]]</f>
        <v>72903</v>
      </c>
      <c r="P797" t="str">
        <f>IF(AND(TBL_Employees3[[#This Row],[Department]]="IT",TBL_Employees3[[#This Row],[Gender]]="Female"),"Yes","No")</f>
        <v>No</v>
      </c>
      <c r="Q797" t="str">
        <f>IF(AND(TBL_Employees3[[#This Row],[Gender]]="Female",TBL_Employees3[[#This Row],[Ethnicity]]="Black"), "Female_Black", "Others")</f>
        <v>Others</v>
      </c>
    </row>
    <row r="798" spans="1:17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6">
        <v>42317</v>
      </c>
      <c r="J798" s="54">
        <v>45369</v>
      </c>
      <c r="K798" s="1">
        <v>0</v>
      </c>
      <c r="L798" t="s">
        <v>33</v>
      </c>
      <c r="M798" t="s">
        <v>60</v>
      </c>
      <c r="N798" s="6" t="s">
        <v>21</v>
      </c>
      <c r="O798" s="54">
        <f>TBL_Employees3[[#This Row],[Annual Salary]]+TBL_Employees3[[#This Row],[Bonus %]]*TBL_Employees3[[#This Row],[Annual Salary]]</f>
        <v>45369</v>
      </c>
      <c r="P798" t="str">
        <f>IF(AND(TBL_Employees3[[#This Row],[Department]]="IT",TBL_Employees3[[#This Row],[Gender]]="Female"),"Yes","No")</f>
        <v>No</v>
      </c>
      <c r="Q798" t="str">
        <f>IF(AND(TBL_Employees3[[#This Row],[Gender]]="Female",TBL_Employees3[[#This Row],[Ethnicity]]="Black"), "Female_Black", "Others")</f>
        <v>Others</v>
      </c>
    </row>
    <row r="799" spans="1:17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6">
        <v>40344</v>
      </c>
      <c r="J799" s="54">
        <v>106578</v>
      </c>
      <c r="K799" s="1">
        <v>0.09</v>
      </c>
      <c r="L799" t="s">
        <v>19</v>
      </c>
      <c r="M799" t="s">
        <v>45</v>
      </c>
      <c r="N799" s="6" t="s">
        <v>21</v>
      </c>
      <c r="O799" s="54">
        <f>TBL_Employees3[[#This Row],[Annual Salary]]+TBL_Employees3[[#This Row],[Bonus %]]*TBL_Employees3[[#This Row],[Annual Salary]]</f>
        <v>116170.02</v>
      </c>
      <c r="P799" t="str">
        <f>IF(AND(TBL_Employees3[[#This Row],[Department]]="IT",TBL_Employees3[[#This Row],[Gender]]="Female"),"Yes","No")</f>
        <v>No</v>
      </c>
      <c r="Q799" t="str">
        <f>IF(AND(TBL_Employees3[[#This Row],[Gender]]="Female",TBL_Employees3[[#This Row],[Ethnicity]]="Black"), "Female_Black", "Others")</f>
        <v>Others</v>
      </c>
    </row>
    <row r="800" spans="1:17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6">
        <v>36416</v>
      </c>
      <c r="J800" s="54">
        <v>92994</v>
      </c>
      <c r="K800" s="1">
        <v>0</v>
      </c>
      <c r="L800" t="s">
        <v>19</v>
      </c>
      <c r="M800" t="s">
        <v>20</v>
      </c>
      <c r="N800" s="6" t="s">
        <v>21</v>
      </c>
      <c r="O800" s="54">
        <f>TBL_Employees3[[#This Row],[Annual Salary]]+TBL_Employees3[[#This Row],[Bonus %]]*TBL_Employees3[[#This Row],[Annual Salary]]</f>
        <v>92994</v>
      </c>
      <c r="P800" t="str">
        <f>IF(AND(TBL_Employees3[[#This Row],[Department]]="IT",TBL_Employees3[[#This Row],[Gender]]="Female"),"Yes","No")</f>
        <v>No</v>
      </c>
      <c r="Q800" t="str">
        <f>IF(AND(TBL_Employees3[[#This Row],[Gender]]="Female",TBL_Employees3[[#This Row],[Ethnicity]]="Black"), "Female_Black", "Others")</f>
        <v>Others</v>
      </c>
    </row>
    <row r="801" spans="1:17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6">
        <v>35502</v>
      </c>
      <c r="J801" s="54">
        <v>83685</v>
      </c>
      <c r="K801" s="1">
        <v>0</v>
      </c>
      <c r="L801" t="s">
        <v>33</v>
      </c>
      <c r="M801" t="s">
        <v>60</v>
      </c>
      <c r="N801" s="6" t="s">
        <v>21</v>
      </c>
      <c r="O801" s="54">
        <f>TBL_Employees3[[#This Row],[Annual Salary]]+TBL_Employees3[[#This Row],[Bonus %]]*TBL_Employees3[[#This Row],[Annual Salary]]</f>
        <v>83685</v>
      </c>
      <c r="P801" t="str">
        <f>IF(AND(TBL_Employees3[[#This Row],[Department]]="IT",TBL_Employees3[[#This Row],[Gender]]="Female"),"Yes","No")</f>
        <v>No</v>
      </c>
      <c r="Q801" t="str">
        <f>IF(AND(TBL_Employees3[[#This Row],[Gender]]="Female",TBL_Employees3[[#This Row],[Ethnicity]]="Black"), "Female_Black", "Others")</f>
        <v>Others</v>
      </c>
    </row>
    <row r="802" spans="1:17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6">
        <v>40435</v>
      </c>
      <c r="J802" s="54">
        <v>99335</v>
      </c>
      <c r="K802" s="1">
        <v>0</v>
      </c>
      <c r="L802" t="s">
        <v>19</v>
      </c>
      <c r="M802" t="s">
        <v>39</v>
      </c>
      <c r="N802" s="6" t="s">
        <v>21</v>
      </c>
      <c r="O802" s="54">
        <f>TBL_Employees3[[#This Row],[Annual Salary]]+TBL_Employees3[[#This Row],[Bonus %]]*TBL_Employees3[[#This Row],[Annual Salary]]</f>
        <v>99335</v>
      </c>
      <c r="P802" t="str">
        <f>IF(AND(TBL_Employees3[[#This Row],[Department]]="IT",TBL_Employees3[[#This Row],[Gender]]="Female"),"Yes","No")</f>
        <v>No</v>
      </c>
      <c r="Q802" t="str">
        <f>IF(AND(TBL_Employees3[[#This Row],[Gender]]="Female",TBL_Employees3[[#This Row],[Ethnicity]]="Black"), "Female_Black", "Others")</f>
        <v>Others</v>
      </c>
    </row>
    <row r="803" spans="1:17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6">
        <v>41382</v>
      </c>
      <c r="J803" s="54">
        <v>131179</v>
      </c>
      <c r="K803" s="1">
        <v>0.15</v>
      </c>
      <c r="L803" t="s">
        <v>19</v>
      </c>
      <c r="M803" t="s">
        <v>29</v>
      </c>
      <c r="N803" s="6" t="s">
        <v>21</v>
      </c>
      <c r="O803" s="54">
        <f>TBL_Employees3[[#This Row],[Annual Salary]]+TBL_Employees3[[#This Row],[Bonus %]]*TBL_Employees3[[#This Row],[Annual Salary]]</f>
        <v>150855.85</v>
      </c>
      <c r="P803" t="str">
        <f>IF(AND(TBL_Employees3[[#This Row],[Department]]="IT",TBL_Employees3[[#This Row],[Gender]]="Female"),"Yes","No")</f>
        <v>No</v>
      </c>
      <c r="Q803" t="str">
        <f>IF(AND(TBL_Employees3[[#This Row],[Gender]]="Female",TBL_Employees3[[#This Row],[Ethnicity]]="Black"), "Female_Black", "Others")</f>
        <v>Others</v>
      </c>
    </row>
    <row r="804" spans="1:17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6">
        <v>42493</v>
      </c>
      <c r="J804" s="54">
        <v>73899</v>
      </c>
      <c r="K804" s="1">
        <v>0.05</v>
      </c>
      <c r="L804" t="s">
        <v>33</v>
      </c>
      <c r="M804" t="s">
        <v>34</v>
      </c>
      <c r="N804" s="6" t="s">
        <v>21</v>
      </c>
      <c r="O804" s="54">
        <f>TBL_Employees3[[#This Row],[Annual Salary]]+TBL_Employees3[[#This Row],[Bonus %]]*TBL_Employees3[[#This Row],[Annual Salary]]</f>
        <v>77593.95</v>
      </c>
      <c r="P804" t="str">
        <f>IF(AND(TBL_Employees3[[#This Row],[Department]]="IT",TBL_Employees3[[#This Row],[Gender]]="Female"),"Yes","No")</f>
        <v>No</v>
      </c>
      <c r="Q804" t="str">
        <f>IF(AND(TBL_Employees3[[#This Row],[Gender]]="Female",TBL_Employees3[[#This Row],[Ethnicity]]="Black"), "Female_Black", "Others")</f>
        <v>Others</v>
      </c>
    </row>
    <row r="805" spans="1:17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6">
        <v>41362</v>
      </c>
      <c r="J805" s="54">
        <v>252325</v>
      </c>
      <c r="K805" s="1">
        <v>0.4</v>
      </c>
      <c r="L805" t="s">
        <v>19</v>
      </c>
      <c r="M805" t="s">
        <v>29</v>
      </c>
      <c r="N805" s="6" t="s">
        <v>21</v>
      </c>
      <c r="O805" s="54">
        <f>TBL_Employees3[[#This Row],[Annual Salary]]+TBL_Employees3[[#This Row],[Bonus %]]*TBL_Employees3[[#This Row],[Annual Salary]]</f>
        <v>353255</v>
      </c>
      <c r="P805" t="str">
        <f>IF(AND(TBL_Employees3[[#This Row],[Department]]="IT",TBL_Employees3[[#This Row],[Gender]]="Female"),"Yes","No")</f>
        <v>No</v>
      </c>
      <c r="Q805" t="str">
        <f>IF(AND(TBL_Employees3[[#This Row],[Gender]]="Female",TBL_Employees3[[#This Row],[Ethnicity]]="Black"), "Female_Black", "Others")</f>
        <v>Others</v>
      </c>
    </row>
    <row r="806" spans="1:17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6">
        <v>42068</v>
      </c>
      <c r="J806" s="54">
        <v>52697</v>
      </c>
      <c r="K806" s="1">
        <v>0</v>
      </c>
      <c r="L806" t="s">
        <v>19</v>
      </c>
      <c r="M806" t="s">
        <v>63</v>
      </c>
      <c r="N806" s="6" t="s">
        <v>21</v>
      </c>
      <c r="O806" s="54">
        <f>TBL_Employees3[[#This Row],[Annual Salary]]+TBL_Employees3[[#This Row],[Bonus %]]*TBL_Employees3[[#This Row],[Annual Salary]]</f>
        <v>52697</v>
      </c>
      <c r="P806" t="str">
        <f>IF(AND(TBL_Employees3[[#This Row],[Department]]="IT",TBL_Employees3[[#This Row],[Gender]]="Female"),"Yes","No")</f>
        <v>No</v>
      </c>
      <c r="Q806" t="str">
        <f>IF(AND(TBL_Employees3[[#This Row],[Gender]]="Female",TBL_Employees3[[#This Row],[Ethnicity]]="Black"), "Female_Black", "Others")</f>
        <v>Others</v>
      </c>
    </row>
    <row r="807" spans="1:17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6">
        <v>44099</v>
      </c>
      <c r="J807" s="54">
        <v>123588</v>
      </c>
      <c r="K807" s="1">
        <v>0</v>
      </c>
      <c r="L807" t="s">
        <v>52</v>
      </c>
      <c r="M807" t="s">
        <v>53</v>
      </c>
      <c r="N807" s="6" t="s">
        <v>21</v>
      </c>
      <c r="O807" s="54">
        <f>TBL_Employees3[[#This Row],[Annual Salary]]+TBL_Employees3[[#This Row],[Bonus %]]*TBL_Employees3[[#This Row],[Annual Salary]]</f>
        <v>123588</v>
      </c>
      <c r="P807" t="str">
        <f>IF(AND(TBL_Employees3[[#This Row],[Department]]="IT",TBL_Employees3[[#This Row],[Gender]]="Female"),"Yes","No")</f>
        <v>No</v>
      </c>
      <c r="Q807" t="str">
        <f>IF(AND(TBL_Employees3[[#This Row],[Gender]]="Female",TBL_Employees3[[#This Row],[Ethnicity]]="Black"), "Female_Black", "Others")</f>
        <v>Others</v>
      </c>
    </row>
    <row r="808" spans="1:17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6">
        <v>44556</v>
      </c>
      <c r="J808" s="54">
        <v>243568</v>
      </c>
      <c r="K808" s="1">
        <v>0.33</v>
      </c>
      <c r="L808" t="s">
        <v>19</v>
      </c>
      <c r="M808" t="s">
        <v>25</v>
      </c>
      <c r="N808" s="6" t="s">
        <v>21</v>
      </c>
      <c r="O808" s="54">
        <f>TBL_Employees3[[#This Row],[Annual Salary]]+TBL_Employees3[[#This Row],[Bonus %]]*TBL_Employees3[[#This Row],[Annual Salary]]</f>
        <v>323945.44</v>
      </c>
      <c r="P808" t="str">
        <f>IF(AND(TBL_Employees3[[#This Row],[Department]]="IT",TBL_Employees3[[#This Row],[Gender]]="Female"),"Yes","No")</f>
        <v>No</v>
      </c>
      <c r="Q808" t="str">
        <f>IF(AND(TBL_Employees3[[#This Row],[Gender]]="Female",TBL_Employees3[[#This Row],[Ethnicity]]="Black"), "Female_Black", "Others")</f>
        <v>Others</v>
      </c>
    </row>
    <row r="809" spans="1:17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6">
        <v>37092</v>
      </c>
      <c r="J809" s="54">
        <v>199176</v>
      </c>
      <c r="K809" s="1">
        <v>0.24</v>
      </c>
      <c r="L809" t="s">
        <v>19</v>
      </c>
      <c r="M809" t="s">
        <v>39</v>
      </c>
      <c r="N809" s="6" t="s">
        <v>21</v>
      </c>
      <c r="O809" s="54">
        <f>TBL_Employees3[[#This Row],[Annual Salary]]+TBL_Employees3[[#This Row],[Bonus %]]*TBL_Employees3[[#This Row],[Annual Salary]]</f>
        <v>246978.24</v>
      </c>
      <c r="P809" t="str">
        <f>IF(AND(TBL_Employees3[[#This Row],[Department]]="IT",TBL_Employees3[[#This Row],[Gender]]="Female"),"Yes","No")</f>
        <v>No</v>
      </c>
      <c r="Q809" t="str">
        <f>IF(AND(TBL_Employees3[[#This Row],[Gender]]="Female",TBL_Employees3[[#This Row],[Ethnicity]]="Black"), "Female_Black", "Others")</f>
        <v>Others</v>
      </c>
    </row>
    <row r="810" spans="1:17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6">
        <v>35238</v>
      </c>
      <c r="J810" s="54">
        <v>82806</v>
      </c>
      <c r="K810" s="1">
        <v>0</v>
      </c>
      <c r="L810" t="s">
        <v>19</v>
      </c>
      <c r="M810" t="s">
        <v>63</v>
      </c>
      <c r="N810" s="6" t="s">
        <v>21</v>
      </c>
      <c r="O810" s="54">
        <f>TBL_Employees3[[#This Row],[Annual Salary]]+TBL_Employees3[[#This Row],[Bonus %]]*TBL_Employees3[[#This Row],[Annual Salary]]</f>
        <v>82806</v>
      </c>
      <c r="P810" t="str">
        <f>IF(AND(TBL_Employees3[[#This Row],[Department]]="IT",TBL_Employees3[[#This Row],[Gender]]="Female"),"Yes","No")</f>
        <v>Yes</v>
      </c>
      <c r="Q810" t="str">
        <f>IF(AND(TBL_Employees3[[#This Row],[Gender]]="Female",TBL_Employees3[[#This Row],[Ethnicity]]="Black"), "Female_Black", "Others")</f>
        <v>Others</v>
      </c>
    </row>
    <row r="811" spans="1:17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6">
        <v>35601</v>
      </c>
      <c r="J811" s="54">
        <v>164399</v>
      </c>
      <c r="K811" s="1">
        <v>0.25</v>
      </c>
      <c r="L811" t="s">
        <v>19</v>
      </c>
      <c r="M811" t="s">
        <v>63</v>
      </c>
      <c r="N811" s="6" t="s">
        <v>21</v>
      </c>
      <c r="O811" s="54">
        <f>TBL_Employees3[[#This Row],[Annual Salary]]+TBL_Employees3[[#This Row],[Bonus %]]*TBL_Employees3[[#This Row],[Annual Salary]]</f>
        <v>205498.75</v>
      </c>
      <c r="P811" t="str">
        <f>IF(AND(TBL_Employees3[[#This Row],[Department]]="IT",TBL_Employees3[[#This Row],[Gender]]="Female"),"Yes","No")</f>
        <v>No</v>
      </c>
      <c r="Q811" t="str">
        <f>IF(AND(TBL_Employees3[[#This Row],[Gender]]="Female",TBL_Employees3[[#This Row],[Ethnicity]]="Black"), "Female_Black", "Others")</f>
        <v>Others</v>
      </c>
    </row>
    <row r="812" spans="1:17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6">
        <v>42839</v>
      </c>
      <c r="J812" s="54">
        <v>154956</v>
      </c>
      <c r="K812" s="1">
        <v>0.13</v>
      </c>
      <c r="L812" t="s">
        <v>19</v>
      </c>
      <c r="M812" t="s">
        <v>39</v>
      </c>
      <c r="N812" s="6" t="s">
        <v>21</v>
      </c>
      <c r="O812" s="54">
        <f>TBL_Employees3[[#This Row],[Annual Salary]]+TBL_Employees3[[#This Row],[Bonus %]]*TBL_Employees3[[#This Row],[Annual Salary]]</f>
        <v>175100.28</v>
      </c>
      <c r="P812" t="str">
        <f>IF(AND(TBL_Employees3[[#This Row],[Department]]="IT",TBL_Employees3[[#This Row],[Gender]]="Female"),"Yes","No")</f>
        <v>No</v>
      </c>
      <c r="Q812" t="str">
        <f>IF(AND(TBL_Employees3[[#This Row],[Gender]]="Female",TBL_Employees3[[#This Row],[Ethnicity]]="Black"), "Female_Black", "Others")</f>
        <v>Others</v>
      </c>
    </row>
    <row r="813" spans="1:17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6">
        <v>42764</v>
      </c>
      <c r="J813" s="54">
        <v>143970</v>
      </c>
      <c r="K813" s="1">
        <v>0.12</v>
      </c>
      <c r="L813" t="s">
        <v>19</v>
      </c>
      <c r="M813" t="s">
        <v>63</v>
      </c>
      <c r="N813" s="6">
        <v>43078</v>
      </c>
      <c r="O813" s="54">
        <f>TBL_Employees3[[#This Row],[Annual Salary]]+TBL_Employees3[[#This Row],[Bonus %]]*TBL_Employees3[[#This Row],[Annual Salary]]</f>
        <v>161246.39999999999</v>
      </c>
      <c r="P813" t="str">
        <f>IF(AND(TBL_Employees3[[#This Row],[Department]]="IT",TBL_Employees3[[#This Row],[Gender]]="Female"),"Yes","No")</f>
        <v>No</v>
      </c>
      <c r="Q813" t="str">
        <f>IF(AND(TBL_Employees3[[#This Row],[Gender]]="Female",TBL_Employees3[[#This Row],[Ethnicity]]="Black"), "Female_Black", "Others")</f>
        <v>Others</v>
      </c>
    </row>
    <row r="814" spans="1:17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6">
        <v>44099</v>
      </c>
      <c r="J814" s="54">
        <v>163143</v>
      </c>
      <c r="K814" s="1">
        <v>0.28000000000000003</v>
      </c>
      <c r="L814" t="s">
        <v>52</v>
      </c>
      <c r="M814" t="s">
        <v>53</v>
      </c>
      <c r="N814" s="6" t="s">
        <v>21</v>
      </c>
      <c r="O814" s="54">
        <f>TBL_Employees3[[#This Row],[Annual Salary]]+TBL_Employees3[[#This Row],[Bonus %]]*TBL_Employees3[[#This Row],[Annual Salary]]</f>
        <v>208823.04000000001</v>
      </c>
      <c r="P814" t="str">
        <f>IF(AND(TBL_Employees3[[#This Row],[Department]]="IT",TBL_Employees3[[#This Row],[Gender]]="Female"),"Yes","No")</f>
        <v>No</v>
      </c>
      <c r="Q814" t="str">
        <f>IF(AND(TBL_Employees3[[#This Row],[Gender]]="Female",TBL_Employees3[[#This Row],[Ethnicity]]="Black"), "Female_Black", "Others")</f>
        <v>Others</v>
      </c>
    </row>
    <row r="815" spans="1:17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6">
        <v>44036</v>
      </c>
      <c r="J815" s="54">
        <v>89390</v>
      </c>
      <c r="K815" s="1">
        <v>0</v>
      </c>
      <c r="L815" t="s">
        <v>19</v>
      </c>
      <c r="M815" t="s">
        <v>63</v>
      </c>
      <c r="N815" s="6" t="s">
        <v>21</v>
      </c>
      <c r="O815" s="54">
        <f>TBL_Employees3[[#This Row],[Annual Salary]]+TBL_Employees3[[#This Row],[Bonus %]]*TBL_Employees3[[#This Row],[Annual Salary]]</f>
        <v>89390</v>
      </c>
      <c r="P815" t="str">
        <f>IF(AND(TBL_Employees3[[#This Row],[Department]]="IT",TBL_Employees3[[#This Row],[Gender]]="Female"),"Yes","No")</f>
        <v>No</v>
      </c>
      <c r="Q815" t="str">
        <f>IF(AND(TBL_Employees3[[#This Row],[Gender]]="Female",TBL_Employees3[[#This Row],[Ethnicity]]="Black"), "Female_Black", "Others")</f>
        <v>Others</v>
      </c>
    </row>
    <row r="816" spans="1:17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6">
        <v>43013</v>
      </c>
      <c r="J816" s="54">
        <v>67468</v>
      </c>
      <c r="K816" s="1">
        <v>0</v>
      </c>
      <c r="L816" t="s">
        <v>19</v>
      </c>
      <c r="M816" t="s">
        <v>45</v>
      </c>
      <c r="N816" s="6" t="s">
        <v>21</v>
      </c>
      <c r="O816" s="54">
        <f>TBL_Employees3[[#This Row],[Annual Salary]]+TBL_Employees3[[#This Row],[Bonus %]]*TBL_Employees3[[#This Row],[Annual Salary]]</f>
        <v>67468</v>
      </c>
      <c r="P816" t="str">
        <f>IF(AND(TBL_Employees3[[#This Row],[Department]]="IT",TBL_Employees3[[#This Row],[Gender]]="Female"),"Yes","No")</f>
        <v>No</v>
      </c>
      <c r="Q816" t="str">
        <f>IF(AND(TBL_Employees3[[#This Row],[Gender]]="Female",TBL_Employees3[[#This Row],[Ethnicity]]="Black"), "Female_Black", "Others")</f>
        <v>Others</v>
      </c>
    </row>
    <row r="817" spans="1:17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6">
        <v>42441</v>
      </c>
      <c r="J817" s="54">
        <v>100810</v>
      </c>
      <c r="K817" s="1">
        <v>0.12</v>
      </c>
      <c r="L817" t="s">
        <v>52</v>
      </c>
      <c r="M817" t="s">
        <v>66</v>
      </c>
      <c r="N817" s="6" t="s">
        <v>21</v>
      </c>
      <c r="O817" s="54">
        <f>TBL_Employees3[[#This Row],[Annual Salary]]+TBL_Employees3[[#This Row],[Bonus %]]*TBL_Employees3[[#This Row],[Annual Salary]]</f>
        <v>112907.2</v>
      </c>
      <c r="P817" t="str">
        <f>IF(AND(TBL_Employees3[[#This Row],[Department]]="IT",TBL_Employees3[[#This Row],[Gender]]="Female"),"Yes","No")</f>
        <v>No</v>
      </c>
      <c r="Q817" t="str">
        <f>IF(AND(TBL_Employees3[[#This Row],[Gender]]="Female",TBL_Employees3[[#This Row],[Ethnicity]]="Black"), "Female_Black", "Others")</f>
        <v>Others</v>
      </c>
    </row>
    <row r="818" spans="1:17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6">
        <v>43542</v>
      </c>
      <c r="J818" s="54">
        <v>74779</v>
      </c>
      <c r="K818" s="1">
        <v>0</v>
      </c>
      <c r="L818" t="s">
        <v>19</v>
      </c>
      <c r="M818" t="s">
        <v>39</v>
      </c>
      <c r="N818" s="6" t="s">
        <v>21</v>
      </c>
      <c r="O818" s="54">
        <f>TBL_Employees3[[#This Row],[Annual Salary]]+TBL_Employees3[[#This Row],[Bonus %]]*TBL_Employees3[[#This Row],[Annual Salary]]</f>
        <v>74779</v>
      </c>
      <c r="P818" t="str">
        <f>IF(AND(TBL_Employees3[[#This Row],[Department]]="IT",TBL_Employees3[[#This Row],[Gender]]="Female"),"Yes","No")</f>
        <v>No</v>
      </c>
      <c r="Q818" t="str">
        <f>IF(AND(TBL_Employees3[[#This Row],[Gender]]="Female",TBL_Employees3[[#This Row],[Ethnicity]]="Black"), "Female_Black", "Others")</f>
        <v>Others</v>
      </c>
    </row>
    <row r="819" spans="1:17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6">
        <v>43048</v>
      </c>
      <c r="J819" s="54">
        <v>63985</v>
      </c>
      <c r="K819" s="1">
        <v>0</v>
      </c>
      <c r="L819" t="s">
        <v>19</v>
      </c>
      <c r="M819" t="s">
        <v>45</v>
      </c>
      <c r="N819" s="6" t="s">
        <v>21</v>
      </c>
      <c r="O819" s="54">
        <f>TBL_Employees3[[#This Row],[Annual Salary]]+TBL_Employees3[[#This Row],[Bonus %]]*TBL_Employees3[[#This Row],[Annual Salary]]</f>
        <v>63985</v>
      </c>
      <c r="P819" t="str">
        <f>IF(AND(TBL_Employees3[[#This Row],[Department]]="IT",TBL_Employees3[[#This Row],[Gender]]="Female"),"Yes","No")</f>
        <v>Yes</v>
      </c>
      <c r="Q819" t="str">
        <f>IF(AND(TBL_Employees3[[#This Row],[Gender]]="Female",TBL_Employees3[[#This Row],[Ethnicity]]="Black"), "Female_Black", "Others")</f>
        <v>Others</v>
      </c>
    </row>
    <row r="820" spans="1:17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6">
        <v>38176</v>
      </c>
      <c r="J820" s="54">
        <v>77903</v>
      </c>
      <c r="K820" s="1">
        <v>0</v>
      </c>
      <c r="L820" t="s">
        <v>19</v>
      </c>
      <c r="M820" t="s">
        <v>63</v>
      </c>
      <c r="N820" s="6" t="s">
        <v>21</v>
      </c>
      <c r="O820" s="54">
        <f>TBL_Employees3[[#This Row],[Annual Salary]]+TBL_Employees3[[#This Row],[Bonus %]]*TBL_Employees3[[#This Row],[Annual Salary]]</f>
        <v>77903</v>
      </c>
      <c r="P820" t="str">
        <f>IF(AND(TBL_Employees3[[#This Row],[Department]]="IT",TBL_Employees3[[#This Row],[Gender]]="Female"),"Yes","No")</f>
        <v>Yes</v>
      </c>
      <c r="Q820" t="str">
        <f>IF(AND(TBL_Employees3[[#This Row],[Gender]]="Female",TBL_Employees3[[#This Row],[Ethnicity]]="Black"), "Female_Black", "Others")</f>
        <v>Others</v>
      </c>
    </row>
    <row r="821" spans="1:17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6">
        <v>42898</v>
      </c>
      <c r="J821" s="54">
        <v>164396</v>
      </c>
      <c r="K821" s="1">
        <v>0.28999999999999998</v>
      </c>
      <c r="L821" t="s">
        <v>19</v>
      </c>
      <c r="M821" t="s">
        <v>29</v>
      </c>
      <c r="N821" s="6" t="s">
        <v>21</v>
      </c>
      <c r="O821" s="54">
        <f>TBL_Employees3[[#This Row],[Annual Salary]]+TBL_Employees3[[#This Row],[Bonus %]]*TBL_Employees3[[#This Row],[Annual Salary]]</f>
        <v>212070.84</v>
      </c>
      <c r="P821" t="str">
        <f>IF(AND(TBL_Employees3[[#This Row],[Department]]="IT",TBL_Employees3[[#This Row],[Gender]]="Female"),"Yes","No")</f>
        <v>No</v>
      </c>
      <c r="Q821" t="str">
        <f>IF(AND(TBL_Employees3[[#This Row],[Gender]]="Female",TBL_Employees3[[#This Row],[Ethnicity]]="Black"), "Female_Black", "Others")</f>
        <v>Others</v>
      </c>
    </row>
    <row r="822" spans="1:17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6">
        <v>44375</v>
      </c>
      <c r="J822" s="54">
        <v>71234</v>
      </c>
      <c r="K822" s="1">
        <v>0</v>
      </c>
      <c r="L822" t="s">
        <v>19</v>
      </c>
      <c r="M822" t="s">
        <v>63</v>
      </c>
      <c r="N822" s="6" t="s">
        <v>21</v>
      </c>
      <c r="O822" s="54">
        <f>TBL_Employees3[[#This Row],[Annual Salary]]+TBL_Employees3[[#This Row],[Bonus %]]*TBL_Employees3[[#This Row],[Annual Salary]]</f>
        <v>71234</v>
      </c>
      <c r="P822" t="str">
        <f>IF(AND(TBL_Employees3[[#This Row],[Department]]="IT",TBL_Employees3[[#This Row],[Gender]]="Female"),"Yes","No")</f>
        <v>No</v>
      </c>
      <c r="Q822" t="str">
        <f>IF(AND(TBL_Employees3[[#This Row],[Gender]]="Female",TBL_Employees3[[#This Row],[Ethnicity]]="Black"), "Female_Black", "Others")</f>
        <v>Others</v>
      </c>
    </row>
    <row r="823" spans="1:17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6">
        <v>38096</v>
      </c>
      <c r="J823" s="54">
        <v>122487</v>
      </c>
      <c r="K823" s="1">
        <v>0.08</v>
      </c>
      <c r="L823" t="s">
        <v>33</v>
      </c>
      <c r="M823" t="s">
        <v>74</v>
      </c>
      <c r="N823" s="6" t="s">
        <v>21</v>
      </c>
      <c r="O823" s="54">
        <f>TBL_Employees3[[#This Row],[Annual Salary]]+TBL_Employees3[[#This Row],[Bonus %]]*TBL_Employees3[[#This Row],[Annual Salary]]</f>
        <v>132285.96</v>
      </c>
      <c r="P823" t="str">
        <f>IF(AND(TBL_Employees3[[#This Row],[Department]]="IT",TBL_Employees3[[#This Row],[Gender]]="Female"),"Yes","No")</f>
        <v>No</v>
      </c>
      <c r="Q823" t="str">
        <f>IF(AND(TBL_Employees3[[#This Row],[Gender]]="Female",TBL_Employees3[[#This Row],[Ethnicity]]="Black"), "Female_Black", "Others")</f>
        <v>Others</v>
      </c>
    </row>
    <row r="824" spans="1:17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6">
        <v>42738</v>
      </c>
      <c r="J824" s="54">
        <v>101870</v>
      </c>
      <c r="K824" s="1">
        <v>0.1</v>
      </c>
      <c r="L824" t="s">
        <v>19</v>
      </c>
      <c r="M824" t="s">
        <v>39</v>
      </c>
      <c r="N824" s="6" t="s">
        <v>21</v>
      </c>
      <c r="O824" s="54">
        <f>TBL_Employees3[[#This Row],[Annual Salary]]+TBL_Employees3[[#This Row],[Bonus %]]*TBL_Employees3[[#This Row],[Annual Salary]]</f>
        <v>112057</v>
      </c>
      <c r="P824" t="str">
        <f>IF(AND(TBL_Employees3[[#This Row],[Department]]="IT",TBL_Employees3[[#This Row],[Gender]]="Female"),"Yes","No")</f>
        <v>No</v>
      </c>
      <c r="Q824" t="str">
        <f>IF(AND(TBL_Employees3[[#This Row],[Gender]]="Female",TBL_Employees3[[#This Row],[Ethnicity]]="Black"), "Female_Black", "Others")</f>
        <v>Others</v>
      </c>
    </row>
    <row r="825" spans="1:17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6">
        <v>44009</v>
      </c>
      <c r="J825" s="54">
        <v>40316</v>
      </c>
      <c r="K825" s="1">
        <v>0</v>
      </c>
      <c r="L825" t="s">
        <v>52</v>
      </c>
      <c r="M825" t="s">
        <v>81</v>
      </c>
      <c r="N825" s="6" t="s">
        <v>21</v>
      </c>
      <c r="O825" s="54">
        <f>TBL_Employees3[[#This Row],[Annual Salary]]+TBL_Employees3[[#This Row],[Bonus %]]*TBL_Employees3[[#This Row],[Annual Salary]]</f>
        <v>40316</v>
      </c>
      <c r="P825" t="str">
        <f>IF(AND(TBL_Employees3[[#This Row],[Department]]="IT",TBL_Employees3[[#This Row],[Gender]]="Female"),"Yes","No")</f>
        <v>No</v>
      </c>
      <c r="Q825" t="str">
        <f>IF(AND(TBL_Employees3[[#This Row],[Gender]]="Female",TBL_Employees3[[#This Row],[Ethnicity]]="Black"), "Female_Black", "Others")</f>
        <v>Others</v>
      </c>
    </row>
    <row r="826" spans="1:17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6">
        <v>38391</v>
      </c>
      <c r="J826" s="54">
        <v>115145</v>
      </c>
      <c r="K826" s="1">
        <v>0.05</v>
      </c>
      <c r="L826" t="s">
        <v>33</v>
      </c>
      <c r="M826" t="s">
        <v>80</v>
      </c>
      <c r="N826" s="6" t="s">
        <v>21</v>
      </c>
      <c r="O826" s="54">
        <f>TBL_Employees3[[#This Row],[Annual Salary]]+TBL_Employees3[[#This Row],[Bonus %]]*TBL_Employees3[[#This Row],[Annual Salary]]</f>
        <v>120902.25</v>
      </c>
      <c r="P826" t="str">
        <f>IF(AND(TBL_Employees3[[#This Row],[Department]]="IT",TBL_Employees3[[#This Row],[Gender]]="Female"),"Yes","No")</f>
        <v>Yes</v>
      </c>
      <c r="Q826" t="str">
        <f>IF(AND(TBL_Employees3[[#This Row],[Gender]]="Female",TBL_Employees3[[#This Row],[Ethnicity]]="Black"), "Female_Black", "Others")</f>
        <v>Others</v>
      </c>
    </row>
    <row r="827" spans="1:17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6">
        <v>39885</v>
      </c>
      <c r="J827" s="54">
        <v>62335</v>
      </c>
      <c r="K827" s="1">
        <v>0</v>
      </c>
      <c r="L827" t="s">
        <v>52</v>
      </c>
      <c r="M827" t="s">
        <v>81</v>
      </c>
      <c r="N827" s="6" t="s">
        <v>21</v>
      </c>
      <c r="O827" s="54">
        <f>TBL_Employees3[[#This Row],[Annual Salary]]+TBL_Employees3[[#This Row],[Bonus %]]*TBL_Employees3[[#This Row],[Annual Salary]]</f>
        <v>62335</v>
      </c>
      <c r="P827" t="str">
        <f>IF(AND(TBL_Employees3[[#This Row],[Department]]="IT",TBL_Employees3[[#This Row],[Gender]]="Female"),"Yes","No")</f>
        <v>Yes</v>
      </c>
      <c r="Q827" t="str">
        <f>IF(AND(TBL_Employees3[[#This Row],[Gender]]="Female",TBL_Employees3[[#This Row],[Ethnicity]]="Black"), "Female_Black", "Others")</f>
        <v>Others</v>
      </c>
    </row>
    <row r="828" spans="1:17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6">
        <v>38847</v>
      </c>
      <c r="J828" s="54">
        <v>41561</v>
      </c>
      <c r="K828" s="1">
        <v>0</v>
      </c>
      <c r="L828" t="s">
        <v>19</v>
      </c>
      <c r="M828" t="s">
        <v>25</v>
      </c>
      <c r="N828" s="6" t="s">
        <v>21</v>
      </c>
      <c r="O828" s="54">
        <f>TBL_Employees3[[#This Row],[Annual Salary]]+TBL_Employees3[[#This Row],[Bonus %]]*TBL_Employees3[[#This Row],[Annual Salary]]</f>
        <v>41561</v>
      </c>
      <c r="P828" t="str">
        <f>IF(AND(TBL_Employees3[[#This Row],[Department]]="IT",TBL_Employees3[[#This Row],[Gender]]="Female"),"Yes","No")</f>
        <v>No</v>
      </c>
      <c r="Q828" t="str">
        <f>IF(AND(TBL_Employees3[[#This Row],[Gender]]="Female",TBL_Employees3[[#This Row],[Ethnicity]]="Black"), "Female_Black", "Others")</f>
        <v>Others</v>
      </c>
    </row>
    <row r="829" spans="1:17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6">
        <v>40657</v>
      </c>
      <c r="J829" s="54">
        <v>131183</v>
      </c>
      <c r="K829" s="1">
        <v>0.14000000000000001</v>
      </c>
      <c r="L829" t="s">
        <v>33</v>
      </c>
      <c r="M829" t="s">
        <v>74</v>
      </c>
      <c r="N829" s="6">
        <v>42445</v>
      </c>
      <c r="O829" s="54">
        <f>TBL_Employees3[[#This Row],[Annual Salary]]+TBL_Employees3[[#This Row],[Bonus %]]*TBL_Employees3[[#This Row],[Annual Salary]]</f>
        <v>149548.62</v>
      </c>
      <c r="P829" t="str">
        <f>IF(AND(TBL_Employees3[[#This Row],[Department]]="IT",TBL_Employees3[[#This Row],[Gender]]="Female"),"Yes","No")</f>
        <v>No</v>
      </c>
      <c r="Q829" t="str">
        <f>IF(AND(TBL_Employees3[[#This Row],[Gender]]="Female",TBL_Employees3[[#This Row],[Ethnicity]]="Black"), "Female_Black", "Others")</f>
        <v>Others</v>
      </c>
    </row>
    <row r="830" spans="1:17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6">
        <v>37445</v>
      </c>
      <c r="J830" s="54">
        <v>92655</v>
      </c>
      <c r="K830" s="1">
        <v>0</v>
      </c>
      <c r="L830" t="s">
        <v>33</v>
      </c>
      <c r="M830" t="s">
        <v>34</v>
      </c>
      <c r="N830" s="6" t="s">
        <v>21</v>
      </c>
      <c r="O830" s="54">
        <f>TBL_Employees3[[#This Row],[Annual Salary]]+TBL_Employees3[[#This Row],[Bonus %]]*TBL_Employees3[[#This Row],[Annual Salary]]</f>
        <v>92655</v>
      </c>
      <c r="P830" t="str">
        <f>IF(AND(TBL_Employees3[[#This Row],[Department]]="IT",TBL_Employees3[[#This Row],[Gender]]="Female"),"Yes","No")</f>
        <v>Yes</v>
      </c>
      <c r="Q830" t="str">
        <f>IF(AND(TBL_Employees3[[#This Row],[Gender]]="Female",TBL_Employees3[[#This Row],[Ethnicity]]="Black"), "Female_Black", "Others")</f>
        <v>Others</v>
      </c>
    </row>
    <row r="831" spans="1:17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6">
        <v>35157</v>
      </c>
      <c r="J831" s="54">
        <v>157057</v>
      </c>
      <c r="K831" s="1">
        <v>0.12</v>
      </c>
      <c r="L831" t="s">
        <v>19</v>
      </c>
      <c r="M831" t="s">
        <v>45</v>
      </c>
      <c r="N831" s="6" t="s">
        <v>21</v>
      </c>
      <c r="O831" s="54">
        <f>TBL_Employees3[[#This Row],[Annual Salary]]+TBL_Employees3[[#This Row],[Bonus %]]*TBL_Employees3[[#This Row],[Annual Salary]]</f>
        <v>175903.84</v>
      </c>
      <c r="P831" t="str">
        <f>IF(AND(TBL_Employees3[[#This Row],[Department]]="IT",TBL_Employees3[[#This Row],[Gender]]="Female"),"Yes","No")</f>
        <v>No</v>
      </c>
      <c r="Q831" t="str">
        <f>IF(AND(TBL_Employees3[[#This Row],[Gender]]="Female",TBL_Employees3[[#This Row],[Ethnicity]]="Black"), "Female_Black", "Others")</f>
        <v>Others</v>
      </c>
    </row>
    <row r="832" spans="1:17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6">
        <v>38392</v>
      </c>
      <c r="J832" s="54">
        <v>64462</v>
      </c>
      <c r="K832" s="1">
        <v>0</v>
      </c>
      <c r="L832" t="s">
        <v>19</v>
      </c>
      <c r="M832" t="s">
        <v>20</v>
      </c>
      <c r="N832" s="6" t="s">
        <v>21</v>
      </c>
      <c r="O832" s="54">
        <f>TBL_Employees3[[#This Row],[Annual Salary]]+TBL_Employees3[[#This Row],[Bonus %]]*TBL_Employees3[[#This Row],[Annual Salary]]</f>
        <v>64462</v>
      </c>
      <c r="P832" t="str">
        <f>IF(AND(TBL_Employees3[[#This Row],[Department]]="IT",TBL_Employees3[[#This Row],[Gender]]="Female"),"Yes","No")</f>
        <v>Yes</v>
      </c>
      <c r="Q832" t="str">
        <f>IF(AND(TBL_Employees3[[#This Row],[Gender]]="Female",TBL_Employees3[[#This Row],[Ethnicity]]="Black"), "Female_Black", "Others")</f>
        <v>Others</v>
      </c>
    </row>
    <row r="833" spans="1:17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6">
        <v>38632</v>
      </c>
      <c r="J833" s="54">
        <v>79352</v>
      </c>
      <c r="K833" s="1">
        <v>0</v>
      </c>
      <c r="L833" t="s">
        <v>19</v>
      </c>
      <c r="M833" t="s">
        <v>63</v>
      </c>
      <c r="N833" s="6" t="s">
        <v>21</v>
      </c>
      <c r="O833" s="54">
        <f>TBL_Employees3[[#This Row],[Annual Salary]]+TBL_Employees3[[#This Row],[Bonus %]]*TBL_Employees3[[#This Row],[Annual Salary]]</f>
        <v>79352</v>
      </c>
      <c r="P833" t="str">
        <f>IF(AND(TBL_Employees3[[#This Row],[Department]]="IT",TBL_Employees3[[#This Row],[Gender]]="Female"),"Yes","No")</f>
        <v>No</v>
      </c>
      <c r="Q833" t="str">
        <f>IF(AND(TBL_Employees3[[#This Row],[Gender]]="Female",TBL_Employees3[[#This Row],[Ethnicity]]="Black"), "Female_Black", "Others")</f>
        <v>Others</v>
      </c>
    </row>
    <row r="834" spans="1:17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6">
        <v>36977</v>
      </c>
      <c r="J834" s="54">
        <v>157812</v>
      </c>
      <c r="K834" s="1">
        <v>0.11</v>
      </c>
      <c r="L834" t="s">
        <v>19</v>
      </c>
      <c r="M834" t="s">
        <v>45</v>
      </c>
      <c r="N834" s="6" t="s">
        <v>21</v>
      </c>
      <c r="O834" s="54">
        <f>TBL_Employees3[[#This Row],[Annual Salary]]+TBL_Employees3[[#This Row],[Bonus %]]*TBL_Employees3[[#This Row],[Annual Salary]]</f>
        <v>175171.32</v>
      </c>
      <c r="P834" t="str">
        <f>IF(AND(TBL_Employees3[[#This Row],[Department]]="IT",TBL_Employees3[[#This Row],[Gender]]="Female"),"Yes","No")</f>
        <v>No</v>
      </c>
      <c r="Q834" t="str">
        <f>IF(AND(TBL_Employees3[[#This Row],[Gender]]="Female",TBL_Employees3[[#This Row],[Ethnicity]]="Black"), "Female_Black", "Others")</f>
        <v>Others</v>
      </c>
    </row>
    <row r="835" spans="1:17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6">
        <v>43354</v>
      </c>
      <c r="J835" s="54">
        <v>80745</v>
      </c>
      <c r="K835" s="1">
        <v>0</v>
      </c>
      <c r="L835" t="s">
        <v>19</v>
      </c>
      <c r="M835" t="s">
        <v>20</v>
      </c>
      <c r="N835" s="6" t="s">
        <v>21</v>
      </c>
      <c r="O835" s="54">
        <f>TBL_Employees3[[#This Row],[Annual Salary]]+TBL_Employees3[[#This Row],[Bonus %]]*TBL_Employees3[[#This Row],[Annual Salary]]</f>
        <v>80745</v>
      </c>
      <c r="P835" t="str">
        <f>IF(AND(TBL_Employees3[[#This Row],[Department]]="IT",TBL_Employees3[[#This Row],[Gender]]="Female"),"Yes","No")</f>
        <v>No</v>
      </c>
      <c r="Q835" t="str">
        <f>IF(AND(TBL_Employees3[[#This Row],[Gender]]="Female",TBL_Employees3[[#This Row],[Ethnicity]]="Black"), "Female_Black", "Others")</f>
        <v>Others</v>
      </c>
    </row>
    <row r="836" spans="1:17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6">
        <v>35113</v>
      </c>
      <c r="J836" s="54">
        <v>75354</v>
      </c>
      <c r="K836" s="1">
        <v>0</v>
      </c>
      <c r="L836" t="s">
        <v>19</v>
      </c>
      <c r="M836" t="s">
        <v>25</v>
      </c>
      <c r="N836" s="6">
        <v>35413</v>
      </c>
      <c r="O836" s="54">
        <f>TBL_Employees3[[#This Row],[Annual Salary]]+TBL_Employees3[[#This Row],[Bonus %]]*TBL_Employees3[[#This Row],[Annual Salary]]</f>
        <v>75354</v>
      </c>
      <c r="P836" t="str">
        <f>IF(AND(TBL_Employees3[[#This Row],[Department]]="IT",TBL_Employees3[[#This Row],[Gender]]="Female"),"Yes","No")</f>
        <v>Yes</v>
      </c>
      <c r="Q836" t="str">
        <f>IF(AND(TBL_Employees3[[#This Row],[Gender]]="Female",TBL_Employees3[[#This Row],[Ethnicity]]="Black"), "Female_Black", "Others")</f>
        <v>Others</v>
      </c>
    </row>
    <row r="837" spans="1:17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6">
        <v>43363</v>
      </c>
      <c r="J837" s="54">
        <v>78938</v>
      </c>
      <c r="K837" s="1">
        <v>0.14000000000000001</v>
      </c>
      <c r="L837" t="s">
        <v>19</v>
      </c>
      <c r="M837" t="s">
        <v>39</v>
      </c>
      <c r="N837" s="6" t="s">
        <v>21</v>
      </c>
      <c r="O837" s="54">
        <f>TBL_Employees3[[#This Row],[Annual Salary]]+TBL_Employees3[[#This Row],[Bonus %]]*TBL_Employees3[[#This Row],[Annual Salary]]</f>
        <v>89989.32</v>
      </c>
      <c r="P837" t="str">
        <f>IF(AND(TBL_Employees3[[#This Row],[Department]]="IT",TBL_Employees3[[#This Row],[Gender]]="Female"),"Yes","No")</f>
        <v>No</v>
      </c>
      <c r="Q837" t="str">
        <f>IF(AND(TBL_Employees3[[#This Row],[Gender]]="Female",TBL_Employees3[[#This Row],[Ethnicity]]="Black"), "Female_Black", "Others")</f>
        <v>Others</v>
      </c>
    </row>
    <row r="838" spans="1:17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6">
        <v>39701</v>
      </c>
      <c r="J838" s="54">
        <v>96313</v>
      </c>
      <c r="K838" s="1">
        <v>0</v>
      </c>
      <c r="L838" t="s">
        <v>19</v>
      </c>
      <c r="M838" t="s">
        <v>25</v>
      </c>
      <c r="N838" s="6" t="s">
        <v>21</v>
      </c>
      <c r="O838" s="54">
        <f>TBL_Employees3[[#This Row],[Annual Salary]]+TBL_Employees3[[#This Row],[Bonus %]]*TBL_Employees3[[#This Row],[Annual Salary]]</f>
        <v>96313</v>
      </c>
      <c r="P838" t="str">
        <f>IF(AND(TBL_Employees3[[#This Row],[Department]]="IT",TBL_Employees3[[#This Row],[Gender]]="Female"),"Yes","No")</f>
        <v>No</v>
      </c>
      <c r="Q838" t="str">
        <f>IF(AND(TBL_Employees3[[#This Row],[Gender]]="Female",TBL_Employees3[[#This Row],[Ethnicity]]="Black"), "Female_Black", "Others")</f>
        <v>Others</v>
      </c>
    </row>
    <row r="839" spans="1:17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6">
        <v>40511</v>
      </c>
      <c r="J839" s="54">
        <v>153767</v>
      </c>
      <c r="K839" s="1">
        <v>0.27</v>
      </c>
      <c r="L839" t="s">
        <v>19</v>
      </c>
      <c r="M839" t="s">
        <v>39</v>
      </c>
      <c r="N839" s="6" t="s">
        <v>21</v>
      </c>
      <c r="O839" s="54">
        <f>TBL_Employees3[[#This Row],[Annual Salary]]+TBL_Employees3[[#This Row],[Bonus %]]*TBL_Employees3[[#This Row],[Annual Salary]]</f>
        <v>195284.09</v>
      </c>
      <c r="P839" t="str">
        <f>IF(AND(TBL_Employees3[[#This Row],[Department]]="IT",TBL_Employees3[[#This Row],[Gender]]="Female"),"Yes","No")</f>
        <v>No</v>
      </c>
      <c r="Q839" t="str">
        <f>IF(AND(TBL_Employees3[[#This Row],[Gender]]="Female",TBL_Employees3[[#This Row],[Ethnicity]]="Black"), "Female_Black", "Others")</f>
        <v>Others</v>
      </c>
    </row>
    <row r="840" spans="1:17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6">
        <v>42266</v>
      </c>
      <c r="J840" s="54">
        <v>103423</v>
      </c>
      <c r="K840" s="1">
        <v>0.06</v>
      </c>
      <c r="L840" t="s">
        <v>19</v>
      </c>
      <c r="M840" t="s">
        <v>29</v>
      </c>
      <c r="N840" s="6" t="s">
        <v>21</v>
      </c>
      <c r="O840" s="54">
        <f>TBL_Employees3[[#This Row],[Annual Salary]]+TBL_Employees3[[#This Row],[Bonus %]]*TBL_Employees3[[#This Row],[Annual Salary]]</f>
        <v>109628.38</v>
      </c>
      <c r="P840" t="str">
        <f>IF(AND(TBL_Employees3[[#This Row],[Department]]="IT",TBL_Employees3[[#This Row],[Gender]]="Female"),"Yes","No")</f>
        <v>No</v>
      </c>
      <c r="Q840" t="str">
        <f>IF(AND(TBL_Employees3[[#This Row],[Gender]]="Female",TBL_Employees3[[#This Row],[Ethnicity]]="Black"), "Female_Black", "Others")</f>
        <v>Female_Black</v>
      </c>
    </row>
    <row r="841" spans="1:17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6">
        <v>44370</v>
      </c>
      <c r="J841" s="54">
        <v>86464</v>
      </c>
      <c r="K841" s="1">
        <v>0</v>
      </c>
      <c r="L841" t="s">
        <v>33</v>
      </c>
      <c r="M841" t="s">
        <v>74</v>
      </c>
      <c r="N841" s="6" t="s">
        <v>21</v>
      </c>
      <c r="O841" s="54">
        <f>TBL_Employees3[[#This Row],[Annual Salary]]+TBL_Employees3[[#This Row],[Bonus %]]*TBL_Employees3[[#This Row],[Annual Salary]]</f>
        <v>86464</v>
      </c>
      <c r="P841" t="str">
        <f>IF(AND(TBL_Employees3[[#This Row],[Department]]="IT",TBL_Employees3[[#This Row],[Gender]]="Female"),"Yes","No")</f>
        <v>No</v>
      </c>
      <c r="Q841" t="str">
        <f>IF(AND(TBL_Employees3[[#This Row],[Gender]]="Female",TBL_Employees3[[#This Row],[Ethnicity]]="Black"), "Female_Black", "Others")</f>
        <v>Others</v>
      </c>
    </row>
    <row r="842" spans="1:17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6">
        <v>43114</v>
      </c>
      <c r="J842" s="54">
        <v>80516</v>
      </c>
      <c r="K842" s="1">
        <v>0</v>
      </c>
      <c r="L842" t="s">
        <v>52</v>
      </c>
      <c r="M842" t="s">
        <v>53</v>
      </c>
      <c r="N842" s="6" t="s">
        <v>21</v>
      </c>
      <c r="O842" s="54">
        <f>TBL_Employees3[[#This Row],[Annual Salary]]+TBL_Employees3[[#This Row],[Bonus %]]*TBL_Employees3[[#This Row],[Annual Salary]]</f>
        <v>80516</v>
      </c>
      <c r="P842" t="str">
        <f>IF(AND(TBL_Employees3[[#This Row],[Department]]="IT",TBL_Employees3[[#This Row],[Gender]]="Female"),"Yes","No")</f>
        <v>No</v>
      </c>
      <c r="Q842" t="str">
        <f>IF(AND(TBL_Employees3[[#This Row],[Gender]]="Female",TBL_Employees3[[#This Row],[Ethnicity]]="Black"), "Female_Black", "Others")</f>
        <v>Others</v>
      </c>
    </row>
    <row r="843" spans="1:17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6">
        <v>41507</v>
      </c>
      <c r="J843" s="54">
        <v>105390</v>
      </c>
      <c r="K843" s="1">
        <v>0.06</v>
      </c>
      <c r="L843" t="s">
        <v>19</v>
      </c>
      <c r="M843" t="s">
        <v>29</v>
      </c>
      <c r="N843" s="6" t="s">
        <v>21</v>
      </c>
      <c r="O843" s="54">
        <f>TBL_Employees3[[#This Row],[Annual Salary]]+TBL_Employees3[[#This Row],[Bonus %]]*TBL_Employees3[[#This Row],[Annual Salary]]</f>
        <v>111713.4</v>
      </c>
      <c r="P843" t="str">
        <f>IF(AND(TBL_Employees3[[#This Row],[Department]]="IT",TBL_Employees3[[#This Row],[Gender]]="Female"),"Yes","No")</f>
        <v>No</v>
      </c>
      <c r="Q843" t="str">
        <f>IF(AND(TBL_Employees3[[#This Row],[Gender]]="Female",TBL_Employees3[[#This Row],[Ethnicity]]="Black"), "Female_Black", "Others")</f>
        <v>Female_Black</v>
      </c>
    </row>
    <row r="844" spans="1:17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6">
        <v>44445</v>
      </c>
      <c r="J844" s="54">
        <v>83418</v>
      </c>
      <c r="K844" s="1">
        <v>0</v>
      </c>
      <c r="L844" t="s">
        <v>33</v>
      </c>
      <c r="M844" t="s">
        <v>74</v>
      </c>
      <c r="N844" s="6" t="s">
        <v>21</v>
      </c>
      <c r="O844" s="54">
        <f>TBL_Employees3[[#This Row],[Annual Salary]]+TBL_Employees3[[#This Row],[Bonus %]]*TBL_Employees3[[#This Row],[Annual Salary]]</f>
        <v>83418</v>
      </c>
      <c r="P844" t="str">
        <f>IF(AND(TBL_Employees3[[#This Row],[Department]]="IT",TBL_Employees3[[#This Row],[Gender]]="Female"),"Yes","No")</f>
        <v>Yes</v>
      </c>
      <c r="Q844" t="str">
        <f>IF(AND(TBL_Employees3[[#This Row],[Gender]]="Female",TBL_Employees3[[#This Row],[Ethnicity]]="Black"), "Female_Black", "Others")</f>
        <v>Others</v>
      </c>
    </row>
    <row r="845" spans="1:17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6">
        <v>43042</v>
      </c>
      <c r="J845" s="54">
        <v>66660</v>
      </c>
      <c r="K845" s="1">
        <v>0</v>
      </c>
      <c r="L845" t="s">
        <v>19</v>
      </c>
      <c r="M845" t="s">
        <v>25</v>
      </c>
      <c r="N845" s="6" t="s">
        <v>21</v>
      </c>
      <c r="O845" s="54">
        <f>TBL_Employees3[[#This Row],[Annual Salary]]+TBL_Employees3[[#This Row],[Bonus %]]*TBL_Employees3[[#This Row],[Annual Salary]]</f>
        <v>66660</v>
      </c>
      <c r="P845" t="str">
        <f>IF(AND(TBL_Employees3[[#This Row],[Department]]="IT",TBL_Employees3[[#This Row],[Gender]]="Female"),"Yes","No")</f>
        <v>Yes</v>
      </c>
      <c r="Q845" t="str">
        <f>IF(AND(TBL_Employees3[[#This Row],[Gender]]="Female",TBL_Employees3[[#This Row],[Ethnicity]]="Black"), "Female_Black", "Others")</f>
        <v>Others</v>
      </c>
    </row>
    <row r="846" spans="1:17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6">
        <v>42165</v>
      </c>
      <c r="J846" s="54">
        <v>101985</v>
      </c>
      <c r="K846" s="1">
        <v>7.0000000000000007E-2</v>
      </c>
      <c r="L846" t="s">
        <v>19</v>
      </c>
      <c r="M846" t="s">
        <v>45</v>
      </c>
      <c r="N846" s="6" t="s">
        <v>21</v>
      </c>
      <c r="O846" s="54">
        <f>TBL_Employees3[[#This Row],[Annual Salary]]+TBL_Employees3[[#This Row],[Bonus %]]*TBL_Employees3[[#This Row],[Annual Salary]]</f>
        <v>109123.95</v>
      </c>
      <c r="P846" t="str">
        <f>IF(AND(TBL_Employees3[[#This Row],[Department]]="IT",TBL_Employees3[[#This Row],[Gender]]="Female"),"Yes","No")</f>
        <v>No</v>
      </c>
      <c r="Q846" t="str">
        <f>IF(AND(TBL_Employees3[[#This Row],[Gender]]="Female",TBL_Employees3[[#This Row],[Ethnicity]]="Black"), "Female_Black", "Others")</f>
        <v>Others</v>
      </c>
    </row>
    <row r="847" spans="1:17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6">
        <v>43439</v>
      </c>
      <c r="J847" s="54">
        <v>199504</v>
      </c>
      <c r="K847" s="1">
        <v>0.3</v>
      </c>
      <c r="L847" t="s">
        <v>19</v>
      </c>
      <c r="M847" t="s">
        <v>25</v>
      </c>
      <c r="N847" s="6" t="s">
        <v>21</v>
      </c>
      <c r="O847" s="54">
        <f>TBL_Employees3[[#This Row],[Annual Salary]]+TBL_Employees3[[#This Row],[Bonus %]]*TBL_Employees3[[#This Row],[Annual Salary]]</f>
        <v>259355.2</v>
      </c>
      <c r="P847" t="str">
        <f>IF(AND(TBL_Employees3[[#This Row],[Department]]="IT",TBL_Employees3[[#This Row],[Gender]]="Female"),"Yes","No")</f>
        <v>No</v>
      </c>
      <c r="Q847" t="str">
        <f>IF(AND(TBL_Employees3[[#This Row],[Gender]]="Female",TBL_Employees3[[#This Row],[Ethnicity]]="Black"), "Female_Black", "Others")</f>
        <v>Others</v>
      </c>
    </row>
    <row r="848" spans="1:17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6">
        <v>38995</v>
      </c>
      <c r="J848" s="54">
        <v>147966</v>
      </c>
      <c r="K848" s="1">
        <v>0.11</v>
      </c>
      <c r="L848" t="s">
        <v>52</v>
      </c>
      <c r="M848" t="s">
        <v>66</v>
      </c>
      <c r="N848" s="6">
        <v>43608</v>
      </c>
      <c r="O848" s="54">
        <f>TBL_Employees3[[#This Row],[Annual Salary]]+TBL_Employees3[[#This Row],[Bonus %]]*TBL_Employees3[[#This Row],[Annual Salary]]</f>
        <v>164242.26</v>
      </c>
      <c r="P848" t="str">
        <f>IF(AND(TBL_Employees3[[#This Row],[Department]]="IT",TBL_Employees3[[#This Row],[Gender]]="Female"),"Yes","No")</f>
        <v>No</v>
      </c>
      <c r="Q848" t="str">
        <f>IF(AND(TBL_Employees3[[#This Row],[Gender]]="Female",TBL_Employees3[[#This Row],[Ethnicity]]="Black"), "Female_Black", "Others")</f>
        <v>Others</v>
      </c>
    </row>
    <row r="849" spans="1:17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6">
        <v>41810</v>
      </c>
      <c r="J849" s="54">
        <v>41728</v>
      </c>
      <c r="K849" s="1">
        <v>0</v>
      </c>
      <c r="L849" t="s">
        <v>33</v>
      </c>
      <c r="M849" t="s">
        <v>80</v>
      </c>
      <c r="N849" s="6" t="s">
        <v>21</v>
      </c>
      <c r="O849" s="54">
        <f>TBL_Employees3[[#This Row],[Annual Salary]]+TBL_Employees3[[#This Row],[Bonus %]]*TBL_Employees3[[#This Row],[Annual Salary]]</f>
        <v>41728</v>
      </c>
      <c r="P849" t="str">
        <f>IF(AND(TBL_Employees3[[#This Row],[Department]]="IT",TBL_Employees3[[#This Row],[Gender]]="Female"),"Yes","No")</f>
        <v>No</v>
      </c>
      <c r="Q849" t="str">
        <f>IF(AND(TBL_Employees3[[#This Row],[Gender]]="Female",TBL_Employees3[[#This Row],[Ethnicity]]="Black"), "Female_Black", "Others")</f>
        <v>Others</v>
      </c>
    </row>
    <row r="850" spans="1:17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6">
        <v>40591</v>
      </c>
      <c r="J850" s="54">
        <v>94422</v>
      </c>
      <c r="K850" s="1">
        <v>0</v>
      </c>
      <c r="L850" t="s">
        <v>19</v>
      </c>
      <c r="M850" t="s">
        <v>39</v>
      </c>
      <c r="N850" s="6" t="s">
        <v>21</v>
      </c>
      <c r="O850" s="54">
        <f>TBL_Employees3[[#This Row],[Annual Salary]]+TBL_Employees3[[#This Row],[Bonus %]]*TBL_Employees3[[#This Row],[Annual Salary]]</f>
        <v>94422</v>
      </c>
      <c r="P850" t="str">
        <f>IF(AND(TBL_Employees3[[#This Row],[Department]]="IT",TBL_Employees3[[#This Row],[Gender]]="Female"),"Yes","No")</f>
        <v>No</v>
      </c>
      <c r="Q850" t="str">
        <f>IF(AND(TBL_Employees3[[#This Row],[Gender]]="Female",TBL_Employees3[[#This Row],[Ethnicity]]="Black"), "Female_Black", "Others")</f>
        <v>Others</v>
      </c>
    </row>
    <row r="851" spans="1:17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6">
        <v>42184</v>
      </c>
      <c r="J851" s="54">
        <v>191026</v>
      </c>
      <c r="K851" s="1">
        <v>0.16</v>
      </c>
      <c r="L851" t="s">
        <v>19</v>
      </c>
      <c r="M851" t="s">
        <v>29</v>
      </c>
      <c r="N851" s="6" t="s">
        <v>21</v>
      </c>
      <c r="O851" s="54">
        <f>TBL_Employees3[[#This Row],[Annual Salary]]+TBL_Employees3[[#This Row],[Bonus %]]*TBL_Employees3[[#This Row],[Annual Salary]]</f>
        <v>221590.16</v>
      </c>
      <c r="P851" t="str">
        <f>IF(AND(TBL_Employees3[[#This Row],[Department]]="IT",TBL_Employees3[[#This Row],[Gender]]="Female"),"Yes","No")</f>
        <v>No</v>
      </c>
      <c r="Q851" t="str">
        <f>IF(AND(TBL_Employees3[[#This Row],[Gender]]="Female",TBL_Employees3[[#This Row],[Ethnicity]]="Black"), "Female_Black", "Others")</f>
        <v>Others</v>
      </c>
    </row>
    <row r="852" spans="1:17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6">
        <v>40511</v>
      </c>
      <c r="J852" s="54">
        <v>186725</v>
      </c>
      <c r="K852" s="1">
        <v>0.32</v>
      </c>
      <c r="L852" t="s">
        <v>52</v>
      </c>
      <c r="M852" t="s">
        <v>81</v>
      </c>
      <c r="N852" s="6" t="s">
        <v>21</v>
      </c>
      <c r="O852" s="54">
        <f>TBL_Employees3[[#This Row],[Annual Salary]]+TBL_Employees3[[#This Row],[Bonus %]]*TBL_Employees3[[#This Row],[Annual Salary]]</f>
        <v>246477</v>
      </c>
      <c r="P852" t="str">
        <f>IF(AND(TBL_Employees3[[#This Row],[Department]]="IT",TBL_Employees3[[#This Row],[Gender]]="Female"),"Yes","No")</f>
        <v>No</v>
      </c>
      <c r="Q852" t="str">
        <f>IF(AND(TBL_Employees3[[#This Row],[Gender]]="Female",TBL_Employees3[[#This Row],[Ethnicity]]="Black"), "Female_Black", "Others")</f>
        <v>Others</v>
      </c>
    </row>
    <row r="853" spans="1:17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6">
        <v>40045</v>
      </c>
      <c r="J853" s="54">
        <v>52800</v>
      </c>
      <c r="K853" s="1">
        <v>0</v>
      </c>
      <c r="L853" t="s">
        <v>19</v>
      </c>
      <c r="M853" t="s">
        <v>39</v>
      </c>
      <c r="N853" s="6" t="s">
        <v>21</v>
      </c>
      <c r="O853" s="54">
        <f>TBL_Employees3[[#This Row],[Annual Salary]]+TBL_Employees3[[#This Row],[Bonus %]]*TBL_Employees3[[#This Row],[Annual Salary]]</f>
        <v>52800</v>
      </c>
      <c r="P853" t="str">
        <f>IF(AND(TBL_Employees3[[#This Row],[Department]]="IT",TBL_Employees3[[#This Row],[Gender]]="Female"),"Yes","No")</f>
        <v>No</v>
      </c>
      <c r="Q853" t="str">
        <f>IF(AND(TBL_Employees3[[#This Row],[Gender]]="Female",TBL_Employees3[[#This Row],[Ethnicity]]="Black"), "Female_Black", "Others")</f>
        <v>Others</v>
      </c>
    </row>
    <row r="854" spans="1:17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6">
        <v>40517</v>
      </c>
      <c r="J854" s="54">
        <v>113982</v>
      </c>
      <c r="K854" s="1">
        <v>0</v>
      </c>
      <c r="L854" t="s">
        <v>19</v>
      </c>
      <c r="M854" t="s">
        <v>63</v>
      </c>
      <c r="N854" s="6" t="s">
        <v>21</v>
      </c>
      <c r="O854" s="54">
        <f>TBL_Employees3[[#This Row],[Annual Salary]]+TBL_Employees3[[#This Row],[Bonus %]]*TBL_Employees3[[#This Row],[Annual Salary]]</f>
        <v>113982</v>
      </c>
      <c r="P854" t="str">
        <f>IF(AND(TBL_Employees3[[#This Row],[Department]]="IT",TBL_Employees3[[#This Row],[Gender]]="Female"),"Yes","No")</f>
        <v>No</v>
      </c>
      <c r="Q854" t="str">
        <f>IF(AND(TBL_Employees3[[#This Row],[Gender]]="Female",TBL_Employees3[[#This Row],[Ethnicity]]="Black"), "Female_Black", "Others")</f>
        <v>Others</v>
      </c>
    </row>
    <row r="855" spans="1:17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6">
        <v>44271</v>
      </c>
      <c r="J855" s="54">
        <v>56239</v>
      </c>
      <c r="K855" s="1">
        <v>0</v>
      </c>
      <c r="L855" t="s">
        <v>33</v>
      </c>
      <c r="M855" t="s">
        <v>80</v>
      </c>
      <c r="N855" s="6" t="s">
        <v>21</v>
      </c>
      <c r="O855" s="54">
        <f>TBL_Employees3[[#This Row],[Annual Salary]]+TBL_Employees3[[#This Row],[Bonus %]]*TBL_Employees3[[#This Row],[Annual Salary]]</f>
        <v>56239</v>
      </c>
      <c r="P855" t="str">
        <f>IF(AND(TBL_Employees3[[#This Row],[Department]]="IT",TBL_Employees3[[#This Row],[Gender]]="Female"),"Yes","No")</f>
        <v>No</v>
      </c>
      <c r="Q855" t="str">
        <f>IF(AND(TBL_Employees3[[#This Row],[Gender]]="Female",TBL_Employees3[[#This Row],[Ethnicity]]="Black"), "Female_Black", "Others")</f>
        <v>Others</v>
      </c>
    </row>
    <row r="856" spans="1:17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6">
        <v>44257</v>
      </c>
      <c r="J856" s="54">
        <v>44732</v>
      </c>
      <c r="K856" s="1">
        <v>0</v>
      </c>
      <c r="L856" t="s">
        <v>52</v>
      </c>
      <c r="M856" t="s">
        <v>66</v>
      </c>
      <c r="N856" s="6" t="s">
        <v>21</v>
      </c>
      <c r="O856" s="54">
        <f>TBL_Employees3[[#This Row],[Annual Salary]]+TBL_Employees3[[#This Row],[Bonus %]]*TBL_Employees3[[#This Row],[Annual Salary]]</f>
        <v>44732</v>
      </c>
      <c r="P856" t="str">
        <f>IF(AND(TBL_Employees3[[#This Row],[Department]]="IT",TBL_Employees3[[#This Row],[Gender]]="Female"),"Yes","No")</f>
        <v>No</v>
      </c>
      <c r="Q856" t="str">
        <f>IF(AND(TBL_Employees3[[#This Row],[Gender]]="Female",TBL_Employees3[[#This Row],[Ethnicity]]="Black"), "Female_Black", "Others")</f>
        <v>Others</v>
      </c>
    </row>
    <row r="857" spans="1:17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6">
        <v>41816</v>
      </c>
      <c r="J857" s="54">
        <v>153961</v>
      </c>
      <c r="K857" s="1">
        <v>0.25</v>
      </c>
      <c r="L857" t="s">
        <v>33</v>
      </c>
      <c r="M857" t="s">
        <v>74</v>
      </c>
      <c r="N857" s="6" t="s">
        <v>21</v>
      </c>
      <c r="O857" s="54">
        <f>TBL_Employees3[[#This Row],[Annual Salary]]+TBL_Employees3[[#This Row],[Bonus %]]*TBL_Employees3[[#This Row],[Annual Salary]]</f>
        <v>192451.25</v>
      </c>
      <c r="P857" t="str">
        <f>IF(AND(TBL_Employees3[[#This Row],[Department]]="IT",TBL_Employees3[[#This Row],[Gender]]="Female"),"Yes","No")</f>
        <v>No</v>
      </c>
      <c r="Q857" t="str">
        <f>IF(AND(TBL_Employees3[[#This Row],[Gender]]="Female",TBL_Employees3[[#This Row],[Ethnicity]]="Black"), "Female_Black", "Others")</f>
        <v>Others</v>
      </c>
    </row>
    <row r="858" spans="1:17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6">
        <v>39069</v>
      </c>
      <c r="J858" s="54">
        <v>68337</v>
      </c>
      <c r="K858" s="1">
        <v>0</v>
      </c>
      <c r="L858" t="s">
        <v>33</v>
      </c>
      <c r="M858" t="s">
        <v>80</v>
      </c>
      <c r="N858" s="6" t="s">
        <v>21</v>
      </c>
      <c r="O858" s="54">
        <f>TBL_Employees3[[#This Row],[Annual Salary]]+TBL_Employees3[[#This Row],[Bonus %]]*TBL_Employees3[[#This Row],[Annual Salary]]</f>
        <v>68337</v>
      </c>
      <c r="P858" t="str">
        <f>IF(AND(TBL_Employees3[[#This Row],[Department]]="IT",TBL_Employees3[[#This Row],[Gender]]="Female"),"Yes","No")</f>
        <v>Yes</v>
      </c>
      <c r="Q858" t="str">
        <f>IF(AND(TBL_Employees3[[#This Row],[Gender]]="Female",TBL_Employees3[[#This Row],[Ethnicity]]="Black"), "Female_Black", "Others")</f>
        <v>Others</v>
      </c>
    </row>
    <row r="859" spans="1:17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6">
        <v>40305</v>
      </c>
      <c r="J859" s="54">
        <v>145093</v>
      </c>
      <c r="K859" s="1">
        <v>0.12</v>
      </c>
      <c r="L859" t="s">
        <v>19</v>
      </c>
      <c r="M859" t="s">
        <v>20</v>
      </c>
      <c r="N859" s="6" t="s">
        <v>21</v>
      </c>
      <c r="O859" s="54">
        <f>TBL_Employees3[[#This Row],[Annual Salary]]+TBL_Employees3[[#This Row],[Bonus %]]*TBL_Employees3[[#This Row],[Annual Salary]]</f>
        <v>162504.16</v>
      </c>
      <c r="P859" t="str">
        <f>IF(AND(TBL_Employees3[[#This Row],[Department]]="IT",TBL_Employees3[[#This Row],[Gender]]="Female"),"Yes","No")</f>
        <v>No</v>
      </c>
      <c r="Q859" t="str">
        <f>IF(AND(TBL_Employees3[[#This Row],[Gender]]="Female",TBL_Employees3[[#This Row],[Ethnicity]]="Black"), "Female_Black", "Others")</f>
        <v>Others</v>
      </c>
    </row>
    <row r="860" spans="1:17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6">
        <v>44266</v>
      </c>
      <c r="J860" s="54">
        <v>74170</v>
      </c>
      <c r="K860" s="1">
        <v>0</v>
      </c>
      <c r="L860" t="s">
        <v>19</v>
      </c>
      <c r="M860" t="s">
        <v>25</v>
      </c>
      <c r="N860" s="6" t="s">
        <v>21</v>
      </c>
      <c r="O860" s="54">
        <f>TBL_Employees3[[#This Row],[Annual Salary]]+TBL_Employees3[[#This Row],[Bonus %]]*TBL_Employees3[[#This Row],[Annual Salary]]</f>
        <v>74170</v>
      </c>
      <c r="P860" t="str">
        <f>IF(AND(TBL_Employees3[[#This Row],[Department]]="IT",TBL_Employees3[[#This Row],[Gender]]="Female"),"Yes","No")</f>
        <v>Yes</v>
      </c>
      <c r="Q860" t="str">
        <f>IF(AND(TBL_Employees3[[#This Row],[Gender]]="Female",TBL_Employees3[[#This Row],[Ethnicity]]="Black"), "Female_Black", "Others")</f>
        <v>Others</v>
      </c>
    </row>
    <row r="861" spans="1:17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6">
        <v>35153</v>
      </c>
      <c r="J861" s="54">
        <v>62605</v>
      </c>
      <c r="K861" s="1">
        <v>0</v>
      </c>
      <c r="L861" t="s">
        <v>19</v>
      </c>
      <c r="M861" t="s">
        <v>25</v>
      </c>
      <c r="N861" s="6" t="s">
        <v>21</v>
      </c>
      <c r="O861" s="54">
        <f>TBL_Employees3[[#This Row],[Annual Salary]]+TBL_Employees3[[#This Row],[Bonus %]]*TBL_Employees3[[#This Row],[Annual Salary]]</f>
        <v>62605</v>
      </c>
      <c r="P861" t="str">
        <f>IF(AND(TBL_Employees3[[#This Row],[Department]]="IT",TBL_Employees3[[#This Row],[Gender]]="Female"),"Yes","No")</f>
        <v>No</v>
      </c>
      <c r="Q861" t="str">
        <f>IF(AND(TBL_Employees3[[#This Row],[Gender]]="Female",TBL_Employees3[[#This Row],[Ethnicity]]="Black"), "Female_Black", "Others")</f>
        <v>Others</v>
      </c>
    </row>
    <row r="862" spans="1:17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6">
        <v>43903</v>
      </c>
      <c r="J862" s="54">
        <v>107195</v>
      </c>
      <c r="K862" s="1">
        <v>0.09</v>
      </c>
      <c r="L862" t="s">
        <v>19</v>
      </c>
      <c r="M862" t="s">
        <v>25</v>
      </c>
      <c r="N862" s="6" t="s">
        <v>21</v>
      </c>
      <c r="O862" s="54">
        <f>TBL_Employees3[[#This Row],[Annual Salary]]+TBL_Employees3[[#This Row],[Bonus %]]*TBL_Employees3[[#This Row],[Annual Salary]]</f>
        <v>116842.55</v>
      </c>
      <c r="P862" t="str">
        <f>IF(AND(TBL_Employees3[[#This Row],[Department]]="IT",TBL_Employees3[[#This Row],[Gender]]="Female"),"Yes","No")</f>
        <v>Yes</v>
      </c>
      <c r="Q862" t="str">
        <f>IF(AND(TBL_Employees3[[#This Row],[Gender]]="Female",TBL_Employees3[[#This Row],[Ethnicity]]="Black"), "Female_Black", "Others")</f>
        <v>Others</v>
      </c>
    </row>
    <row r="863" spans="1:17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6">
        <v>43111</v>
      </c>
      <c r="J863" s="54">
        <v>127422</v>
      </c>
      <c r="K863" s="1">
        <v>0.15</v>
      </c>
      <c r="L863" t="s">
        <v>19</v>
      </c>
      <c r="M863" t="s">
        <v>29</v>
      </c>
      <c r="N863" s="6" t="s">
        <v>21</v>
      </c>
      <c r="O863" s="54">
        <f>TBL_Employees3[[#This Row],[Annual Salary]]+TBL_Employees3[[#This Row],[Bonus %]]*TBL_Employees3[[#This Row],[Annual Salary]]</f>
        <v>146535.29999999999</v>
      </c>
      <c r="P863" t="str">
        <f>IF(AND(TBL_Employees3[[#This Row],[Department]]="IT",TBL_Employees3[[#This Row],[Gender]]="Female"),"Yes","No")</f>
        <v>No</v>
      </c>
      <c r="Q863" t="str">
        <f>IF(AND(TBL_Employees3[[#This Row],[Gender]]="Female",TBL_Employees3[[#This Row],[Ethnicity]]="Black"), "Female_Black", "Others")</f>
        <v>Others</v>
      </c>
    </row>
    <row r="864" spans="1:17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6">
        <v>42912</v>
      </c>
      <c r="J864" s="54">
        <v>161269</v>
      </c>
      <c r="K864" s="1">
        <v>0.27</v>
      </c>
      <c r="L864" t="s">
        <v>19</v>
      </c>
      <c r="M864" t="s">
        <v>45</v>
      </c>
      <c r="N864" s="6" t="s">
        <v>21</v>
      </c>
      <c r="O864" s="54">
        <f>TBL_Employees3[[#This Row],[Annual Salary]]+TBL_Employees3[[#This Row],[Bonus %]]*TBL_Employees3[[#This Row],[Annual Salary]]</f>
        <v>204811.63</v>
      </c>
      <c r="P864" t="str">
        <f>IF(AND(TBL_Employees3[[#This Row],[Department]]="IT",TBL_Employees3[[#This Row],[Gender]]="Female"),"Yes","No")</f>
        <v>No</v>
      </c>
      <c r="Q864" t="str">
        <f>IF(AND(TBL_Employees3[[#This Row],[Gender]]="Female",TBL_Employees3[[#This Row],[Ethnicity]]="Black"), "Female_Black", "Others")</f>
        <v>Others</v>
      </c>
    </row>
    <row r="865" spans="1:17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6">
        <v>41675</v>
      </c>
      <c r="J865" s="54">
        <v>203445</v>
      </c>
      <c r="K865" s="1">
        <v>0.34</v>
      </c>
      <c r="L865" t="s">
        <v>52</v>
      </c>
      <c r="M865" t="s">
        <v>81</v>
      </c>
      <c r="N865" s="6" t="s">
        <v>21</v>
      </c>
      <c r="O865" s="54">
        <f>TBL_Employees3[[#This Row],[Annual Salary]]+TBL_Employees3[[#This Row],[Bonus %]]*TBL_Employees3[[#This Row],[Annual Salary]]</f>
        <v>272616.3</v>
      </c>
      <c r="P865" t="str">
        <f>IF(AND(TBL_Employees3[[#This Row],[Department]]="IT",TBL_Employees3[[#This Row],[Gender]]="Female"),"Yes","No")</f>
        <v>No</v>
      </c>
      <c r="Q865" t="str">
        <f>IF(AND(TBL_Employees3[[#This Row],[Gender]]="Female",TBL_Employees3[[#This Row],[Ethnicity]]="Black"), "Female_Black", "Others")</f>
        <v>Others</v>
      </c>
    </row>
    <row r="866" spans="1:17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6">
        <v>40560</v>
      </c>
      <c r="J866" s="54">
        <v>131353</v>
      </c>
      <c r="K866" s="1">
        <v>0.11</v>
      </c>
      <c r="L866" t="s">
        <v>33</v>
      </c>
      <c r="M866" t="s">
        <v>74</v>
      </c>
      <c r="N866" s="6" t="s">
        <v>21</v>
      </c>
      <c r="O866" s="54">
        <f>TBL_Employees3[[#This Row],[Annual Salary]]+TBL_Employees3[[#This Row],[Bonus %]]*TBL_Employees3[[#This Row],[Annual Salary]]</f>
        <v>145801.82999999999</v>
      </c>
      <c r="P866" t="str">
        <f>IF(AND(TBL_Employees3[[#This Row],[Department]]="IT",TBL_Employees3[[#This Row],[Gender]]="Female"),"Yes","No")</f>
        <v>No</v>
      </c>
      <c r="Q866" t="str">
        <f>IF(AND(TBL_Employees3[[#This Row],[Gender]]="Female",TBL_Employees3[[#This Row],[Ethnicity]]="Black"), "Female_Black", "Others")</f>
        <v>Others</v>
      </c>
    </row>
    <row r="867" spans="1:17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6">
        <v>40253</v>
      </c>
      <c r="J867" s="54">
        <v>88182</v>
      </c>
      <c r="K867" s="1">
        <v>0</v>
      </c>
      <c r="L867" t="s">
        <v>33</v>
      </c>
      <c r="M867" t="s">
        <v>34</v>
      </c>
      <c r="N867" s="6" t="s">
        <v>21</v>
      </c>
      <c r="O867" s="54">
        <f>TBL_Employees3[[#This Row],[Annual Salary]]+TBL_Employees3[[#This Row],[Bonus %]]*TBL_Employees3[[#This Row],[Annual Salary]]</f>
        <v>88182</v>
      </c>
      <c r="P867" t="str">
        <f>IF(AND(TBL_Employees3[[#This Row],[Department]]="IT",TBL_Employees3[[#This Row],[Gender]]="Female"),"Yes","No")</f>
        <v>No</v>
      </c>
      <c r="Q867" t="str">
        <f>IF(AND(TBL_Employees3[[#This Row],[Gender]]="Female",TBL_Employees3[[#This Row],[Ethnicity]]="Black"), "Female_Black", "Others")</f>
        <v>Others</v>
      </c>
    </row>
    <row r="868" spans="1:17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6">
        <v>43703</v>
      </c>
      <c r="J868" s="54">
        <v>75780</v>
      </c>
      <c r="K868" s="1">
        <v>0</v>
      </c>
      <c r="L868" t="s">
        <v>19</v>
      </c>
      <c r="M868" t="s">
        <v>63</v>
      </c>
      <c r="N868" s="6" t="s">
        <v>21</v>
      </c>
      <c r="O868" s="54">
        <f>TBL_Employees3[[#This Row],[Annual Salary]]+TBL_Employees3[[#This Row],[Bonus %]]*TBL_Employees3[[#This Row],[Annual Salary]]</f>
        <v>75780</v>
      </c>
      <c r="P868" t="str">
        <f>IF(AND(TBL_Employees3[[#This Row],[Department]]="IT",TBL_Employees3[[#This Row],[Gender]]="Female"),"Yes","No")</f>
        <v>No</v>
      </c>
      <c r="Q868" t="str">
        <f>IF(AND(TBL_Employees3[[#This Row],[Gender]]="Female",TBL_Employees3[[#This Row],[Ethnicity]]="Black"), "Female_Black", "Others")</f>
        <v>Others</v>
      </c>
    </row>
    <row r="869" spans="1:17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6">
        <v>43557</v>
      </c>
      <c r="J869" s="54">
        <v>52621</v>
      </c>
      <c r="K869" s="1">
        <v>0</v>
      </c>
      <c r="L869" t="s">
        <v>33</v>
      </c>
      <c r="M869" t="s">
        <v>60</v>
      </c>
      <c r="N869" s="6" t="s">
        <v>21</v>
      </c>
      <c r="O869" s="54">
        <f>TBL_Employees3[[#This Row],[Annual Salary]]+TBL_Employees3[[#This Row],[Bonus %]]*TBL_Employees3[[#This Row],[Annual Salary]]</f>
        <v>52621</v>
      </c>
      <c r="P869" t="str">
        <f>IF(AND(TBL_Employees3[[#This Row],[Department]]="IT",TBL_Employees3[[#This Row],[Gender]]="Female"),"Yes","No")</f>
        <v>No</v>
      </c>
      <c r="Q869" t="str">
        <f>IF(AND(TBL_Employees3[[#This Row],[Gender]]="Female",TBL_Employees3[[#This Row],[Ethnicity]]="Black"), "Female_Black", "Others")</f>
        <v>Others</v>
      </c>
    </row>
    <row r="870" spans="1:17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6">
        <v>43146</v>
      </c>
      <c r="J870" s="54">
        <v>106079</v>
      </c>
      <c r="K870" s="1">
        <v>0.14000000000000001</v>
      </c>
      <c r="L870" t="s">
        <v>19</v>
      </c>
      <c r="M870" t="s">
        <v>25</v>
      </c>
      <c r="N870" s="6">
        <v>44295</v>
      </c>
      <c r="O870" s="54">
        <f>TBL_Employees3[[#This Row],[Annual Salary]]+TBL_Employees3[[#This Row],[Bonus %]]*TBL_Employees3[[#This Row],[Annual Salary]]</f>
        <v>120930.06</v>
      </c>
      <c r="P870" t="str">
        <f>IF(AND(TBL_Employees3[[#This Row],[Department]]="IT",TBL_Employees3[[#This Row],[Gender]]="Female"),"Yes","No")</f>
        <v>No</v>
      </c>
      <c r="Q870" t="str">
        <f>IF(AND(TBL_Employees3[[#This Row],[Gender]]="Female",TBL_Employees3[[#This Row],[Ethnicity]]="Black"), "Female_Black", "Others")</f>
        <v>Others</v>
      </c>
    </row>
    <row r="871" spans="1:17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6">
        <v>42777</v>
      </c>
      <c r="J871" s="54">
        <v>92058</v>
      </c>
      <c r="K871" s="1">
        <v>0</v>
      </c>
      <c r="L871" t="s">
        <v>19</v>
      </c>
      <c r="M871" t="s">
        <v>25</v>
      </c>
      <c r="N871" s="6" t="s">
        <v>21</v>
      </c>
      <c r="O871" s="54">
        <f>TBL_Employees3[[#This Row],[Annual Salary]]+TBL_Employees3[[#This Row],[Bonus %]]*TBL_Employees3[[#This Row],[Annual Salary]]</f>
        <v>92058</v>
      </c>
      <c r="P871" t="str">
        <f>IF(AND(TBL_Employees3[[#This Row],[Department]]="IT",TBL_Employees3[[#This Row],[Gender]]="Female"),"Yes","No")</f>
        <v>No</v>
      </c>
      <c r="Q871" t="str">
        <f>IF(AND(TBL_Employees3[[#This Row],[Gender]]="Female",TBL_Employees3[[#This Row],[Ethnicity]]="Black"), "Female_Black", "Others")</f>
        <v>Others</v>
      </c>
    </row>
    <row r="872" spans="1:17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6">
        <v>43527</v>
      </c>
      <c r="J872" s="54">
        <v>67114</v>
      </c>
      <c r="K872" s="1">
        <v>0</v>
      </c>
      <c r="L872" t="s">
        <v>19</v>
      </c>
      <c r="M872" t="s">
        <v>39</v>
      </c>
      <c r="N872" s="6" t="s">
        <v>21</v>
      </c>
      <c r="O872" s="54">
        <f>TBL_Employees3[[#This Row],[Annual Salary]]+TBL_Employees3[[#This Row],[Bonus %]]*TBL_Employees3[[#This Row],[Annual Salary]]</f>
        <v>67114</v>
      </c>
      <c r="P872" t="str">
        <f>IF(AND(TBL_Employees3[[#This Row],[Department]]="IT",TBL_Employees3[[#This Row],[Gender]]="Female"),"Yes","No")</f>
        <v>No</v>
      </c>
      <c r="Q872" t="str">
        <f>IF(AND(TBL_Employees3[[#This Row],[Gender]]="Female",TBL_Employees3[[#This Row],[Ethnicity]]="Black"), "Female_Black", "Others")</f>
        <v>Others</v>
      </c>
    </row>
    <row r="873" spans="1:17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6">
        <v>44024</v>
      </c>
      <c r="J873" s="54">
        <v>56565</v>
      </c>
      <c r="K873" s="1">
        <v>0</v>
      </c>
      <c r="L873" t="s">
        <v>52</v>
      </c>
      <c r="M873" t="s">
        <v>53</v>
      </c>
      <c r="N873" s="6" t="s">
        <v>21</v>
      </c>
      <c r="O873" s="54">
        <f>TBL_Employees3[[#This Row],[Annual Salary]]+TBL_Employees3[[#This Row],[Bonus %]]*TBL_Employees3[[#This Row],[Annual Salary]]</f>
        <v>56565</v>
      </c>
      <c r="P873" t="str">
        <f>IF(AND(TBL_Employees3[[#This Row],[Department]]="IT",TBL_Employees3[[#This Row],[Gender]]="Female"),"Yes","No")</f>
        <v>No</v>
      </c>
      <c r="Q873" t="str">
        <f>IF(AND(TBL_Employees3[[#This Row],[Gender]]="Female",TBL_Employees3[[#This Row],[Ethnicity]]="Black"), "Female_Black", "Others")</f>
        <v>Others</v>
      </c>
    </row>
    <row r="874" spans="1:17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6">
        <v>40683</v>
      </c>
      <c r="J874" s="54">
        <v>64937</v>
      </c>
      <c r="K874" s="1">
        <v>0</v>
      </c>
      <c r="L874" t="s">
        <v>19</v>
      </c>
      <c r="M874" t="s">
        <v>39</v>
      </c>
      <c r="N874" s="6" t="s">
        <v>21</v>
      </c>
      <c r="O874" s="54">
        <f>TBL_Employees3[[#This Row],[Annual Salary]]+TBL_Employees3[[#This Row],[Bonus %]]*TBL_Employees3[[#This Row],[Annual Salary]]</f>
        <v>64937</v>
      </c>
      <c r="P874" t="str">
        <f>IF(AND(TBL_Employees3[[#This Row],[Department]]="IT",TBL_Employees3[[#This Row],[Gender]]="Female"),"Yes","No")</f>
        <v>No</v>
      </c>
      <c r="Q874" t="str">
        <f>IF(AND(TBL_Employees3[[#This Row],[Gender]]="Female",TBL_Employees3[[#This Row],[Ethnicity]]="Black"), "Female_Black", "Others")</f>
        <v>Others</v>
      </c>
    </row>
    <row r="875" spans="1:17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6">
        <v>38967</v>
      </c>
      <c r="J875" s="54">
        <v>127626</v>
      </c>
      <c r="K875" s="1">
        <v>0.1</v>
      </c>
      <c r="L875" t="s">
        <v>19</v>
      </c>
      <c r="M875" t="s">
        <v>45</v>
      </c>
      <c r="N875" s="6" t="s">
        <v>21</v>
      </c>
      <c r="O875" s="54">
        <f>TBL_Employees3[[#This Row],[Annual Salary]]+TBL_Employees3[[#This Row],[Bonus %]]*TBL_Employees3[[#This Row],[Annual Salary]]</f>
        <v>140388.6</v>
      </c>
      <c r="P875" t="str">
        <f>IF(AND(TBL_Employees3[[#This Row],[Department]]="IT",TBL_Employees3[[#This Row],[Gender]]="Female"),"Yes","No")</f>
        <v>No</v>
      </c>
      <c r="Q875" t="str">
        <f>IF(AND(TBL_Employees3[[#This Row],[Gender]]="Female",TBL_Employees3[[#This Row],[Ethnicity]]="Black"), "Female_Black", "Others")</f>
        <v>Others</v>
      </c>
    </row>
    <row r="876" spans="1:17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6">
        <v>38013</v>
      </c>
      <c r="J876" s="54">
        <v>88478</v>
      </c>
      <c r="K876" s="1">
        <v>0</v>
      </c>
      <c r="L876" t="s">
        <v>19</v>
      </c>
      <c r="M876" t="s">
        <v>25</v>
      </c>
      <c r="N876" s="6" t="s">
        <v>21</v>
      </c>
      <c r="O876" s="54">
        <f>TBL_Employees3[[#This Row],[Annual Salary]]+TBL_Employees3[[#This Row],[Bonus %]]*TBL_Employees3[[#This Row],[Annual Salary]]</f>
        <v>88478</v>
      </c>
      <c r="P876" t="str">
        <f>IF(AND(TBL_Employees3[[#This Row],[Department]]="IT",TBL_Employees3[[#This Row],[Gender]]="Female"),"Yes","No")</f>
        <v>No</v>
      </c>
      <c r="Q876" t="str">
        <f>IF(AND(TBL_Employees3[[#This Row],[Gender]]="Female",TBL_Employees3[[#This Row],[Ethnicity]]="Black"), "Female_Black", "Others")</f>
        <v>Others</v>
      </c>
    </row>
    <row r="877" spans="1:17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6">
        <v>41749</v>
      </c>
      <c r="J877" s="54">
        <v>91679</v>
      </c>
      <c r="K877" s="1">
        <v>7.0000000000000007E-2</v>
      </c>
      <c r="L877" t="s">
        <v>33</v>
      </c>
      <c r="M877" t="s">
        <v>80</v>
      </c>
      <c r="N877" s="6" t="s">
        <v>21</v>
      </c>
      <c r="O877" s="54">
        <f>TBL_Employees3[[#This Row],[Annual Salary]]+TBL_Employees3[[#This Row],[Bonus %]]*TBL_Employees3[[#This Row],[Annual Salary]]</f>
        <v>98096.53</v>
      </c>
      <c r="P877" t="str">
        <f>IF(AND(TBL_Employees3[[#This Row],[Department]]="IT",TBL_Employees3[[#This Row],[Gender]]="Female"),"Yes","No")</f>
        <v>Yes</v>
      </c>
      <c r="Q877" t="str">
        <f>IF(AND(TBL_Employees3[[#This Row],[Gender]]="Female",TBL_Employees3[[#This Row],[Ethnicity]]="Black"), "Female_Black", "Others")</f>
        <v>Others</v>
      </c>
    </row>
    <row r="878" spans="1:17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6">
        <v>33682</v>
      </c>
      <c r="J878" s="54">
        <v>199848</v>
      </c>
      <c r="K878" s="1">
        <v>0.16</v>
      </c>
      <c r="L878" t="s">
        <v>33</v>
      </c>
      <c r="M878" t="s">
        <v>80</v>
      </c>
      <c r="N878" s="6" t="s">
        <v>21</v>
      </c>
      <c r="O878" s="54">
        <f>TBL_Employees3[[#This Row],[Annual Salary]]+TBL_Employees3[[#This Row],[Bonus %]]*TBL_Employees3[[#This Row],[Annual Salary]]</f>
        <v>231823.68</v>
      </c>
      <c r="P878" t="str">
        <f>IF(AND(TBL_Employees3[[#This Row],[Department]]="IT",TBL_Employees3[[#This Row],[Gender]]="Female"),"Yes","No")</f>
        <v>No</v>
      </c>
      <c r="Q878" t="str">
        <f>IF(AND(TBL_Employees3[[#This Row],[Gender]]="Female",TBL_Employees3[[#This Row],[Ethnicity]]="Black"), "Female_Black", "Others")</f>
        <v>Others</v>
      </c>
    </row>
    <row r="879" spans="1:17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6">
        <v>43414</v>
      </c>
      <c r="J879" s="54">
        <v>61944</v>
      </c>
      <c r="K879" s="1">
        <v>0</v>
      </c>
      <c r="L879" t="s">
        <v>33</v>
      </c>
      <c r="M879" t="s">
        <v>74</v>
      </c>
      <c r="N879" s="6" t="s">
        <v>21</v>
      </c>
      <c r="O879" s="54">
        <f>TBL_Employees3[[#This Row],[Annual Salary]]+TBL_Employees3[[#This Row],[Bonus %]]*TBL_Employees3[[#This Row],[Annual Salary]]</f>
        <v>61944</v>
      </c>
      <c r="P879" t="str">
        <f>IF(AND(TBL_Employees3[[#This Row],[Department]]="IT",TBL_Employees3[[#This Row],[Gender]]="Female"),"Yes","No")</f>
        <v>No</v>
      </c>
      <c r="Q879" t="str">
        <f>IF(AND(TBL_Employees3[[#This Row],[Gender]]="Female",TBL_Employees3[[#This Row],[Ethnicity]]="Black"), "Female_Black", "Others")</f>
        <v>Others</v>
      </c>
    </row>
    <row r="880" spans="1:17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6">
        <v>42960</v>
      </c>
      <c r="J880" s="54">
        <v>154624</v>
      </c>
      <c r="K880" s="1">
        <v>0.15</v>
      </c>
      <c r="L880" t="s">
        <v>19</v>
      </c>
      <c r="M880" t="s">
        <v>25</v>
      </c>
      <c r="N880" s="6" t="s">
        <v>21</v>
      </c>
      <c r="O880" s="54">
        <f>TBL_Employees3[[#This Row],[Annual Salary]]+TBL_Employees3[[#This Row],[Bonus %]]*TBL_Employees3[[#This Row],[Annual Salary]]</f>
        <v>177817.60000000001</v>
      </c>
      <c r="P880" t="str">
        <f>IF(AND(TBL_Employees3[[#This Row],[Department]]="IT",TBL_Employees3[[#This Row],[Gender]]="Female"),"Yes","No")</f>
        <v>No</v>
      </c>
      <c r="Q880" t="str">
        <f>IF(AND(TBL_Employees3[[#This Row],[Gender]]="Female",TBL_Employees3[[#This Row],[Ethnicity]]="Black"), "Female_Black", "Others")</f>
        <v>Female_Black</v>
      </c>
    </row>
    <row r="881" spans="1:17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6">
        <v>40109</v>
      </c>
      <c r="J881" s="54">
        <v>79447</v>
      </c>
      <c r="K881" s="1">
        <v>0</v>
      </c>
      <c r="L881" t="s">
        <v>33</v>
      </c>
      <c r="M881" t="s">
        <v>74</v>
      </c>
      <c r="N881" s="6" t="s">
        <v>21</v>
      </c>
      <c r="O881" s="54">
        <f>TBL_Employees3[[#This Row],[Annual Salary]]+TBL_Employees3[[#This Row],[Bonus %]]*TBL_Employees3[[#This Row],[Annual Salary]]</f>
        <v>79447</v>
      </c>
      <c r="P881" t="str">
        <f>IF(AND(TBL_Employees3[[#This Row],[Department]]="IT",TBL_Employees3[[#This Row],[Gender]]="Female"),"Yes","No")</f>
        <v>No</v>
      </c>
      <c r="Q881" t="str">
        <f>IF(AND(TBL_Employees3[[#This Row],[Gender]]="Female",TBL_Employees3[[#This Row],[Ethnicity]]="Black"), "Female_Black", "Others")</f>
        <v>Others</v>
      </c>
    </row>
    <row r="882" spans="1:17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6">
        <v>35852</v>
      </c>
      <c r="J882" s="54">
        <v>71111</v>
      </c>
      <c r="K882" s="1">
        <v>0</v>
      </c>
      <c r="L882" t="s">
        <v>52</v>
      </c>
      <c r="M882" t="s">
        <v>66</v>
      </c>
      <c r="N882" s="6" t="s">
        <v>21</v>
      </c>
      <c r="O882" s="54">
        <f>TBL_Employees3[[#This Row],[Annual Salary]]+TBL_Employees3[[#This Row],[Bonus %]]*TBL_Employees3[[#This Row],[Annual Salary]]</f>
        <v>71111</v>
      </c>
      <c r="P882" t="str">
        <f>IF(AND(TBL_Employees3[[#This Row],[Department]]="IT",TBL_Employees3[[#This Row],[Gender]]="Female"),"Yes","No")</f>
        <v>No</v>
      </c>
      <c r="Q882" t="str">
        <f>IF(AND(TBL_Employees3[[#This Row],[Gender]]="Female",TBL_Employees3[[#This Row],[Ethnicity]]="Black"), "Female_Black", "Others")</f>
        <v>Others</v>
      </c>
    </row>
    <row r="883" spans="1:17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6">
        <v>41931</v>
      </c>
      <c r="J883" s="54">
        <v>159538</v>
      </c>
      <c r="K883" s="1">
        <v>0.11</v>
      </c>
      <c r="L883" t="s">
        <v>19</v>
      </c>
      <c r="M883" t="s">
        <v>45</v>
      </c>
      <c r="N883" s="6" t="s">
        <v>21</v>
      </c>
      <c r="O883" s="54">
        <f>TBL_Employees3[[#This Row],[Annual Salary]]+TBL_Employees3[[#This Row],[Bonus %]]*TBL_Employees3[[#This Row],[Annual Salary]]</f>
        <v>177087.18</v>
      </c>
      <c r="P883" t="str">
        <f>IF(AND(TBL_Employees3[[#This Row],[Department]]="IT",TBL_Employees3[[#This Row],[Gender]]="Female"),"Yes","No")</f>
        <v>No</v>
      </c>
      <c r="Q883" t="str">
        <f>IF(AND(TBL_Employees3[[#This Row],[Gender]]="Female",TBL_Employees3[[#This Row],[Ethnicity]]="Black"), "Female_Black", "Others")</f>
        <v>Others</v>
      </c>
    </row>
    <row r="884" spans="1:17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6">
        <v>43375</v>
      </c>
      <c r="J884" s="54">
        <v>111404</v>
      </c>
      <c r="K884" s="1">
        <v>0</v>
      </c>
      <c r="L884" t="s">
        <v>52</v>
      </c>
      <c r="M884" t="s">
        <v>66</v>
      </c>
      <c r="N884" s="6" t="s">
        <v>21</v>
      </c>
      <c r="O884" s="54">
        <f>TBL_Employees3[[#This Row],[Annual Salary]]+TBL_Employees3[[#This Row],[Bonus %]]*TBL_Employees3[[#This Row],[Annual Salary]]</f>
        <v>111404</v>
      </c>
      <c r="P884" t="str">
        <f>IF(AND(TBL_Employees3[[#This Row],[Department]]="IT",TBL_Employees3[[#This Row],[Gender]]="Female"),"Yes","No")</f>
        <v>No</v>
      </c>
      <c r="Q884" t="str">
        <f>IF(AND(TBL_Employees3[[#This Row],[Gender]]="Female",TBL_Employees3[[#This Row],[Ethnicity]]="Black"), "Female_Black", "Others")</f>
        <v>Others</v>
      </c>
    </row>
    <row r="885" spans="1:17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6">
        <v>44058</v>
      </c>
      <c r="J885" s="54">
        <v>172007</v>
      </c>
      <c r="K885" s="1">
        <v>0.26</v>
      </c>
      <c r="L885" t="s">
        <v>19</v>
      </c>
      <c r="M885" t="s">
        <v>45</v>
      </c>
      <c r="N885" s="6" t="s">
        <v>21</v>
      </c>
      <c r="O885" s="54">
        <f>TBL_Employees3[[#This Row],[Annual Salary]]+TBL_Employees3[[#This Row],[Bonus %]]*TBL_Employees3[[#This Row],[Annual Salary]]</f>
        <v>216728.82</v>
      </c>
      <c r="P885" t="str">
        <f>IF(AND(TBL_Employees3[[#This Row],[Department]]="IT",TBL_Employees3[[#This Row],[Gender]]="Female"),"Yes","No")</f>
        <v>No</v>
      </c>
      <c r="Q885" t="str">
        <f>IF(AND(TBL_Employees3[[#This Row],[Gender]]="Female",TBL_Employees3[[#This Row],[Ethnicity]]="Black"), "Female_Black", "Others")</f>
        <v>Others</v>
      </c>
    </row>
    <row r="886" spans="1:17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6">
        <v>40745</v>
      </c>
      <c r="J886" s="54">
        <v>219474</v>
      </c>
      <c r="K886" s="1">
        <v>0.36</v>
      </c>
      <c r="L886" t="s">
        <v>52</v>
      </c>
      <c r="M886" t="s">
        <v>81</v>
      </c>
      <c r="N886" s="6" t="s">
        <v>21</v>
      </c>
      <c r="O886" s="54">
        <f>TBL_Employees3[[#This Row],[Annual Salary]]+TBL_Employees3[[#This Row],[Bonus %]]*TBL_Employees3[[#This Row],[Annual Salary]]</f>
        <v>298484.64</v>
      </c>
      <c r="P886" t="str">
        <f>IF(AND(TBL_Employees3[[#This Row],[Department]]="IT",TBL_Employees3[[#This Row],[Gender]]="Female"),"Yes","No")</f>
        <v>No</v>
      </c>
      <c r="Q886" t="str">
        <f>IF(AND(TBL_Employees3[[#This Row],[Gender]]="Female",TBL_Employees3[[#This Row],[Ethnicity]]="Black"), "Female_Black", "Others")</f>
        <v>Others</v>
      </c>
    </row>
    <row r="887" spans="1:17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6">
        <v>43600</v>
      </c>
      <c r="J887" s="54">
        <v>174415</v>
      </c>
      <c r="K887" s="1">
        <v>0.23</v>
      </c>
      <c r="L887" t="s">
        <v>19</v>
      </c>
      <c r="M887" t="s">
        <v>45</v>
      </c>
      <c r="N887" s="6" t="s">
        <v>21</v>
      </c>
      <c r="O887" s="54">
        <f>TBL_Employees3[[#This Row],[Annual Salary]]+TBL_Employees3[[#This Row],[Bonus %]]*TBL_Employees3[[#This Row],[Annual Salary]]</f>
        <v>214530.45</v>
      </c>
      <c r="P887" t="str">
        <f>IF(AND(TBL_Employees3[[#This Row],[Department]]="IT",TBL_Employees3[[#This Row],[Gender]]="Female"),"Yes","No")</f>
        <v>No</v>
      </c>
      <c r="Q887" t="str">
        <f>IF(AND(TBL_Employees3[[#This Row],[Gender]]="Female",TBL_Employees3[[#This Row],[Ethnicity]]="Black"), "Female_Black", "Others")</f>
        <v>Others</v>
      </c>
    </row>
    <row r="888" spans="1:17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6">
        <v>44217</v>
      </c>
      <c r="J888" s="54">
        <v>90333</v>
      </c>
      <c r="K888" s="1">
        <v>0</v>
      </c>
      <c r="L888" t="s">
        <v>52</v>
      </c>
      <c r="M888" t="s">
        <v>66</v>
      </c>
      <c r="N888" s="6" t="s">
        <v>21</v>
      </c>
      <c r="O888" s="54">
        <f>TBL_Employees3[[#This Row],[Annual Salary]]+TBL_Employees3[[#This Row],[Bonus %]]*TBL_Employees3[[#This Row],[Annual Salary]]</f>
        <v>90333</v>
      </c>
      <c r="P888" t="str">
        <f>IF(AND(TBL_Employees3[[#This Row],[Department]]="IT",TBL_Employees3[[#This Row],[Gender]]="Female"),"Yes","No")</f>
        <v>Yes</v>
      </c>
      <c r="Q888" t="str">
        <f>IF(AND(TBL_Employees3[[#This Row],[Gender]]="Female",TBL_Employees3[[#This Row],[Ethnicity]]="Black"), "Female_Black", "Others")</f>
        <v>Others</v>
      </c>
    </row>
    <row r="889" spans="1:17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6">
        <v>44217</v>
      </c>
      <c r="J889" s="54">
        <v>67299</v>
      </c>
      <c r="K889" s="1">
        <v>0</v>
      </c>
      <c r="L889" t="s">
        <v>19</v>
      </c>
      <c r="M889" t="s">
        <v>39</v>
      </c>
      <c r="N889" s="6" t="s">
        <v>21</v>
      </c>
      <c r="O889" s="54">
        <f>TBL_Employees3[[#This Row],[Annual Salary]]+TBL_Employees3[[#This Row],[Bonus %]]*TBL_Employees3[[#This Row],[Annual Salary]]</f>
        <v>67299</v>
      </c>
      <c r="P889" t="str">
        <f>IF(AND(TBL_Employees3[[#This Row],[Department]]="IT",TBL_Employees3[[#This Row],[Gender]]="Female"),"Yes","No")</f>
        <v>No</v>
      </c>
      <c r="Q889" t="str">
        <f>IF(AND(TBL_Employees3[[#This Row],[Gender]]="Female",TBL_Employees3[[#This Row],[Ethnicity]]="Black"), "Female_Black", "Others")</f>
        <v>Others</v>
      </c>
    </row>
    <row r="890" spans="1:17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6">
        <v>38406</v>
      </c>
      <c r="J890" s="54">
        <v>45286</v>
      </c>
      <c r="K890" s="1">
        <v>0</v>
      </c>
      <c r="L890" t="s">
        <v>19</v>
      </c>
      <c r="M890" t="s">
        <v>20</v>
      </c>
      <c r="N890" s="6" t="s">
        <v>21</v>
      </c>
      <c r="O890" s="54">
        <f>TBL_Employees3[[#This Row],[Annual Salary]]+TBL_Employees3[[#This Row],[Bonus %]]*TBL_Employees3[[#This Row],[Annual Salary]]</f>
        <v>45286</v>
      </c>
      <c r="P890" t="str">
        <f>IF(AND(TBL_Employees3[[#This Row],[Department]]="IT",TBL_Employees3[[#This Row],[Gender]]="Female"),"Yes","No")</f>
        <v>Yes</v>
      </c>
      <c r="Q890" t="str">
        <f>IF(AND(TBL_Employees3[[#This Row],[Gender]]="Female",TBL_Employees3[[#This Row],[Ethnicity]]="Black"), "Female_Black", "Others")</f>
        <v>Others</v>
      </c>
    </row>
    <row r="891" spans="1:17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6">
        <v>39302</v>
      </c>
      <c r="J891" s="54">
        <v>194723</v>
      </c>
      <c r="K891" s="1">
        <v>0.25</v>
      </c>
      <c r="L891" t="s">
        <v>19</v>
      </c>
      <c r="M891" t="s">
        <v>39</v>
      </c>
      <c r="N891" s="6" t="s">
        <v>21</v>
      </c>
      <c r="O891" s="54">
        <f>TBL_Employees3[[#This Row],[Annual Salary]]+TBL_Employees3[[#This Row],[Bonus %]]*TBL_Employees3[[#This Row],[Annual Salary]]</f>
        <v>243403.75</v>
      </c>
      <c r="P891" t="str">
        <f>IF(AND(TBL_Employees3[[#This Row],[Department]]="IT",TBL_Employees3[[#This Row],[Gender]]="Female"),"Yes","No")</f>
        <v>No</v>
      </c>
      <c r="Q891" t="str">
        <f>IF(AND(TBL_Employees3[[#This Row],[Gender]]="Female",TBL_Employees3[[#This Row],[Ethnicity]]="Black"), "Female_Black", "Others")</f>
        <v>Others</v>
      </c>
    </row>
    <row r="892" spans="1:17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6">
        <v>41131</v>
      </c>
      <c r="J892" s="54">
        <v>109850</v>
      </c>
      <c r="K892" s="1">
        <v>7.0000000000000007E-2</v>
      </c>
      <c r="L892" t="s">
        <v>33</v>
      </c>
      <c r="M892" t="s">
        <v>60</v>
      </c>
      <c r="N892" s="6">
        <v>43865</v>
      </c>
      <c r="O892" s="54">
        <f>TBL_Employees3[[#This Row],[Annual Salary]]+TBL_Employees3[[#This Row],[Bonus %]]*TBL_Employees3[[#This Row],[Annual Salary]]</f>
        <v>117539.5</v>
      </c>
      <c r="P892" t="str">
        <f>IF(AND(TBL_Employees3[[#This Row],[Department]]="IT",TBL_Employees3[[#This Row],[Gender]]="Female"),"Yes","No")</f>
        <v>No</v>
      </c>
      <c r="Q892" t="str">
        <f>IF(AND(TBL_Employees3[[#This Row],[Gender]]="Female",TBL_Employees3[[#This Row],[Ethnicity]]="Black"), "Female_Black", "Others")</f>
        <v>Others</v>
      </c>
    </row>
    <row r="893" spans="1:17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6">
        <v>41748</v>
      </c>
      <c r="J893" s="54">
        <v>45295</v>
      </c>
      <c r="K893" s="1">
        <v>0</v>
      </c>
      <c r="L893" t="s">
        <v>52</v>
      </c>
      <c r="M893" t="s">
        <v>53</v>
      </c>
      <c r="N893" s="6" t="s">
        <v>21</v>
      </c>
      <c r="O893" s="54">
        <f>TBL_Employees3[[#This Row],[Annual Salary]]+TBL_Employees3[[#This Row],[Bonus %]]*TBL_Employees3[[#This Row],[Annual Salary]]</f>
        <v>45295</v>
      </c>
      <c r="P893" t="str">
        <f>IF(AND(TBL_Employees3[[#This Row],[Department]]="IT",TBL_Employees3[[#This Row],[Gender]]="Female"),"Yes","No")</f>
        <v>No</v>
      </c>
      <c r="Q893" t="str">
        <f>IF(AND(TBL_Employees3[[#This Row],[Gender]]="Female",TBL_Employees3[[#This Row],[Ethnicity]]="Black"), "Female_Black", "Others")</f>
        <v>Others</v>
      </c>
    </row>
    <row r="894" spans="1:17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6">
        <v>40413</v>
      </c>
      <c r="J894" s="54">
        <v>61310</v>
      </c>
      <c r="K894" s="1">
        <v>0</v>
      </c>
      <c r="L894" t="s">
        <v>19</v>
      </c>
      <c r="M894" t="s">
        <v>39</v>
      </c>
      <c r="N894" s="6" t="s">
        <v>21</v>
      </c>
      <c r="O894" s="54">
        <f>TBL_Employees3[[#This Row],[Annual Salary]]+TBL_Employees3[[#This Row],[Bonus %]]*TBL_Employees3[[#This Row],[Annual Salary]]</f>
        <v>61310</v>
      </c>
      <c r="P894" t="str">
        <f>IF(AND(TBL_Employees3[[#This Row],[Department]]="IT",TBL_Employees3[[#This Row],[Gender]]="Female"),"Yes","No")</f>
        <v>Yes</v>
      </c>
      <c r="Q894" t="str">
        <f>IF(AND(TBL_Employees3[[#This Row],[Gender]]="Female",TBL_Employees3[[#This Row],[Ethnicity]]="Black"), "Female_Black", "Others")</f>
        <v>Others</v>
      </c>
    </row>
    <row r="895" spans="1:17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6">
        <v>42683</v>
      </c>
      <c r="J895" s="54">
        <v>87851</v>
      </c>
      <c r="K895" s="1">
        <v>0</v>
      </c>
      <c r="L895" t="s">
        <v>33</v>
      </c>
      <c r="M895" t="s">
        <v>80</v>
      </c>
      <c r="N895" s="6" t="s">
        <v>21</v>
      </c>
      <c r="O895" s="54">
        <f>TBL_Employees3[[#This Row],[Annual Salary]]+TBL_Employees3[[#This Row],[Bonus %]]*TBL_Employees3[[#This Row],[Annual Salary]]</f>
        <v>87851</v>
      </c>
      <c r="P895" t="str">
        <f>IF(AND(TBL_Employees3[[#This Row],[Department]]="IT",TBL_Employees3[[#This Row],[Gender]]="Female"),"Yes","No")</f>
        <v>No</v>
      </c>
      <c r="Q895" t="str">
        <f>IF(AND(TBL_Employees3[[#This Row],[Gender]]="Female",TBL_Employees3[[#This Row],[Ethnicity]]="Black"), "Female_Black", "Others")</f>
        <v>Others</v>
      </c>
    </row>
    <row r="896" spans="1:17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6">
        <v>43171</v>
      </c>
      <c r="J896" s="54">
        <v>47913</v>
      </c>
      <c r="K896" s="1">
        <v>0</v>
      </c>
      <c r="L896" t="s">
        <v>19</v>
      </c>
      <c r="M896" t="s">
        <v>63</v>
      </c>
      <c r="N896" s="6" t="s">
        <v>21</v>
      </c>
      <c r="O896" s="54">
        <f>TBL_Employees3[[#This Row],[Annual Salary]]+TBL_Employees3[[#This Row],[Bonus %]]*TBL_Employees3[[#This Row],[Annual Salary]]</f>
        <v>47913</v>
      </c>
      <c r="P896" t="str">
        <f>IF(AND(TBL_Employees3[[#This Row],[Department]]="IT",TBL_Employees3[[#This Row],[Gender]]="Female"),"Yes","No")</f>
        <v>No</v>
      </c>
      <c r="Q896" t="str">
        <f>IF(AND(TBL_Employees3[[#This Row],[Gender]]="Female",TBL_Employees3[[#This Row],[Ethnicity]]="Black"), "Female_Black", "Others")</f>
        <v>Others</v>
      </c>
    </row>
    <row r="897" spans="1:17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6">
        <v>42985</v>
      </c>
      <c r="J897" s="54">
        <v>46727</v>
      </c>
      <c r="K897" s="1">
        <v>0</v>
      </c>
      <c r="L897" t="s">
        <v>19</v>
      </c>
      <c r="M897" t="s">
        <v>29</v>
      </c>
      <c r="N897" s="6">
        <v>43251</v>
      </c>
      <c r="O897" s="54">
        <f>TBL_Employees3[[#This Row],[Annual Salary]]+TBL_Employees3[[#This Row],[Bonus %]]*TBL_Employees3[[#This Row],[Annual Salary]]</f>
        <v>46727</v>
      </c>
      <c r="P897" t="str">
        <f>IF(AND(TBL_Employees3[[#This Row],[Department]]="IT",TBL_Employees3[[#This Row],[Gender]]="Female"),"Yes","No")</f>
        <v>No</v>
      </c>
      <c r="Q897" t="str">
        <f>IF(AND(TBL_Employees3[[#This Row],[Gender]]="Female",TBL_Employees3[[#This Row],[Ethnicity]]="Black"), "Female_Black", "Others")</f>
        <v>Others</v>
      </c>
    </row>
    <row r="898" spans="1:17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6">
        <v>44302</v>
      </c>
      <c r="J898" s="54">
        <v>133400</v>
      </c>
      <c r="K898" s="1">
        <v>0.11</v>
      </c>
      <c r="L898" t="s">
        <v>19</v>
      </c>
      <c r="M898" t="s">
        <v>39</v>
      </c>
      <c r="N898" s="6" t="s">
        <v>21</v>
      </c>
      <c r="O898" s="54">
        <f>TBL_Employees3[[#This Row],[Annual Salary]]+TBL_Employees3[[#This Row],[Bonus %]]*TBL_Employees3[[#This Row],[Annual Salary]]</f>
        <v>148074</v>
      </c>
      <c r="P898" t="str">
        <f>IF(AND(TBL_Employees3[[#This Row],[Department]]="IT",TBL_Employees3[[#This Row],[Gender]]="Female"),"Yes","No")</f>
        <v>No</v>
      </c>
      <c r="Q898" t="str">
        <f>IF(AND(TBL_Employees3[[#This Row],[Gender]]="Female",TBL_Employees3[[#This Row],[Ethnicity]]="Black"), "Female_Black", "Others")</f>
        <v>Others</v>
      </c>
    </row>
    <row r="899" spans="1:17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6">
        <v>43943</v>
      </c>
      <c r="J899" s="54">
        <v>90535</v>
      </c>
      <c r="K899" s="1">
        <v>0</v>
      </c>
      <c r="L899" t="s">
        <v>19</v>
      </c>
      <c r="M899" t="s">
        <v>45</v>
      </c>
      <c r="N899" s="6" t="s">
        <v>21</v>
      </c>
      <c r="O899" s="54">
        <f>TBL_Employees3[[#This Row],[Annual Salary]]+TBL_Employees3[[#This Row],[Bonus %]]*TBL_Employees3[[#This Row],[Annual Salary]]</f>
        <v>90535</v>
      </c>
      <c r="P899" t="str">
        <f>IF(AND(TBL_Employees3[[#This Row],[Department]]="IT",TBL_Employees3[[#This Row],[Gender]]="Female"),"Yes","No")</f>
        <v>Yes</v>
      </c>
      <c r="Q899" t="str">
        <f>IF(AND(TBL_Employees3[[#This Row],[Gender]]="Female",TBL_Employees3[[#This Row],[Ethnicity]]="Black"), "Female_Black", "Others")</f>
        <v>Others</v>
      </c>
    </row>
    <row r="900" spans="1:17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6">
        <v>38909</v>
      </c>
      <c r="J900" s="54">
        <v>93343</v>
      </c>
      <c r="K900" s="1">
        <v>0</v>
      </c>
      <c r="L900" t="s">
        <v>33</v>
      </c>
      <c r="M900" t="s">
        <v>80</v>
      </c>
      <c r="N900" s="6" t="s">
        <v>21</v>
      </c>
      <c r="O900" s="54">
        <f>TBL_Employees3[[#This Row],[Annual Salary]]+TBL_Employees3[[#This Row],[Bonus %]]*TBL_Employees3[[#This Row],[Annual Salary]]</f>
        <v>93343</v>
      </c>
      <c r="P900" t="str">
        <f>IF(AND(TBL_Employees3[[#This Row],[Department]]="IT",TBL_Employees3[[#This Row],[Gender]]="Female"),"Yes","No")</f>
        <v>No</v>
      </c>
      <c r="Q900" t="str">
        <f>IF(AND(TBL_Employees3[[#This Row],[Gender]]="Female",TBL_Employees3[[#This Row],[Ethnicity]]="Black"), "Female_Black", "Others")</f>
        <v>Others</v>
      </c>
    </row>
    <row r="901" spans="1:17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6">
        <v>38771</v>
      </c>
      <c r="J901" s="54">
        <v>63705</v>
      </c>
      <c r="K901" s="1">
        <v>0</v>
      </c>
      <c r="L901" t="s">
        <v>19</v>
      </c>
      <c r="M901" t="s">
        <v>45</v>
      </c>
      <c r="N901" s="6" t="s">
        <v>21</v>
      </c>
      <c r="O901" s="54">
        <f>TBL_Employees3[[#This Row],[Annual Salary]]+TBL_Employees3[[#This Row],[Bonus %]]*TBL_Employees3[[#This Row],[Annual Salary]]</f>
        <v>63705</v>
      </c>
      <c r="P901" t="str">
        <f>IF(AND(TBL_Employees3[[#This Row],[Department]]="IT",TBL_Employees3[[#This Row],[Gender]]="Female"),"Yes","No")</f>
        <v>No</v>
      </c>
      <c r="Q901" t="str">
        <f>IF(AND(TBL_Employees3[[#This Row],[Gender]]="Female",TBL_Employees3[[#This Row],[Ethnicity]]="Black"), "Female_Black", "Others")</f>
        <v>Others</v>
      </c>
    </row>
    <row r="902" spans="1:17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6">
        <v>36584</v>
      </c>
      <c r="J902" s="54">
        <v>258081</v>
      </c>
      <c r="K902" s="1">
        <v>0.3</v>
      </c>
      <c r="L902" t="s">
        <v>19</v>
      </c>
      <c r="M902" t="s">
        <v>20</v>
      </c>
      <c r="N902" s="6" t="s">
        <v>21</v>
      </c>
      <c r="O902" s="54">
        <f>TBL_Employees3[[#This Row],[Annual Salary]]+TBL_Employees3[[#This Row],[Bonus %]]*TBL_Employees3[[#This Row],[Annual Salary]]</f>
        <v>335505.3</v>
      </c>
      <c r="P902" t="str">
        <f>IF(AND(TBL_Employees3[[#This Row],[Department]]="IT",TBL_Employees3[[#This Row],[Gender]]="Female"),"Yes","No")</f>
        <v>No</v>
      </c>
      <c r="Q902" t="str">
        <f>IF(AND(TBL_Employees3[[#This Row],[Gender]]="Female",TBL_Employees3[[#This Row],[Ethnicity]]="Black"), "Female_Black", "Others")</f>
        <v>Others</v>
      </c>
    </row>
    <row r="903" spans="1:17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6">
        <v>44095</v>
      </c>
      <c r="J903" s="54">
        <v>54654</v>
      </c>
      <c r="K903" s="1">
        <v>0</v>
      </c>
      <c r="L903" t="s">
        <v>19</v>
      </c>
      <c r="M903" t="s">
        <v>39</v>
      </c>
      <c r="N903" s="6" t="s">
        <v>21</v>
      </c>
      <c r="O903" s="54">
        <f>TBL_Employees3[[#This Row],[Annual Salary]]+TBL_Employees3[[#This Row],[Bonus %]]*TBL_Employees3[[#This Row],[Annual Salary]]</f>
        <v>54654</v>
      </c>
      <c r="P903" t="str">
        <f>IF(AND(TBL_Employees3[[#This Row],[Department]]="IT",TBL_Employees3[[#This Row],[Gender]]="Female"),"Yes","No")</f>
        <v>No</v>
      </c>
      <c r="Q903" t="str">
        <f>IF(AND(TBL_Employees3[[#This Row],[Gender]]="Female",TBL_Employees3[[#This Row],[Ethnicity]]="Black"), "Female_Black", "Others")</f>
        <v>Others</v>
      </c>
    </row>
    <row r="904" spans="1:17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6">
        <v>36062</v>
      </c>
      <c r="J904" s="54">
        <v>58006</v>
      </c>
      <c r="K904" s="1">
        <v>0</v>
      </c>
      <c r="L904" t="s">
        <v>19</v>
      </c>
      <c r="M904" t="s">
        <v>63</v>
      </c>
      <c r="N904" s="6" t="s">
        <v>21</v>
      </c>
      <c r="O904" s="54">
        <f>TBL_Employees3[[#This Row],[Annual Salary]]+TBL_Employees3[[#This Row],[Bonus %]]*TBL_Employees3[[#This Row],[Annual Salary]]</f>
        <v>58006</v>
      </c>
      <c r="P904" t="str">
        <f>IF(AND(TBL_Employees3[[#This Row],[Department]]="IT",TBL_Employees3[[#This Row],[Gender]]="Female"),"Yes","No")</f>
        <v>No</v>
      </c>
      <c r="Q904" t="str">
        <f>IF(AND(TBL_Employees3[[#This Row],[Gender]]="Female",TBL_Employees3[[#This Row],[Ethnicity]]="Black"), "Female_Black", "Others")</f>
        <v>Others</v>
      </c>
    </row>
    <row r="905" spans="1:17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6">
        <v>40620</v>
      </c>
      <c r="J905" s="54">
        <v>150034</v>
      </c>
      <c r="K905" s="1">
        <v>0.12</v>
      </c>
      <c r="L905" t="s">
        <v>33</v>
      </c>
      <c r="M905" t="s">
        <v>60</v>
      </c>
      <c r="N905" s="6" t="s">
        <v>21</v>
      </c>
      <c r="O905" s="54">
        <f>TBL_Employees3[[#This Row],[Annual Salary]]+TBL_Employees3[[#This Row],[Bonus %]]*TBL_Employees3[[#This Row],[Annual Salary]]</f>
        <v>168038.08</v>
      </c>
      <c r="P905" t="str">
        <f>IF(AND(TBL_Employees3[[#This Row],[Department]]="IT",TBL_Employees3[[#This Row],[Gender]]="Female"),"Yes","No")</f>
        <v>No</v>
      </c>
      <c r="Q905" t="str">
        <f>IF(AND(TBL_Employees3[[#This Row],[Gender]]="Female",TBL_Employees3[[#This Row],[Ethnicity]]="Black"), "Female_Black", "Others")</f>
        <v>Others</v>
      </c>
    </row>
    <row r="906" spans="1:17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6">
        <v>39232</v>
      </c>
      <c r="J906" s="54">
        <v>198562</v>
      </c>
      <c r="K906" s="1">
        <v>0.22</v>
      </c>
      <c r="L906" t="s">
        <v>19</v>
      </c>
      <c r="M906" t="s">
        <v>63</v>
      </c>
      <c r="N906" s="6" t="s">
        <v>21</v>
      </c>
      <c r="O906" s="54">
        <f>TBL_Employees3[[#This Row],[Annual Salary]]+TBL_Employees3[[#This Row],[Bonus %]]*TBL_Employees3[[#This Row],[Annual Salary]]</f>
        <v>242245.64</v>
      </c>
      <c r="P906" t="str">
        <f>IF(AND(TBL_Employees3[[#This Row],[Department]]="IT",TBL_Employees3[[#This Row],[Gender]]="Female"),"Yes","No")</f>
        <v>No</v>
      </c>
      <c r="Q906" t="str">
        <f>IF(AND(TBL_Employees3[[#This Row],[Gender]]="Female",TBL_Employees3[[#This Row],[Ethnicity]]="Black"), "Female_Black", "Others")</f>
        <v>Others</v>
      </c>
    </row>
    <row r="907" spans="1:17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6">
        <v>39960</v>
      </c>
      <c r="J907" s="54">
        <v>62411</v>
      </c>
      <c r="K907" s="1">
        <v>0</v>
      </c>
      <c r="L907" t="s">
        <v>19</v>
      </c>
      <c r="M907" t="s">
        <v>45</v>
      </c>
      <c r="N907" s="6">
        <v>44422</v>
      </c>
      <c r="O907" s="54">
        <f>TBL_Employees3[[#This Row],[Annual Salary]]+TBL_Employees3[[#This Row],[Bonus %]]*TBL_Employees3[[#This Row],[Annual Salary]]</f>
        <v>62411</v>
      </c>
      <c r="P907" t="str">
        <f>IF(AND(TBL_Employees3[[#This Row],[Department]]="IT",TBL_Employees3[[#This Row],[Gender]]="Female"),"Yes","No")</f>
        <v>No</v>
      </c>
      <c r="Q907" t="str">
        <f>IF(AND(TBL_Employees3[[#This Row],[Gender]]="Female",TBL_Employees3[[#This Row],[Ethnicity]]="Black"), "Female_Black", "Others")</f>
        <v>Female_Black</v>
      </c>
    </row>
    <row r="908" spans="1:17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6">
        <v>33612</v>
      </c>
      <c r="J908" s="54">
        <v>111299</v>
      </c>
      <c r="K908" s="1">
        <v>0.12</v>
      </c>
      <c r="L908" t="s">
        <v>19</v>
      </c>
      <c r="M908" t="s">
        <v>45</v>
      </c>
      <c r="N908" s="6" t="s">
        <v>21</v>
      </c>
      <c r="O908" s="54">
        <f>TBL_Employees3[[#This Row],[Annual Salary]]+TBL_Employees3[[#This Row],[Bonus %]]*TBL_Employees3[[#This Row],[Annual Salary]]</f>
        <v>124654.88</v>
      </c>
      <c r="P908" t="str">
        <f>IF(AND(TBL_Employees3[[#This Row],[Department]]="IT",TBL_Employees3[[#This Row],[Gender]]="Female"),"Yes","No")</f>
        <v>No</v>
      </c>
      <c r="Q908" t="str">
        <f>IF(AND(TBL_Employees3[[#This Row],[Gender]]="Female",TBL_Employees3[[#This Row],[Ethnicity]]="Black"), "Female_Black", "Others")</f>
        <v>Others</v>
      </c>
    </row>
    <row r="909" spans="1:17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6">
        <v>43659</v>
      </c>
      <c r="J909" s="54">
        <v>41545</v>
      </c>
      <c r="K909" s="1">
        <v>0</v>
      </c>
      <c r="L909" t="s">
        <v>19</v>
      </c>
      <c r="M909" t="s">
        <v>45</v>
      </c>
      <c r="N909" s="6" t="s">
        <v>21</v>
      </c>
      <c r="O909" s="54">
        <f>TBL_Employees3[[#This Row],[Annual Salary]]+TBL_Employees3[[#This Row],[Bonus %]]*TBL_Employees3[[#This Row],[Annual Salary]]</f>
        <v>41545</v>
      </c>
      <c r="P909" t="str">
        <f>IF(AND(TBL_Employees3[[#This Row],[Department]]="IT",TBL_Employees3[[#This Row],[Gender]]="Female"),"Yes","No")</f>
        <v>No</v>
      </c>
      <c r="Q909" t="str">
        <f>IF(AND(TBL_Employees3[[#This Row],[Gender]]="Female",TBL_Employees3[[#This Row],[Ethnicity]]="Black"), "Female_Black", "Others")</f>
        <v>Others</v>
      </c>
    </row>
    <row r="910" spans="1:17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6">
        <v>43569</v>
      </c>
      <c r="J910" s="54">
        <v>74467</v>
      </c>
      <c r="K910" s="1">
        <v>0</v>
      </c>
      <c r="L910" t="s">
        <v>19</v>
      </c>
      <c r="M910" t="s">
        <v>29</v>
      </c>
      <c r="N910" s="6">
        <v>44211</v>
      </c>
      <c r="O910" s="54">
        <f>TBL_Employees3[[#This Row],[Annual Salary]]+TBL_Employees3[[#This Row],[Bonus %]]*TBL_Employees3[[#This Row],[Annual Salary]]</f>
        <v>74467</v>
      </c>
      <c r="P910" t="str">
        <f>IF(AND(TBL_Employees3[[#This Row],[Department]]="IT",TBL_Employees3[[#This Row],[Gender]]="Female"),"Yes","No")</f>
        <v>No</v>
      </c>
      <c r="Q910" t="str">
        <f>IF(AND(TBL_Employees3[[#This Row],[Gender]]="Female",TBL_Employees3[[#This Row],[Ethnicity]]="Black"), "Female_Black", "Others")</f>
        <v>Others</v>
      </c>
    </row>
    <row r="911" spans="1:17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6">
        <v>37296</v>
      </c>
      <c r="J911" s="54">
        <v>117545</v>
      </c>
      <c r="K911" s="1">
        <v>0.06</v>
      </c>
      <c r="L911" t="s">
        <v>19</v>
      </c>
      <c r="M911" t="s">
        <v>39</v>
      </c>
      <c r="N911" s="6" t="s">
        <v>21</v>
      </c>
      <c r="O911" s="54">
        <f>TBL_Employees3[[#This Row],[Annual Salary]]+TBL_Employees3[[#This Row],[Bonus %]]*TBL_Employees3[[#This Row],[Annual Salary]]</f>
        <v>124597.7</v>
      </c>
      <c r="P911" t="str">
        <f>IF(AND(TBL_Employees3[[#This Row],[Department]]="IT",TBL_Employees3[[#This Row],[Gender]]="Female"),"Yes","No")</f>
        <v>No</v>
      </c>
      <c r="Q911" t="str">
        <f>IF(AND(TBL_Employees3[[#This Row],[Gender]]="Female",TBL_Employees3[[#This Row],[Ethnicity]]="Black"), "Female_Black", "Others")</f>
        <v>Others</v>
      </c>
    </row>
    <row r="912" spans="1:17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6">
        <v>40983</v>
      </c>
      <c r="J912" s="54">
        <v>117226</v>
      </c>
      <c r="K912" s="1">
        <v>0.08</v>
      </c>
      <c r="L912" t="s">
        <v>19</v>
      </c>
      <c r="M912" t="s">
        <v>39</v>
      </c>
      <c r="N912" s="6" t="s">
        <v>21</v>
      </c>
      <c r="O912" s="54">
        <f>TBL_Employees3[[#This Row],[Annual Salary]]+TBL_Employees3[[#This Row],[Bonus %]]*TBL_Employees3[[#This Row],[Annual Salary]]</f>
        <v>126604.08</v>
      </c>
      <c r="P912" t="str">
        <f>IF(AND(TBL_Employees3[[#This Row],[Department]]="IT",TBL_Employees3[[#This Row],[Gender]]="Female"),"Yes","No")</f>
        <v>No</v>
      </c>
      <c r="Q912" t="str">
        <f>IF(AND(TBL_Employees3[[#This Row],[Gender]]="Female",TBL_Employees3[[#This Row],[Ethnicity]]="Black"), "Female_Black", "Others")</f>
        <v>Others</v>
      </c>
    </row>
    <row r="913" spans="1:17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6">
        <v>43489</v>
      </c>
      <c r="J913" s="54">
        <v>55767</v>
      </c>
      <c r="K913" s="1">
        <v>0</v>
      </c>
      <c r="L913" t="s">
        <v>19</v>
      </c>
      <c r="M913" t="s">
        <v>39</v>
      </c>
      <c r="N913" s="6" t="s">
        <v>21</v>
      </c>
      <c r="O913" s="54">
        <f>TBL_Employees3[[#This Row],[Annual Salary]]+TBL_Employees3[[#This Row],[Bonus %]]*TBL_Employees3[[#This Row],[Annual Salary]]</f>
        <v>55767</v>
      </c>
      <c r="P913" t="str">
        <f>IF(AND(TBL_Employees3[[#This Row],[Department]]="IT",TBL_Employees3[[#This Row],[Gender]]="Female"),"Yes","No")</f>
        <v>No</v>
      </c>
      <c r="Q913" t="str">
        <f>IF(AND(TBL_Employees3[[#This Row],[Gender]]="Female",TBL_Employees3[[#This Row],[Ethnicity]]="Black"), "Female_Black", "Others")</f>
        <v>Others</v>
      </c>
    </row>
    <row r="914" spans="1:17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6">
        <v>42691</v>
      </c>
      <c r="J914" s="54">
        <v>60930</v>
      </c>
      <c r="K914" s="1">
        <v>0</v>
      </c>
      <c r="L914" t="s">
        <v>19</v>
      </c>
      <c r="M914" t="s">
        <v>25</v>
      </c>
      <c r="N914" s="6" t="s">
        <v>21</v>
      </c>
      <c r="O914" s="54">
        <f>TBL_Employees3[[#This Row],[Annual Salary]]+TBL_Employees3[[#This Row],[Bonus %]]*TBL_Employees3[[#This Row],[Annual Salary]]</f>
        <v>60930</v>
      </c>
      <c r="P914" t="str">
        <f>IF(AND(TBL_Employees3[[#This Row],[Department]]="IT",TBL_Employees3[[#This Row],[Gender]]="Female"),"Yes","No")</f>
        <v>No</v>
      </c>
      <c r="Q914" t="str">
        <f>IF(AND(TBL_Employees3[[#This Row],[Gender]]="Female",TBL_Employees3[[#This Row],[Ethnicity]]="Black"), "Female_Black", "Others")</f>
        <v>Others</v>
      </c>
    </row>
    <row r="915" spans="1:17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6">
        <v>43397</v>
      </c>
      <c r="J915" s="54">
        <v>154973</v>
      </c>
      <c r="K915" s="1">
        <v>0.28999999999999998</v>
      </c>
      <c r="L915" t="s">
        <v>52</v>
      </c>
      <c r="M915" t="s">
        <v>53</v>
      </c>
      <c r="N915" s="6" t="s">
        <v>21</v>
      </c>
      <c r="O915" s="54">
        <f>TBL_Employees3[[#This Row],[Annual Salary]]+TBL_Employees3[[#This Row],[Bonus %]]*TBL_Employees3[[#This Row],[Annual Salary]]</f>
        <v>199915.16999999998</v>
      </c>
      <c r="P915" t="str">
        <f>IF(AND(TBL_Employees3[[#This Row],[Department]]="IT",TBL_Employees3[[#This Row],[Gender]]="Female"),"Yes","No")</f>
        <v>No</v>
      </c>
      <c r="Q915" t="str">
        <f>IF(AND(TBL_Employees3[[#This Row],[Gender]]="Female",TBL_Employees3[[#This Row],[Ethnicity]]="Black"), "Female_Black", "Others")</f>
        <v>Others</v>
      </c>
    </row>
    <row r="916" spans="1:17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6">
        <v>43029</v>
      </c>
      <c r="J916" s="54">
        <v>69332</v>
      </c>
      <c r="K916" s="1">
        <v>0</v>
      </c>
      <c r="L916" t="s">
        <v>19</v>
      </c>
      <c r="M916" t="s">
        <v>29</v>
      </c>
      <c r="N916" s="6" t="s">
        <v>21</v>
      </c>
      <c r="O916" s="54">
        <f>TBL_Employees3[[#This Row],[Annual Salary]]+TBL_Employees3[[#This Row],[Bonus %]]*TBL_Employees3[[#This Row],[Annual Salary]]</f>
        <v>69332</v>
      </c>
      <c r="P916" t="str">
        <f>IF(AND(TBL_Employees3[[#This Row],[Department]]="IT",TBL_Employees3[[#This Row],[Gender]]="Female"),"Yes","No")</f>
        <v>Yes</v>
      </c>
      <c r="Q916" t="str">
        <f>IF(AND(TBL_Employees3[[#This Row],[Gender]]="Female",TBL_Employees3[[#This Row],[Ethnicity]]="Black"), "Female_Black", "Others")</f>
        <v>Others</v>
      </c>
    </row>
    <row r="917" spans="1:17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6">
        <v>36990</v>
      </c>
      <c r="J917" s="54">
        <v>119699</v>
      </c>
      <c r="K917" s="1">
        <v>0</v>
      </c>
      <c r="L917" t="s">
        <v>33</v>
      </c>
      <c r="M917" t="s">
        <v>74</v>
      </c>
      <c r="N917" s="6" t="s">
        <v>21</v>
      </c>
      <c r="O917" s="54">
        <f>TBL_Employees3[[#This Row],[Annual Salary]]+TBL_Employees3[[#This Row],[Bonus %]]*TBL_Employees3[[#This Row],[Annual Salary]]</f>
        <v>119699</v>
      </c>
      <c r="P917" t="str">
        <f>IF(AND(TBL_Employees3[[#This Row],[Department]]="IT",TBL_Employees3[[#This Row],[Gender]]="Female"),"Yes","No")</f>
        <v>No</v>
      </c>
      <c r="Q917" t="str">
        <f>IF(AND(TBL_Employees3[[#This Row],[Gender]]="Female",TBL_Employees3[[#This Row],[Ethnicity]]="Black"), "Female_Black", "Others")</f>
        <v>Others</v>
      </c>
    </row>
    <row r="918" spans="1:17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6">
        <v>44094</v>
      </c>
      <c r="J918" s="54">
        <v>198176</v>
      </c>
      <c r="K918" s="1">
        <v>0.17</v>
      </c>
      <c r="L918" t="s">
        <v>52</v>
      </c>
      <c r="M918" t="s">
        <v>81</v>
      </c>
      <c r="N918" s="6" t="s">
        <v>21</v>
      </c>
      <c r="O918" s="54">
        <f>TBL_Employees3[[#This Row],[Annual Salary]]+TBL_Employees3[[#This Row],[Bonus %]]*TBL_Employees3[[#This Row],[Annual Salary]]</f>
        <v>231865.92</v>
      </c>
      <c r="P918" t="str">
        <f>IF(AND(TBL_Employees3[[#This Row],[Department]]="IT",TBL_Employees3[[#This Row],[Gender]]="Female"),"Yes","No")</f>
        <v>No</v>
      </c>
      <c r="Q918" t="str">
        <f>IF(AND(TBL_Employees3[[#This Row],[Gender]]="Female",TBL_Employees3[[#This Row],[Ethnicity]]="Black"), "Female_Black", "Others")</f>
        <v>Others</v>
      </c>
    </row>
    <row r="919" spans="1:17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6">
        <v>41127</v>
      </c>
      <c r="J919" s="54">
        <v>58586</v>
      </c>
      <c r="K919" s="1">
        <v>0</v>
      </c>
      <c r="L919" t="s">
        <v>52</v>
      </c>
      <c r="M919" t="s">
        <v>53</v>
      </c>
      <c r="N919" s="6" t="s">
        <v>21</v>
      </c>
      <c r="O919" s="54">
        <f>TBL_Employees3[[#This Row],[Annual Salary]]+TBL_Employees3[[#This Row],[Bonus %]]*TBL_Employees3[[#This Row],[Annual Salary]]</f>
        <v>58586</v>
      </c>
      <c r="P919" t="str">
        <f>IF(AND(TBL_Employees3[[#This Row],[Department]]="IT",TBL_Employees3[[#This Row],[Gender]]="Female"),"Yes","No")</f>
        <v>No</v>
      </c>
      <c r="Q919" t="str">
        <f>IF(AND(TBL_Employees3[[#This Row],[Gender]]="Female",TBL_Employees3[[#This Row],[Ethnicity]]="Black"), "Female_Black", "Others")</f>
        <v>Others</v>
      </c>
    </row>
    <row r="920" spans="1:17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6">
        <v>40875</v>
      </c>
      <c r="J920" s="54">
        <v>74010</v>
      </c>
      <c r="K920" s="1">
        <v>0</v>
      </c>
      <c r="L920" t="s">
        <v>19</v>
      </c>
      <c r="M920" t="s">
        <v>20</v>
      </c>
      <c r="N920" s="6" t="s">
        <v>21</v>
      </c>
      <c r="O920" s="54">
        <f>TBL_Employees3[[#This Row],[Annual Salary]]+TBL_Employees3[[#This Row],[Bonus %]]*TBL_Employees3[[#This Row],[Annual Salary]]</f>
        <v>74010</v>
      </c>
      <c r="P920" t="str">
        <f>IF(AND(TBL_Employees3[[#This Row],[Department]]="IT",TBL_Employees3[[#This Row],[Gender]]="Female"),"Yes","No")</f>
        <v>No</v>
      </c>
      <c r="Q920" t="str">
        <f>IF(AND(TBL_Employees3[[#This Row],[Gender]]="Female",TBL_Employees3[[#This Row],[Ethnicity]]="Black"), "Female_Black", "Others")</f>
        <v>Others</v>
      </c>
    </row>
    <row r="921" spans="1:17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6">
        <v>43864</v>
      </c>
      <c r="J921" s="54">
        <v>96598</v>
      </c>
      <c r="K921" s="1">
        <v>0</v>
      </c>
      <c r="L921" t="s">
        <v>19</v>
      </c>
      <c r="M921" t="s">
        <v>39</v>
      </c>
      <c r="N921" s="6" t="s">
        <v>21</v>
      </c>
      <c r="O921" s="54">
        <f>TBL_Employees3[[#This Row],[Annual Salary]]+TBL_Employees3[[#This Row],[Bonus %]]*TBL_Employees3[[#This Row],[Annual Salary]]</f>
        <v>96598</v>
      </c>
      <c r="P921" t="str">
        <f>IF(AND(TBL_Employees3[[#This Row],[Department]]="IT",TBL_Employees3[[#This Row],[Gender]]="Female"),"Yes","No")</f>
        <v>No</v>
      </c>
      <c r="Q921" t="str">
        <f>IF(AND(TBL_Employees3[[#This Row],[Gender]]="Female",TBL_Employees3[[#This Row],[Ethnicity]]="Black"), "Female_Black", "Others")</f>
        <v>Others</v>
      </c>
    </row>
    <row r="922" spans="1:17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6">
        <v>37762</v>
      </c>
      <c r="J922" s="54">
        <v>106444</v>
      </c>
      <c r="K922" s="1">
        <v>0.05</v>
      </c>
      <c r="L922" t="s">
        <v>19</v>
      </c>
      <c r="M922" t="s">
        <v>39</v>
      </c>
      <c r="N922" s="6" t="s">
        <v>21</v>
      </c>
      <c r="O922" s="54">
        <f>TBL_Employees3[[#This Row],[Annual Salary]]+TBL_Employees3[[#This Row],[Bonus %]]*TBL_Employees3[[#This Row],[Annual Salary]]</f>
        <v>111766.2</v>
      </c>
      <c r="P922" t="str">
        <f>IF(AND(TBL_Employees3[[#This Row],[Department]]="IT",TBL_Employees3[[#This Row],[Gender]]="Female"),"Yes","No")</f>
        <v>No</v>
      </c>
      <c r="Q922" t="str">
        <f>IF(AND(TBL_Employees3[[#This Row],[Gender]]="Female",TBL_Employees3[[#This Row],[Ethnicity]]="Black"), "Female_Black", "Others")</f>
        <v>Others</v>
      </c>
    </row>
    <row r="923" spans="1:17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6">
        <v>42957</v>
      </c>
      <c r="J923" s="54">
        <v>156931</v>
      </c>
      <c r="K923" s="1">
        <v>0.28000000000000003</v>
      </c>
      <c r="L923" t="s">
        <v>19</v>
      </c>
      <c r="M923" t="s">
        <v>63</v>
      </c>
      <c r="N923" s="6" t="s">
        <v>21</v>
      </c>
      <c r="O923" s="54">
        <f>TBL_Employees3[[#This Row],[Annual Salary]]+TBL_Employees3[[#This Row],[Bonus %]]*TBL_Employees3[[#This Row],[Annual Salary]]</f>
        <v>200871.67999999999</v>
      </c>
      <c r="P923" t="str">
        <f>IF(AND(TBL_Employees3[[#This Row],[Department]]="IT",TBL_Employees3[[#This Row],[Gender]]="Female"),"Yes","No")</f>
        <v>No</v>
      </c>
      <c r="Q923" t="str">
        <f>IF(AND(TBL_Employees3[[#This Row],[Gender]]="Female",TBL_Employees3[[#This Row],[Ethnicity]]="Black"), "Female_Black", "Others")</f>
        <v>Others</v>
      </c>
    </row>
    <row r="924" spans="1:17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6">
        <v>41928</v>
      </c>
      <c r="J924" s="54">
        <v>171360</v>
      </c>
      <c r="K924" s="1">
        <v>0.23</v>
      </c>
      <c r="L924" t="s">
        <v>52</v>
      </c>
      <c r="M924" t="s">
        <v>81</v>
      </c>
      <c r="N924" s="6" t="s">
        <v>21</v>
      </c>
      <c r="O924" s="54">
        <f>TBL_Employees3[[#This Row],[Annual Salary]]+TBL_Employees3[[#This Row],[Bonus %]]*TBL_Employees3[[#This Row],[Annual Salary]]</f>
        <v>210772.8</v>
      </c>
      <c r="P924" t="str">
        <f>IF(AND(TBL_Employees3[[#This Row],[Department]]="IT",TBL_Employees3[[#This Row],[Gender]]="Female"),"Yes","No")</f>
        <v>No</v>
      </c>
      <c r="Q924" t="str">
        <f>IF(AND(TBL_Employees3[[#This Row],[Gender]]="Female",TBL_Employees3[[#This Row],[Ethnicity]]="Black"), "Female_Black", "Others")</f>
        <v>Others</v>
      </c>
    </row>
    <row r="925" spans="1:17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6">
        <v>39908</v>
      </c>
      <c r="J925" s="54">
        <v>64505</v>
      </c>
      <c r="K925" s="1">
        <v>0</v>
      </c>
      <c r="L925" t="s">
        <v>19</v>
      </c>
      <c r="M925" t="s">
        <v>45</v>
      </c>
      <c r="N925" s="6" t="s">
        <v>21</v>
      </c>
      <c r="O925" s="54">
        <f>TBL_Employees3[[#This Row],[Annual Salary]]+TBL_Employees3[[#This Row],[Bonus %]]*TBL_Employees3[[#This Row],[Annual Salary]]</f>
        <v>64505</v>
      </c>
      <c r="P925" t="str">
        <f>IF(AND(TBL_Employees3[[#This Row],[Department]]="IT",TBL_Employees3[[#This Row],[Gender]]="Female"),"Yes","No")</f>
        <v>Yes</v>
      </c>
      <c r="Q925" t="str">
        <f>IF(AND(TBL_Employees3[[#This Row],[Gender]]="Female",TBL_Employees3[[#This Row],[Ethnicity]]="Black"), "Female_Black", "Others")</f>
        <v>Others</v>
      </c>
    </row>
    <row r="926" spans="1:17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6">
        <v>44478</v>
      </c>
      <c r="J926" s="54">
        <v>102298</v>
      </c>
      <c r="K926" s="1">
        <v>0.13</v>
      </c>
      <c r="L926" t="s">
        <v>52</v>
      </c>
      <c r="M926" t="s">
        <v>66</v>
      </c>
      <c r="N926" s="6" t="s">
        <v>21</v>
      </c>
      <c r="O926" s="54">
        <f>TBL_Employees3[[#This Row],[Annual Salary]]+TBL_Employees3[[#This Row],[Bonus %]]*TBL_Employees3[[#This Row],[Annual Salary]]</f>
        <v>115596.74</v>
      </c>
      <c r="P926" t="str">
        <f>IF(AND(TBL_Employees3[[#This Row],[Department]]="IT",TBL_Employees3[[#This Row],[Gender]]="Female"),"Yes","No")</f>
        <v>No</v>
      </c>
      <c r="Q926" t="str">
        <f>IF(AND(TBL_Employees3[[#This Row],[Gender]]="Female",TBL_Employees3[[#This Row],[Ethnicity]]="Black"), "Female_Black", "Others")</f>
        <v>Others</v>
      </c>
    </row>
    <row r="927" spans="1:17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6">
        <v>43721</v>
      </c>
      <c r="J927" s="54">
        <v>133297</v>
      </c>
      <c r="K927" s="1">
        <v>0.13</v>
      </c>
      <c r="L927" t="s">
        <v>52</v>
      </c>
      <c r="M927" t="s">
        <v>66</v>
      </c>
      <c r="N927" s="6" t="s">
        <v>21</v>
      </c>
      <c r="O927" s="54">
        <f>TBL_Employees3[[#This Row],[Annual Salary]]+TBL_Employees3[[#This Row],[Bonus %]]*TBL_Employees3[[#This Row],[Annual Salary]]</f>
        <v>150625.60999999999</v>
      </c>
      <c r="P927" t="str">
        <f>IF(AND(TBL_Employees3[[#This Row],[Department]]="IT",TBL_Employees3[[#This Row],[Gender]]="Female"),"Yes","No")</f>
        <v>No</v>
      </c>
      <c r="Q927" t="str">
        <f>IF(AND(TBL_Employees3[[#This Row],[Gender]]="Female",TBL_Employees3[[#This Row],[Ethnicity]]="Black"), "Female_Black", "Others")</f>
        <v>Others</v>
      </c>
    </row>
    <row r="928" spans="1:17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6">
        <v>44272</v>
      </c>
      <c r="J928" s="54">
        <v>155080</v>
      </c>
      <c r="K928" s="1">
        <v>0.1</v>
      </c>
      <c r="L928" t="s">
        <v>19</v>
      </c>
      <c r="M928" t="s">
        <v>25</v>
      </c>
      <c r="N928" s="6" t="s">
        <v>21</v>
      </c>
      <c r="O928" s="54">
        <f>TBL_Employees3[[#This Row],[Annual Salary]]+TBL_Employees3[[#This Row],[Bonus %]]*TBL_Employees3[[#This Row],[Annual Salary]]</f>
        <v>170588</v>
      </c>
      <c r="P928" t="str">
        <f>IF(AND(TBL_Employees3[[#This Row],[Department]]="IT",TBL_Employees3[[#This Row],[Gender]]="Female"),"Yes","No")</f>
        <v>No</v>
      </c>
      <c r="Q928" t="str">
        <f>IF(AND(TBL_Employees3[[#This Row],[Gender]]="Female",TBL_Employees3[[#This Row],[Ethnicity]]="Black"), "Female_Black", "Others")</f>
        <v>Female_Black</v>
      </c>
    </row>
    <row r="929" spans="1:17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6">
        <v>43325</v>
      </c>
      <c r="J929" s="54">
        <v>81828</v>
      </c>
      <c r="K929" s="1">
        <v>0</v>
      </c>
      <c r="L929" t="s">
        <v>19</v>
      </c>
      <c r="M929" t="s">
        <v>45</v>
      </c>
      <c r="N929" s="6" t="s">
        <v>21</v>
      </c>
      <c r="O929" s="54">
        <f>TBL_Employees3[[#This Row],[Annual Salary]]+TBL_Employees3[[#This Row],[Bonus %]]*TBL_Employees3[[#This Row],[Annual Salary]]</f>
        <v>81828</v>
      </c>
      <c r="P929" t="str">
        <f>IF(AND(TBL_Employees3[[#This Row],[Department]]="IT",TBL_Employees3[[#This Row],[Gender]]="Female"),"Yes","No")</f>
        <v>No</v>
      </c>
      <c r="Q929" t="str">
        <f>IF(AND(TBL_Employees3[[#This Row],[Gender]]="Female",TBL_Employees3[[#This Row],[Ethnicity]]="Black"), "Female_Black", "Others")</f>
        <v>Others</v>
      </c>
    </row>
    <row r="930" spans="1:17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6">
        <v>36823</v>
      </c>
      <c r="J930" s="54">
        <v>149417</v>
      </c>
      <c r="K930" s="1">
        <v>0.13</v>
      </c>
      <c r="L930" t="s">
        <v>33</v>
      </c>
      <c r="M930" t="s">
        <v>34</v>
      </c>
      <c r="N930" s="6" t="s">
        <v>21</v>
      </c>
      <c r="O930" s="54">
        <f>TBL_Employees3[[#This Row],[Annual Salary]]+TBL_Employees3[[#This Row],[Bonus %]]*TBL_Employees3[[#This Row],[Annual Salary]]</f>
        <v>168841.21</v>
      </c>
      <c r="P930" t="str">
        <f>IF(AND(TBL_Employees3[[#This Row],[Department]]="IT",TBL_Employees3[[#This Row],[Gender]]="Female"),"Yes","No")</f>
        <v>No</v>
      </c>
      <c r="Q930" t="str">
        <f>IF(AND(TBL_Employees3[[#This Row],[Gender]]="Female",TBL_Employees3[[#This Row],[Ethnicity]]="Black"), "Female_Black", "Others")</f>
        <v>Others</v>
      </c>
    </row>
    <row r="931" spans="1:17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6">
        <v>41024</v>
      </c>
      <c r="J931" s="54">
        <v>113269</v>
      </c>
      <c r="K931" s="1">
        <v>0.09</v>
      </c>
      <c r="L931" t="s">
        <v>52</v>
      </c>
      <c r="M931" t="s">
        <v>53</v>
      </c>
      <c r="N931" s="6" t="s">
        <v>21</v>
      </c>
      <c r="O931" s="54">
        <f>TBL_Employees3[[#This Row],[Annual Salary]]+TBL_Employees3[[#This Row],[Bonus %]]*TBL_Employees3[[#This Row],[Annual Salary]]</f>
        <v>123463.20999999999</v>
      </c>
      <c r="P931" t="str">
        <f>IF(AND(TBL_Employees3[[#This Row],[Department]]="IT",TBL_Employees3[[#This Row],[Gender]]="Female"),"Yes","No")</f>
        <v>No</v>
      </c>
      <c r="Q931" t="str">
        <f>IF(AND(TBL_Employees3[[#This Row],[Gender]]="Female",TBL_Employees3[[#This Row],[Ethnicity]]="Black"), "Female_Black", "Others")</f>
        <v>Others</v>
      </c>
    </row>
    <row r="932" spans="1:17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6">
        <v>43085</v>
      </c>
      <c r="J932" s="54">
        <v>136716</v>
      </c>
      <c r="K932" s="1">
        <v>0.12</v>
      </c>
      <c r="L932" t="s">
        <v>19</v>
      </c>
      <c r="M932" t="s">
        <v>25</v>
      </c>
      <c r="N932" s="6" t="s">
        <v>21</v>
      </c>
      <c r="O932" s="54">
        <f>TBL_Employees3[[#This Row],[Annual Salary]]+TBL_Employees3[[#This Row],[Bonus %]]*TBL_Employees3[[#This Row],[Annual Salary]]</f>
        <v>153121.91999999998</v>
      </c>
      <c r="P932" t="str">
        <f>IF(AND(TBL_Employees3[[#This Row],[Department]]="IT",TBL_Employees3[[#This Row],[Gender]]="Female"),"Yes","No")</f>
        <v>No</v>
      </c>
      <c r="Q932" t="str">
        <f>IF(AND(TBL_Employees3[[#This Row],[Gender]]="Female",TBL_Employees3[[#This Row],[Ethnicity]]="Black"), "Female_Black", "Others")</f>
        <v>Others</v>
      </c>
    </row>
    <row r="933" spans="1:17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6">
        <v>40836</v>
      </c>
      <c r="J933" s="54">
        <v>122644</v>
      </c>
      <c r="K933" s="1">
        <v>0.12</v>
      </c>
      <c r="L933" t="s">
        <v>19</v>
      </c>
      <c r="M933" t="s">
        <v>25</v>
      </c>
      <c r="N933" s="6" t="s">
        <v>21</v>
      </c>
      <c r="O933" s="54">
        <f>TBL_Employees3[[#This Row],[Annual Salary]]+TBL_Employees3[[#This Row],[Bonus %]]*TBL_Employees3[[#This Row],[Annual Salary]]</f>
        <v>137361.28</v>
      </c>
      <c r="P933" t="str">
        <f>IF(AND(TBL_Employees3[[#This Row],[Department]]="IT",TBL_Employees3[[#This Row],[Gender]]="Female"),"Yes","No")</f>
        <v>No</v>
      </c>
      <c r="Q933" t="str">
        <f>IF(AND(TBL_Employees3[[#This Row],[Gender]]="Female",TBL_Employees3[[#This Row],[Ethnicity]]="Black"), "Female_Black", "Others")</f>
        <v>Others</v>
      </c>
    </row>
    <row r="934" spans="1:17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6">
        <v>36653</v>
      </c>
      <c r="J934" s="54">
        <v>106428</v>
      </c>
      <c r="K934" s="1">
        <v>7.0000000000000007E-2</v>
      </c>
      <c r="L934" t="s">
        <v>19</v>
      </c>
      <c r="M934" t="s">
        <v>20</v>
      </c>
      <c r="N934" s="6" t="s">
        <v>21</v>
      </c>
      <c r="O934" s="54">
        <f>TBL_Employees3[[#This Row],[Annual Salary]]+TBL_Employees3[[#This Row],[Bonus %]]*TBL_Employees3[[#This Row],[Annual Salary]]</f>
        <v>113877.96</v>
      </c>
      <c r="P934" t="str">
        <f>IF(AND(TBL_Employees3[[#This Row],[Department]]="IT",TBL_Employees3[[#This Row],[Gender]]="Female"),"Yes","No")</f>
        <v>No</v>
      </c>
      <c r="Q934" t="str">
        <f>IF(AND(TBL_Employees3[[#This Row],[Gender]]="Female",TBL_Employees3[[#This Row],[Ethnicity]]="Black"), "Female_Black", "Others")</f>
        <v>Others</v>
      </c>
    </row>
    <row r="935" spans="1:17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6">
        <v>39830</v>
      </c>
      <c r="J935" s="54">
        <v>238236</v>
      </c>
      <c r="K935" s="1">
        <v>0.31</v>
      </c>
      <c r="L935" t="s">
        <v>19</v>
      </c>
      <c r="M935" t="s">
        <v>63</v>
      </c>
      <c r="N935" s="6" t="s">
        <v>21</v>
      </c>
      <c r="O935" s="54">
        <f>TBL_Employees3[[#This Row],[Annual Salary]]+TBL_Employees3[[#This Row],[Bonus %]]*TBL_Employees3[[#This Row],[Annual Salary]]</f>
        <v>312089.16000000003</v>
      </c>
      <c r="P935" t="str">
        <f>IF(AND(TBL_Employees3[[#This Row],[Department]]="IT",TBL_Employees3[[#This Row],[Gender]]="Female"),"Yes","No")</f>
        <v>No</v>
      </c>
      <c r="Q935" t="str">
        <f>IF(AND(TBL_Employees3[[#This Row],[Gender]]="Female",TBL_Employees3[[#This Row],[Ethnicity]]="Black"), "Female_Black", "Others")</f>
        <v>Others</v>
      </c>
    </row>
    <row r="936" spans="1:17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6">
        <v>41264</v>
      </c>
      <c r="J936" s="54">
        <v>153253</v>
      </c>
      <c r="K936" s="1">
        <v>0.24</v>
      </c>
      <c r="L936" t="s">
        <v>19</v>
      </c>
      <c r="M936" t="s">
        <v>25</v>
      </c>
      <c r="N936" s="6" t="s">
        <v>21</v>
      </c>
      <c r="O936" s="54">
        <f>TBL_Employees3[[#This Row],[Annual Salary]]+TBL_Employees3[[#This Row],[Bonus %]]*TBL_Employees3[[#This Row],[Annual Salary]]</f>
        <v>190033.72</v>
      </c>
      <c r="P936" t="str">
        <f>IF(AND(TBL_Employees3[[#This Row],[Department]]="IT",TBL_Employees3[[#This Row],[Gender]]="Female"),"Yes","No")</f>
        <v>No</v>
      </c>
      <c r="Q936" t="str">
        <f>IF(AND(TBL_Employees3[[#This Row],[Gender]]="Female",TBL_Employees3[[#This Row],[Ethnicity]]="Black"), "Female_Black", "Others")</f>
        <v>Others</v>
      </c>
    </row>
    <row r="937" spans="1:17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6">
        <v>41915</v>
      </c>
      <c r="J937" s="54">
        <v>103707</v>
      </c>
      <c r="K937" s="1">
        <v>0.09</v>
      </c>
      <c r="L937" t="s">
        <v>19</v>
      </c>
      <c r="M937" t="s">
        <v>29</v>
      </c>
      <c r="N937" s="6" t="s">
        <v>21</v>
      </c>
      <c r="O937" s="54">
        <f>TBL_Employees3[[#This Row],[Annual Salary]]+TBL_Employees3[[#This Row],[Bonus %]]*TBL_Employees3[[#This Row],[Annual Salary]]</f>
        <v>113040.63</v>
      </c>
      <c r="P937" t="str">
        <f>IF(AND(TBL_Employees3[[#This Row],[Department]]="IT",TBL_Employees3[[#This Row],[Gender]]="Female"),"Yes","No")</f>
        <v>No</v>
      </c>
      <c r="Q937" t="str">
        <f>IF(AND(TBL_Employees3[[#This Row],[Gender]]="Female",TBL_Employees3[[#This Row],[Ethnicity]]="Black"), "Female_Black", "Others")</f>
        <v>Others</v>
      </c>
    </row>
    <row r="938" spans="1:17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6">
        <v>41130</v>
      </c>
      <c r="J938" s="54">
        <v>245360</v>
      </c>
      <c r="K938" s="1">
        <v>0.37</v>
      </c>
      <c r="L938" t="s">
        <v>19</v>
      </c>
      <c r="M938" t="s">
        <v>25</v>
      </c>
      <c r="N938" s="6" t="s">
        <v>21</v>
      </c>
      <c r="O938" s="54">
        <f>TBL_Employees3[[#This Row],[Annual Salary]]+TBL_Employees3[[#This Row],[Bonus %]]*TBL_Employees3[[#This Row],[Annual Salary]]</f>
        <v>336143.2</v>
      </c>
      <c r="P938" t="str">
        <f>IF(AND(TBL_Employees3[[#This Row],[Department]]="IT",TBL_Employees3[[#This Row],[Gender]]="Female"),"Yes","No")</f>
        <v>No</v>
      </c>
      <c r="Q938" t="str">
        <f>IF(AND(TBL_Employees3[[#This Row],[Gender]]="Female",TBL_Employees3[[#This Row],[Ethnicity]]="Black"), "Female_Black", "Others")</f>
        <v>Others</v>
      </c>
    </row>
    <row r="939" spans="1:17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6">
        <v>44385</v>
      </c>
      <c r="J939" s="54">
        <v>67275</v>
      </c>
      <c r="K939" s="1">
        <v>0</v>
      </c>
      <c r="L939" t="s">
        <v>19</v>
      </c>
      <c r="M939" t="s">
        <v>29</v>
      </c>
      <c r="N939" s="6" t="s">
        <v>21</v>
      </c>
      <c r="O939" s="54">
        <f>TBL_Employees3[[#This Row],[Annual Salary]]+TBL_Employees3[[#This Row],[Bonus %]]*TBL_Employees3[[#This Row],[Annual Salary]]</f>
        <v>67275</v>
      </c>
      <c r="P939" t="str">
        <f>IF(AND(TBL_Employees3[[#This Row],[Department]]="IT",TBL_Employees3[[#This Row],[Gender]]="Female"),"Yes","No")</f>
        <v>No</v>
      </c>
      <c r="Q939" t="str">
        <f>IF(AND(TBL_Employees3[[#This Row],[Gender]]="Female",TBL_Employees3[[#This Row],[Ethnicity]]="Black"), "Female_Black", "Others")</f>
        <v>Others</v>
      </c>
    </row>
    <row r="940" spans="1:17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6">
        <v>42026</v>
      </c>
      <c r="J940" s="54">
        <v>101288</v>
      </c>
      <c r="K940" s="1">
        <v>0.1</v>
      </c>
      <c r="L940" t="s">
        <v>19</v>
      </c>
      <c r="M940" t="s">
        <v>39</v>
      </c>
      <c r="N940" s="6" t="s">
        <v>21</v>
      </c>
      <c r="O940" s="54">
        <f>TBL_Employees3[[#This Row],[Annual Salary]]+TBL_Employees3[[#This Row],[Bonus %]]*TBL_Employees3[[#This Row],[Annual Salary]]</f>
        <v>111416.8</v>
      </c>
      <c r="P940" t="str">
        <f>IF(AND(TBL_Employees3[[#This Row],[Department]]="IT",TBL_Employees3[[#This Row],[Gender]]="Female"),"Yes","No")</f>
        <v>No</v>
      </c>
      <c r="Q940" t="str">
        <f>IF(AND(TBL_Employees3[[#This Row],[Gender]]="Female",TBL_Employees3[[#This Row],[Ethnicity]]="Black"), "Female_Black", "Others")</f>
        <v>Others</v>
      </c>
    </row>
    <row r="941" spans="1:17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6">
        <v>34209</v>
      </c>
      <c r="J941" s="54">
        <v>177443</v>
      </c>
      <c r="K941" s="1">
        <v>0.25</v>
      </c>
      <c r="L941" t="s">
        <v>52</v>
      </c>
      <c r="M941" t="s">
        <v>53</v>
      </c>
      <c r="N941" s="6" t="s">
        <v>21</v>
      </c>
      <c r="O941" s="54">
        <f>TBL_Employees3[[#This Row],[Annual Salary]]+TBL_Employees3[[#This Row],[Bonus %]]*TBL_Employees3[[#This Row],[Annual Salary]]</f>
        <v>221803.75</v>
      </c>
      <c r="P941" t="str">
        <f>IF(AND(TBL_Employees3[[#This Row],[Department]]="IT",TBL_Employees3[[#This Row],[Gender]]="Female"),"Yes","No")</f>
        <v>No</v>
      </c>
      <c r="Q941" t="str">
        <f>IF(AND(TBL_Employees3[[#This Row],[Gender]]="Female",TBL_Employees3[[#This Row],[Ethnicity]]="Black"), "Female_Black", "Others")</f>
        <v>Others</v>
      </c>
    </row>
    <row r="942" spans="1:17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6">
        <v>42487</v>
      </c>
      <c r="J942" s="54">
        <v>91400</v>
      </c>
      <c r="K942" s="1">
        <v>0</v>
      </c>
      <c r="L942" t="s">
        <v>19</v>
      </c>
      <c r="M942" t="s">
        <v>20</v>
      </c>
      <c r="N942" s="6" t="s">
        <v>21</v>
      </c>
      <c r="O942" s="54">
        <f>TBL_Employees3[[#This Row],[Annual Salary]]+TBL_Employees3[[#This Row],[Bonus %]]*TBL_Employees3[[#This Row],[Annual Salary]]</f>
        <v>91400</v>
      </c>
      <c r="P942" t="str">
        <f>IF(AND(TBL_Employees3[[#This Row],[Department]]="IT",TBL_Employees3[[#This Row],[Gender]]="Female"),"Yes","No")</f>
        <v>Yes</v>
      </c>
      <c r="Q942" t="str">
        <f>IF(AND(TBL_Employees3[[#This Row],[Gender]]="Female",TBL_Employees3[[#This Row],[Ethnicity]]="Black"), "Female_Black", "Others")</f>
        <v>Female_Black</v>
      </c>
    </row>
    <row r="943" spans="1:17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6">
        <v>39335</v>
      </c>
      <c r="J943" s="54">
        <v>181247</v>
      </c>
      <c r="K943" s="1">
        <v>0.33</v>
      </c>
      <c r="L943" t="s">
        <v>52</v>
      </c>
      <c r="M943" t="s">
        <v>53</v>
      </c>
      <c r="N943" s="6" t="s">
        <v>21</v>
      </c>
      <c r="O943" s="54">
        <f>TBL_Employees3[[#This Row],[Annual Salary]]+TBL_Employees3[[#This Row],[Bonus %]]*TBL_Employees3[[#This Row],[Annual Salary]]</f>
        <v>241058.51</v>
      </c>
      <c r="P943" t="str">
        <f>IF(AND(TBL_Employees3[[#This Row],[Department]]="IT",TBL_Employees3[[#This Row],[Gender]]="Female"),"Yes","No")</f>
        <v>No</v>
      </c>
      <c r="Q943" t="str">
        <f>IF(AND(TBL_Employees3[[#This Row],[Gender]]="Female",TBL_Employees3[[#This Row],[Ethnicity]]="Black"), "Female_Black", "Others")</f>
        <v>Others</v>
      </c>
    </row>
    <row r="944" spans="1:17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6">
        <v>37914</v>
      </c>
      <c r="J944" s="54">
        <v>135558</v>
      </c>
      <c r="K944" s="1">
        <v>0.14000000000000001</v>
      </c>
      <c r="L944" t="s">
        <v>19</v>
      </c>
      <c r="M944" t="s">
        <v>39</v>
      </c>
      <c r="N944" s="6" t="s">
        <v>21</v>
      </c>
      <c r="O944" s="54">
        <f>TBL_Employees3[[#This Row],[Annual Salary]]+TBL_Employees3[[#This Row],[Bonus %]]*TBL_Employees3[[#This Row],[Annual Salary]]</f>
        <v>154536.12</v>
      </c>
      <c r="P944" t="str">
        <f>IF(AND(TBL_Employees3[[#This Row],[Department]]="IT",TBL_Employees3[[#This Row],[Gender]]="Female"),"Yes","No")</f>
        <v>No</v>
      </c>
      <c r="Q944" t="str">
        <f>IF(AND(TBL_Employees3[[#This Row],[Gender]]="Female",TBL_Employees3[[#This Row],[Ethnicity]]="Black"), "Female_Black", "Others")</f>
        <v>Others</v>
      </c>
    </row>
    <row r="945" spans="1:17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6">
        <v>40894</v>
      </c>
      <c r="J945" s="54">
        <v>56878</v>
      </c>
      <c r="K945" s="1">
        <v>0</v>
      </c>
      <c r="L945" t="s">
        <v>19</v>
      </c>
      <c r="M945" t="s">
        <v>63</v>
      </c>
      <c r="N945" s="6" t="s">
        <v>21</v>
      </c>
      <c r="O945" s="54">
        <f>TBL_Employees3[[#This Row],[Annual Salary]]+TBL_Employees3[[#This Row],[Bonus %]]*TBL_Employees3[[#This Row],[Annual Salary]]</f>
        <v>56878</v>
      </c>
      <c r="P945" t="str">
        <f>IF(AND(TBL_Employees3[[#This Row],[Department]]="IT",TBL_Employees3[[#This Row],[Gender]]="Female"),"Yes","No")</f>
        <v>No</v>
      </c>
      <c r="Q945" t="str">
        <f>IF(AND(TBL_Employees3[[#This Row],[Gender]]="Female",TBL_Employees3[[#This Row],[Ethnicity]]="Black"), "Female_Black", "Others")</f>
        <v>Others</v>
      </c>
    </row>
    <row r="946" spans="1:17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6">
        <v>43728</v>
      </c>
      <c r="J946" s="54">
        <v>94735</v>
      </c>
      <c r="K946" s="1">
        <v>0</v>
      </c>
      <c r="L946" t="s">
        <v>33</v>
      </c>
      <c r="M946" t="s">
        <v>60</v>
      </c>
      <c r="N946" s="6" t="s">
        <v>21</v>
      </c>
      <c r="O946" s="54">
        <f>TBL_Employees3[[#This Row],[Annual Salary]]+TBL_Employees3[[#This Row],[Bonus %]]*TBL_Employees3[[#This Row],[Annual Salary]]</f>
        <v>94735</v>
      </c>
      <c r="P946" t="str">
        <f>IF(AND(TBL_Employees3[[#This Row],[Department]]="IT",TBL_Employees3[[#This Row],[Gender]]="Female"),"Yes","No")</f>
        <v>No</v>
      </c>
      <c r="Q946" t="str">
        <f>IF(AND(TBL_Employees3[[#This Row],[Gender]]="Female",TBL_Employees3[[#This Row],[Ethnicity]]="Black"), "Female_Black", "Others")</f>
        <v>Others</v>
      </c>
    </row>
    <row r="947" spans="1:17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6">
        <v>39229</v>
      </c>
      <c r="J947" s="54">
        <v>51234</v>
      </c>
      <c r="K947" s="1">
        <v>0</v>
      </c>
      <c r="L947" t="s">
        <v>19</v>
      </c>
      <c r="M947" t="s">
        <v>63</v>
      </c>
      <c r="N947" s="6" t="s">
        <v>21</v>
      </c>
      <c r="O947" s="54">
        <f>TBL_Employees3[[#This Row],[Annual Salary]]+TBL_Employees3[[#This Row],[Bonus %]]*TBL_Employees3[[#This Row],[Annual Salary]]</f>
        <v>51234</v>
      </c>
      <c r="P947" t="str">
        <f>IF(AND(TBL_Employees3[[#This Row],[Department]]="IT",TBL_Employees3[[#This Row],[Gender]]="Female"),"Yes","No")</f>
        <v>No</v>
      </c>
      <c r="Q947" t="str">
        <f>IF(AND(TBL_Employees3[[#This Row],[Gender]]="Female",TBL_Employees3[[#This Row],[Ethnicity]]="Black"), "Female_Black", "Others")</f>
        <v>Others</v>
      </c>
    </row>
    <row r="948" spans="1:17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6">
        <v>42018</v>
      </c>
      <c r="J948" s="54">
        <v>230025</v>
      </c>
      <c r="K948" s="1">
        <v>0.34</v>
      </c>
      <c r="L948" t="s">
        <v>19</v>
      </c>
      <c r="M948" t="s">
        <v>39</v>
      </c>
      <c r="N948" s="6" t="s">
        <v>21</v>
      </c>
      <c r="O948" s="54">
        <f>TBL_Employees3[[#This Row],[Annual Salary]]+TBL_Employees3[[#This Row],[Bonus %]]*TBL_Employees3[[#This Row],[Annual Salary]]</f>
        <v>308233.5</v>
      </c>
      <c r="P948" t="str">
        <f>IF(AND(TBL_Employees3[[#This Row],[Department]]="IT",TBL_Employees3[[#This Row],[Gender]]="Female"),"Yes","No")</f>
        <v>No</v>
      </c>
      <c r="Q948" t="str">
        <f>IF(AND(TBL_Employees3[[#This Row],[Gender]]="Female",TBL_Employees3[[#This Row],[Ethnicity]]="Black"), "Female_Black", "Others")</f>
        <v>Others</v>
      </c>
    </row>
    <row r="949" spans="1:17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6">
        <v>40248</v>
      </c>
      <c r="J949" s="54">
        <v>134006</v>
      </c>
      <c r="K949" s="1">
        <v>0.13</v>
      </c>
      <c r="L949" t="s">
        <v>33</v>
      </c>
      <c r="M949" t="s">
        <v>60</v>
      </c>
      <c r="N949" s="6" t="s">
        <v>21</v>
      </c>
      <c r="O949" s="54">
        <f>TBL_Employees3[[#This Row],[Annual Salary]]+TBL_Employees3[[#This Row],[Bonus %]]*TBL_Employees3[[#This Row],[Annual Salary]]</f>
        <v>151426.78</v>
      </c>
      <c r="P949" t="str">
        <f>IF(AND(TBL_Employees3[[#This Row],[Department]]="IT",TBL_Employees3[[#This Row],[Gender]]="Female"),"Yes","No")</f>
        <v>No</v>
      </c>
      <c r="Q949" t="str">
        <f>IF(AND(TBL_Employees3[[#This Row],[Gender]]="Female",TBL_Employees3[[#This Row],[Ethnicity]]="Black"), "Female_Black", "Others")</f>
        <v>Others</v>
      </c>
    </row>
    <row r="950" spans="1:17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6">
        <v>40092</v>
      </c>
      <c r="J950" s="54">
        <v>103096</v>
      </c>
      <c r="K950" s="1">
        <v>7.0000000000000007E-2</v>
      </c>
      <c r="L950" t="s">
        <v>33</v>
      </c>
      <c r="M950" t="s">
        <v>60</v>
      </c>
      <c r="N950" s="6" t="s">
        <v>21</v>
      </c>
      <c r="O950" s="54">
        <f>TBL_Employees3[[#This Row],[Annual Salary]]+TBL_Employees3[[#This Row],[Bonus %]]*TBL_Employees3[[#This Row],[Annual Salary]]</f>
        <v>110312.72</v>
      </c>
      <c r="P950" t="str">
        <f>IF(AND(TBL_Employees3[[#This Row],[Department]]="IT",TBL_Employees3[[#This Row],[Gender]]="Female"),"Yes","No")</f>
        <v>No</v>
      </c>
      <c r="Q950" t="str">
        <f>IF(AND(TBL_Employees3[[#This Row],[Gender]]="Female",TBL_Employees3[[#This Row],[Ethnicity]]="Black"), "Female_Black", "Others")</f>
        <v>Others</v>
      </c>
    </row>
    <row r="951" spans="1:17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6">
        <v>42602</v>
      </c>
      <c r="J951" s="54">
        <v>58703</v>
      </c>
      <c r="K951" s="1">
        <v>0</v>
      </c>
      <c r="L951" t="s">
        <v>19</v>
      </c>
      <c r="M951" t="s">
        <v>29</v>
      </c>
      <c r="N951" s="6" t="s">
        <v>21</v>
      </c>
      <c r="O951" s="54">
        <f>TBL_Employees3[[#This Row],[Annual Salary]]+TBL_Employees3[[#This Row],[Bonus %]]*TBL_Employees3[[#This Row],[Annual Salary]]</f>
        <v>58703</v>
      </c>
      <c r="P951" t="str">
        <f>IF(AND(TBL_Employees3[[#This Row],[Department]]="IT",TBL_Employees3[[#This Row],[Gender]]="Female"),"Yes","No")</f>
        <v>No</v>
      </c>
      <c r="Q951" t="str">
        <f>IF(AND(TBL_Employees3[[#This Row],[Gender]]="Female",TBL_Employees3[[#This Row],[Ethnicity]]="Black"), "Female_Black", "Others")</f>
        <v>Others</v>
      </c>
    </row>
    <row r="952" spans="1:17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6">
        <v>41267</v>
      </c>
      <c r="J952" s="54">
        <v>132544</v>
      </c>
      <c r="K952" s="1">
        <v>0.1</v>
      </c>
      <c r="L952" t="s">
        <v>52</v>
      </c>
      <c r="M952" t="s">
        <v>66</v>
      </c>
      <c r="N952" s="6" t="s">
        <v>21</v>
      </c>
      <c r="O952" s="54">
        <f>TBL_Employees3[[#This Row],[Annual Salary]]+TBL_Employees3[[#This Row],[Bonus %]]*TBL_Employees3[[#This Row],[Annual Salary]]</f>
        <v>145798.39999999999</v>
      </c>
      <c r="P952" t="str">
        <f>IF(AND(TBL_Employees3[[#This Row],[Department]]="IT",TBL_Employees3[[#This Row],[Gender]]="Female"),"Yes","No")</f>
        <v>No</v>
      </c>
      <c r="Q952" t="str">
        <f>IF(AND(TBL_Employees3[[#This Row],[Gender]]="Female",TBL_Employees3[[#This Row],[Ethnicity]]="Black"), "Female_Black", "Others")</f>
        <v>Others</v>
      </c>
    </row>
    <row r="953" spans="1:17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6">
        <v>43936</v>
      </c>
      <c r="J953" s="54">
        <v>126671</v>
      </c>
      <c r="K953" s="1">
        <v>0.09</v>
      </c>
      <c r="L953" t="s">
        <v>19</v>
      </c>
      <c r="M953" t="s">
        <v>45</v>
      </c>
      <c r="N953" s="6" t="s">
        <v>21</v>
      </c>
      <c r="O953" s="54">
        <f>TBL_Employees3[[#This Row],[Annual Salary]]+TBL_Employees3[[#This Row],[Bonus %]]*TBL_Employees3[[#This Row],[Annual Salary]]</f>
        <v>138071.39000000001</v>
      </c>
      <c r="P953" t="str">
        <f>IF(AND(TBL_Employees3[[#This Row],[Department]]="IT",TBL_Employees3[[#This Row],[Gender]]="Female"),"Yes","No")</f>
        <v>No</v>
      </c>
      <c r="Q953" t="str">
        <f>IF(AND(TBL_Employees3[[#This Row],[Gender]]="Female",TBL_Employees3[[#This Row],[Ethnicity]]="Black"), "Female_Black", "Others")</f>
        <v>Others</v>
      </c>
    </row>
    <row r="954" spans="1:17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6">
        <v>44218</v>
      </c>
      <c r="J954" s="54">
        <v>56405</v>
      </c>
      <c r="K954" s="1">
        <v>0</v>
      </c>
      <c r="L954" t="s">
        <v>19</v>
      </c>
      <c r="M954" t="s">
        <v>20</v>
      </c>
      <c r="N954" s="6" t="s">
        <v>21</v>
      </c>
      <c r="O954" s="54">
        <f>TBL_Employees3[[#This Row],[Annual Salary]]+TBL_Employees3[[#This Row],[Bonus %]]*TBL_Employees3[[#This Row],[Annual Salary]]</f>
        <v>56405</v>
      </c>
      <c r="P954" t="str">
        <f>IF(AND(TBL_Employees3[[#This Row],[Department]]="IT",TBL_Employees3[[#This Row],[Gender]]="Female"),"Yes","No")</f>
        <v>No</v>
      </c>
      <c r="Q954" t="str">
        <f>IF(AND(TBL_Employees3[[#This Row],[Gender]]="Female",TBL_Employees3[[#This Row],[Ethnicity]]="Black"), "Female_Black", "Others")</f>
        <v>Others</v>
      </c>
    </row>
    <row r="955" spans="1:17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6">
        <v>41972</v>
      </c>
      <c r="J955" s="54">
        <v>88730</v>
      </c>
      <c r="K955" s="1">
        <v>0.08</v>
      </c>
      <c r="L955" t="s">
        <v>33</v>
      </c>
      <c r="M955" t="s">
        <v>80</v>
      </c>
      <c r="N955" s="6" t="s">
        <v>21</v>
      </c>
      <c r="O955" s="54">
        <f>TBL_Employees3[[#This Row],[Annual Salary]]+TBL_Employees3[[#This Row],[Bonus %]]*TBL_Employees3[[#This Row],[Annual Salary]]</f>
        <v>95828.4</v>
      </c>
      <c r="P955" t="str">
        <f>IF(AND(TBL_Employees3[[#This Row],[Department]]="IT",TBL_Employees3[[#This Row],[Gender]]="Female"),"Yes","No")</f>
        <v>Yes</v>
      </c>
      <c r="Q955" t="str">
        <f>IF(AND(TBL_Employees3[[#This Row],[Gender]]="Female",TBL_Employees3[[#This Row],[Ethnicity]]="Black"), "Female_Black", "Others")</f>
        <v>Others</v>
      </c>
    </row>
    <row r="956" spans="1:17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6">
        <v>39708</v>
      </c>
      <c r="J956" s="54">
        <v>62861</v>
      </c>
      <c r="K956" s="1">
        <v>0</v>
      </c>
      <c r="L956" t="s">
        <v>19</v>
      </c>
      <c r="M956" t="s">
        <v>63</v>
      </c>
      <c r="N956" s="6" t="s">
        <v>21</v>
      </c>
      <c r="O956" s="54">
        <f>TBL_Employees3[[#This Row],[Annual Salary]]+TBL_Employees3[[#This Row],[Bonus %]]*TBL_Employees3[[#This Row],[Annual Salary]]</f>
        <v>62861</v>
      </c>
      <c r="P956" t="str">
        <f>IF(AND(TBL_Employees3[[#This Row],[Department]]="IT",TBL_Employees3[[#This Row],[Gender]]="Female"),"Yes","No")</f>
        <v>No</v>
      </c>
      <c r="Q956" t="str">
        <f>IF(AND(TBL_Employees3[[#This Row],[Gender]]="Female",TBL_Employees3[[#This Row],[Ethnicity]]="Black"), "Female_Black", "Others")</f>
        <v>Others</v>
      </c>
    </row>
    <row r="957" spans="1:17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6">
        <v>38919</v>
      </c>
      <c r="J957" s="54">
        <v>151246</v>
      </c>
      <c r="K957" s="1">
        <v>0.21</v>
      </c>
      <c r="L957" t="s">
        <v>52</v>
      </c>
      <c r="M957" t="s">
        <v>53</v>
      </c>
      <c r="N957" s="6" t="s">
        <v>21</v>
      </c>
      <c r="O957" s="54">
        <f>TBL_Employees3[[#This Row],[Annual Salary]]+TBL_Employees3[[#This Row],[Bonus %]]*TBL_Employees3[[#This Row],[Annual Salary]]</f>
        <v>183007.66</v>
      </c>
      <c r="P957" t="str">
        <f>IF(AND(TBL_Employees3[[#This Row],[Department]]="IT",TBL_Employees3[[#This Row],[Gender]]="Female"),"Yes","No")</f>
        <v>No</v>
      </c>
      <c r="Q957" t="str">
        <f>IF(AND(TBL_Employees3[[#This Row],[Gender]]="Female",TBL_Employees3[[#This Row],[Ethnicity]]="Black"), "Female_Black", "Others")</f>
        <v>Others</v>
      </c>
    </row>
    <row r="958" spans="1:17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6">
        <v>35532</v>
      </c>
      <c r="J958" s="54">
        <v>154388</v>
      </c>
      <c r="K958" s="1">
        <v>0.1</v>
      </c>
      <c r="L958" t="s">
        <v>19</v>
      </c>
      <c r="M958" t="s">
        <v>63</v>
      </c>
      <c r="N958" s="6" t="s">
        <v>21</v>
      </c>
      <c r="O958" s="54">
        <f>TBL_Employees3[[#This Row],[Annual Salary]]+TBL_Employees3[[#This Row],[Bonus %]]*TBL_Employees3[[#This Row],[Annual Salary]]</f>
        <v>169826.8</v>
      </c>
      <c r="P958" t="str">
        <f>IF(AND(TBL_Employees3[[#This Row],[Department]]="IT",TBL_Employees3[[#This Row],[Gender]]="Female"),"Yes","No")</f>
        <v>Yes</v>
      </c>
      <c r="Q958" t="str">
        <f>IF(AND(TBL_Employees3[[#This Row],[Gender]]="Female",TBL_Employees3[[#This Row],[Ethnicity]]="Black"), "Female_Black", "Others")</f>
        <v>Others</v>
      </c>
    </row>
    <row r="959" spans="1:17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6">
        <v>34603</v>
      </c>
      <c r="J959" s="54">
        <v>162978</v>
      </c>
      <c r="K959" s="1">
        <v>0.17</v>
      </c>
      <c r="L959" t="s">
        <v>19</v>
      </c>
      <c r="M959" t="s">
        <v>45</v>
      </c>
      <c r="N959" s="6">
        <v>38131</v>
      </c>
      <c r="O959" s="54">
        <f>TBL_Employees3[[#This Row],[Annual Salary]]+TBL_Employees3[[#This Row],[Bonus %]]*TBL_Employees3[[#This Row],[Annual Salary]]</f>
        <v>190684.26</v>
      </c>
      <c r="P959" t="str">
        <f>IF(AND(TBL_Employees3[[#This Row],[Department]]="IT",TBL_Employees3[[#This Row],[Gender]]="Female"),"Yes","No")</f>
        <v>No</v>
      </c>
      <c r="Q959" t="str">
        <f>IF(AND(TBL_Employees3[[#This Row],[Gender]]="Female",TBL_Employees3[[#This Row],[Ethnicity]]="Black"), "Female_Black", "Others")</f>
        <v>Others</v>
      </c>
    </row>
    <row r="960" spans="1:17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6">
        <v>34290</v>
      </c>
      <c r="J960" s="54">
        <v>80170</v>
      </c>
      <c r="K960" s="1">
        <v>0</v>
      </c>
      <c r="L960" t="s">
        <v>19</v>
      </c>
      <c r="M960" t="s">
        <v>45</v>
      </c>
      <c r="N960" s="6" t="s">
        <v>21</v>
      </c>
      <c r="O960" s="54">
        <f>TBL_Employees3[[#This Row],[Annual Salary]]+TBL_Employees3[[#This Row],[Bonus %]]*TBL_Employees3[[#This Row],[Annual Salary]]</f>
        <v>80170</v>
      </c>
      <c r="P960" t="str">
        <f>IF(AND(TBL_Employees3[[#This Row],[Department]]="IT",TBL_Employees3[[#This Row],[Gender]]="Female"),"Yes","No")</f>
        <v>No</v>
      </c>
      <c r="Q960" t="str">
        <f>IF(AND(TBL_Employees3[[#This Row],[Gender]]="Female",TBL_Employees3[[#This Row],[Ethnicity]]="Black"), "Female_Black", "Others")</f>
        <v>Others</v>
      </c>
    </row>
    <row r="961" spans="1:17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6">
        <v>44314</v>
      </c>
      <c r="J961" s="54">
        <v>98520</v>
      </c>
      <c r="K961" s="1">
        <v>0</v>
      </c>
      <c r="L961" t="s">
        <v>19</v>
      </c>
      <c r="M961" t="s">
        <v>45</v>
      </c>
      <c r="N961" s="6" t="s">
        <v>21</v>
      </c>
      <c r="O961" s="54">
        <f>TBL_Employees3[[#This Row],[Annual Salary]]+TBL_Employees3[[#This Row],[Bonus %]]*TBL_Employees3[[#This Row],[Annual Salary]]</f>
        <v>98520</v>
      </c>
      <c r="P961" t="str">
        <f>IF(AND(TBL_Employees3[[#This Row],[Department]]="IT",TBL_Employees3[[#This Row],[Gender]]="Female"),"Yes","No")</f>
        <v>No</v>
      </c>
      <c r="Q961" t="str">
        <f>IF(AND(TBL_Employees3[[#This Row],[Gender]]="Female",TBL_Employees3[[#This Row],[Ethnicity]]="Black"), "Female_Black", "Others")</f>
        <v>Others</v>
      </c>
    </row>
    <row r="962" spans="1:17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6">
        <v>36523</v>
      </c>
      <c r="J962" s="54">
        <v>116527</v>
      </c>
      <c r="K962" s="1">
        <v>7.0000000000000007E-2</v>
      </c>
      <c r="L962" t="s">
        <v>19</v>
      </c>
      <c r="M962" t="s">
        <v>39</v>
      </c>
      <c r="N962" s="6" t="s">
        <v>21</v>
      </c>
      <c r="O962" s="54">
        <f>TBL_Employees3[[#This Row],[Annual Salary]]+TBL_Employees3[[#This Row],[Bonus %]]*TBL_Employees3[[#This Row],[Annual Salary]]</f>
        <v>124683.89</v>
      </c>
      <c r="P962" t="str">
        <f>IF(AND(TBL_Employees3[[#This Row],[Department]]="IT",TBL_Employees3[[#This Row],[Gender]]="Female"),"Yes","No")</f>
        <v>No</v>
      </c>
      <c r="Q962" t="str">
        <f>IF(AND(TBL_Employees3[[#This Row],[Gender]]="Female",TBL_Employees3[[#This Row],[Ethnicity]]="Black"), "Female_Black", "Others")</f>
        <v>Others</v>
      </c>
    </row>
    <row r="963" spans="1:17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6">
        <v>43776</v>
      </c>
      <c r="J963" s="54">
        <v>174607</v>
      </c>
      <c r="K963" s="1">
        <v>0.28999999999999998</v>
      </c>
      <c r="L963" t="s">
        <v>19</v>
      </c>
      <c r="M963" t="s">
        <v>29</v>
      </c>
      <c r="N963" s="6" t="s">
        <v>21</v>
      </c>
      <c r="O963" s="54">
        <f>TBL_Employees3[[#This Row],[Annual Salary]]+TBL_Employees3[[#This Row],[Bonus %]]*TBL_Employees3[[#This Row],[Annual Salary]]</f>
        <v>225243.03</v>
      </c>
      <c r="P963" t="str">
        <f>IF(AND(TBL_Employees3[[#This Row],[Department]]="IT",TBL_Employees3[[#This Row],[Gender]]="Female"),"Yes","No")</f>
        <v>No</v>
      </c>
      <c r="Q963" t="str">
        <f>IF(AND(TBL_Employees3[[#This Row],[Gender]]="Female",TBL_Employees3[[#This Row],[Ethnicity]]="Black"), "Female_Black", "Others")</f>
        <v>Others</v>
      </c>
    </row>
    <row r="964" spans="1:17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6">
        <v>38819</v>
      </c>
      <c r="J964" s="54">
        <v>64202</v>
      </c>
      <c r="K964" s="1">
        <v>0</v>
      </c>
      <c r="L964" t="s">
        <v>19</v>
      </c>
      <c r="M964" t="s">
        <v>29</v>
      </c>
      <c r="N964" s="6" t="s">
        <v>21</v>
      </c>
      <c r="O964" s="54">
        <f>TBL_Employees3[[#This Row],[Annual Salary]]+TBL_Employees3[[#This Row],[Bonus %]]*TBL_Employees3[[#This Row],[Annual Salary]]</f>
        <v>64202</v>
      </c>
      <c r="P964" t="str">
        <f>IF(AND(TBL_Employees3[[#This Row],[Department]]="IT",TBL_Employees3[[#This Row],[Gender]]="Female"),"Yes","No")</f>
        <v>No</v>
      </c>
      <c r="Q964" t="str">
        <f>IF(AND(TBL_Employees3[[#This Row],[Gender]]="Female",TBL_Employees3[[#This Row],[Ethnicity]]="Black"), "Female_Black", "Others")</f>
        <v>Others</v>
      </c>
    </row>
    <row r="965" spans="1:17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6">
        <v>43671</v>
      </c>
      <c r="J965" s="54">
        <v>50883</v>
      </c>
      <c r="K965" s="1">
        <v>0</v>
      </c>
      <c r="L965" t="s">
        <v>33</v>
      </c>
      <c r="M965" t="s">
        <v>80</v>
      </c>
      <c r="N965" s="6">
        <v>44257</v>
      </c>
      <c r="O965" s="54">
        <f>TBL_Employees3[[#This Row],[Annual Salary]]+TBL_Employees3[[#This Row],[Bonus %]]*TBL_Employees3[[#This Row],[Annual Salary]]</f>
        <v>50883</v>
      </c>
      <c r="P965" t="str">
        <f>IF(AND(TBL_Employees3[[#This Row],[Department]]="IT",TBL_Employees3[[#This Row],[Gender]]="Female"),"Yes","No")</f>
        <v>No</v>
      </c>
      <c r="Q965" t="str">
        <f>IF(AND(TBL_Employees3[[#This Row],[Gender]]="Female",TBL_Employees3[[#This Row],[Ethnicity]]="Black"), "Female_Black", "Others")</f>
        <v>Others</v>
      </c>
    </row>
    <row r="966" spans="1:17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6">
        <v>42677</v>
      </c>
      <c r="J966" s="54">
        <v>94618</v>
      </c>
      <c r="K966" s="1">
        <v>0</v>
      </c>
      <c r="L966" t="s">
        <v>19</v>
      </c>
      <c r="M966" t="s">
        <v>29</v>
      </c>
      <c r="N966" s="6" t="s">
        <v>21</v>
      </c>
      <c r="O966" s="54">
        <f>TBL_Employees3[[#This Row],[Annual Salary]]+TBL_Employees3[[#This Row],[Bonus %]]*TBL_Employees3[[#This Row],[Annual Salary]]</f>
        <v>94618</v>
      </c>
      <c r="P966" t="str">
        <f>IF(AND(TBL_Employees3[[#This Row],[Department]]="IT",TBL_Employees3[[#This Row],[Gender]]="Female"),"Yes","No")</f>
        <v>Yes</v>
      </c>
      <c r="Q966" t="str">
        <f>IF(AND(TBL_Employees3[[#This Row],[Gender]]="Female",TBL_Employees3[[#This Row],[Ethnicity]]="Black"), "Female_Black", "Others")</f>
        <v>Others</v>
      </c>
    </row>
    <row r="967" spans="1:17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6">
        <v>43753</v>
      </c>
      <c r="J967" s="54">
        <v>151556</v>
      </c>
      <c r="K967" s="1">
        <v>0.2</v>
      </c>
      <c r="L967" t="s">
        <v>19</v>
      </c>
      <c r="M967" t="s">
        <v>45</v>
      </c>
      <c r="N967" s="6" t="s">
        <v>21</v>
      </c>
      <c r="O967" s="54">
        <f>TBL_Employees3[[#This Row],[Annual Salary]]+TBL_Employees3[[#This Row],[Bonus %]]*TBL_Employees3[[#This Row],[Annual Salary]]</f>
        <v>181867.2</v>
      </c>
      <c r="P967" t="str">
        <f>IF(AND(TBL_Employees3[[#This Row],[Department]]="IT",TBL_Employees3[[#This Row],[Gender]]="Female"),"Yes","No")</f>
        <v>No</v>
      </c>
      <c r="Q967" t="str">
        <f>IF(AND(TBL_Employees3[[#This Row],[Gender]]="Female",TBL_Employees3[[#This Row],[Ethnicity]]="Black"), "Female_Black", "Others")</f>
        <v>Others</v>
      </c>
    </row>
    <row r="968" spans="1:17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6">
        <v>43898</v>
      </c>
      <c r="J968" s="54">
        <v>80659</v>
      </c>
      <c r="K968" s="1">
        <v>0</v>
      </c>
      <c r="L968" t="s">
        <v>19</v>
      </c>
      <c r="M968" t="s">
        <v>39</v>
      </c>
      <c r="N968" s="6" t="s">
        <v>21</v>
      </c>
      <c r="O968" s="54">
        <f>TBL_Employees3[[#This Row],[Annual Salary]]+TBL_Employees3[[#This Row],[Bonus %]]*TBL_Employees3[[#This Row],[Annual Salary]]</f>
        <v>80659</v>
      </c>
      <c r="P968" t="str">
        <f>IF(AND(TBL_Employees3[[#This Row],[Department]]="IT",TBL_Employees3[[#This Row],[Gender]]="Female"),"Yes","No")</f>
        <v>No</v>
      </c>
      <c r="Q968" t="str">
        <f>IF(AND(TBL_Employees3[[#This Row],[Gender]]="Female",TBL_Employees3[[#This Row],[Ethnicity]]="Black"), "Female_Black", "Others")</f>
        <v>Others</v>
      </c>
    </row>
    <row r="969" spans="1:17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6">
        <v>43772</v>
      </c>
      <c r="J969" s="54">
        <v>195385</v>
      </c>
      <c r="K969" s="1">
        <v>0.21</v>
      </c>
      <c r="L969" t="s">
        <v>33</v>
      </c>
      <c r="M969" t="s">
        <v>34</v>
      </c>
      <c r="N969" s="6" t="s">
        <v>21</v>
      </c>
      <c r="O969" s="54">
        <f>TBL_Employees3[[#This Row],[Annual Salary]]+TBL_Employees3[[#This Row],[Bonus %]]*TBL_Employees3[[#This Row],[Annual Salary]]</f>
        <v>236415.85</v>
      </c>
      <c r="P969" t="str">
        <f>IF(AND(TBL_Employees3[[#This Row],[Department]]="IT",TBL_Employees3[[#This Row],[Gender]]="Female"),"Yes","No")</f>
        <v>No</v>
      </c>
      <c r="Q969" t="str">
        <f>IF(AND(TBL_Employees3[[#This Row],[Gender]]="Female",TBL_Employees3[[#This Row],[Ethnicity]]="Black"), "Female_Black", "Others")</f>
        <v>Others</v>
      </c>
    </row>
    <row r="970" spans="1:17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6">
        <v>42509</v>
      </c>
      <c r="J970" s="54">
        <v>52693</v>
      </c>
      <c r="K970" s="1">
        <v>0</v>
      </c>
      <c r="L970" t="s">
        <v>52</v>
      </c>
      <c r="M970" t="s">
        <v>66</v>
      </c>
      <c r="N970" s="6" t="s">
        <v>21</v>
      </c>
      <c r="O970" s="54">
        <f>TBL_Employees3[[#This Row],[Annual Salary]]+TBL_Employees3[[#This Row],[Bonus %]]*TBL_Employees3[[#This Row],[Annual Salary]]</f>
        <v>52693</v>
      </c>
      <c r="P970" t="str">
        <f>IF(AND(TBL_Employees3[[#This Row],[Department]]="IT",TBL_Employees3[[#This Row],[Gender]]="Female"),"Yes","No")</f>
        <v>No</v>
      </c>
      <c r="Q970" t="str">
        <f>IF(AND(TBL_Employees3[[#This Row],[Gender]]="Female",TBL_Employees3[[#This Row],[Ethnicity]]="Black"), "Female_Black", "Others")</f>
        <v>Others</v>
      </c>
    </row>
    <row r="971" spans="1:17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6">
        <v>42486</v>
      </c>
      <c r="J971" s="54">
        <v>72045</v>
      </c>
      <c r="K971" s="1">
        <v>0</v>
      </c>
      <c r="L971" t="s">
        <v>19</v>
      </c>
      <c r="M971" t="s">
        <v>39</v>
      </c>
      <c r="N971" s="6" t="s">
        <v>21</v>
      </c>
      <c r="O971" s="54">
        <f>TBL_Employees3[[#This Row],[Annual Salary]]+TBL_Employees3[[#This Row],[Bonus %]]*TBL_Employees3[[#This Row],[Annual Salary]]</f>
        <v>72045</v>
      </c>
      <c r="P971" t="str">
        <f>IF(AND(TBL_Employees3[[#This Row],[Department]]="IT",TBL_Employees3[[#This Row],[Gender]]="Female"),"Yes","No")</f>
        <v>Yes</v>
      </c>
      <c r="Q971" t="str">
        <f>IF(AND(TBL_Employees3[[#This Row],[Gender]]="Female",TBL_Employees3[[#This Row],[Ethnicity]]="Black"), "Female_Black", "Others")</f>
        <v>Others</v>
      </c>
    </row>
    <row r="972" spans="1:17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6">
        <v>38684</v>
      </c>
      <c r="J972" s="54">
        <v>62749</v>
      </c>
      <c r="K972" s="1">
        <v>0</v>
      </c>
      <c r="L972" t="s">
        <v>52</v>
      </c>
      <c r="M972" t="s">
        <v>81</v>
      </c>
      <c r="N972" s="6" t="s">
        <v>21</v>
      </c>
      <c r="O972" s="54">
        <f>TBL_Employees3[[#This Row],[Annual Salary]]+TBL_Employees3[[#This Row],[Bonus %]]*TBL_Employees3[[#This Row],[Annual Salary]]</f>
        <v>62749</v>
      </c>
      <c r="P972" t="str">
        <f>IF(AND(TBL_Employees3[[#This Row],[Department]]="IT",TBL_Employees3[[#This Row],[Gender]]="Female"),"Yes","No")</f>
        <v>No</v>
      </c>
      <c r="Q972" t="str">
        <f>IF(AND(TBL_Employees3[[#This Row],[Gender]]="Female",TBL_Employees3[[#This Row],[Ethnicity]]="Black"), "Female_Black", "Others")</f>
        <v>Others</v>
      </c>
    </row>
    <row r="973" spans="1:17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6">
        <v>43255</v>
      </c>
      <c r="J973" s="54">
        <v>154884</v>
      </c>
      <c r="K973" s="1">
        <v>0.1</v>
      </c>
      <c r="L973" t="s">
        <v>33</v>
      </c>
      <c r="M973" t="s">
        <v>74</v>
      </c>
      <c r="N973" s="6" t="s">
        <v>21</v>
      </c>
      <c r="O973" s="54">
        <f>TBL_Employees3[[#This Row],[Annual Salary]]+TBL_Employees3[[#This Row],[Bonus %]]*TBL_Employees3[[#This Row],[Annual Salary]]</f>
        <v>170372.4</v>
      </c>
      <c r="P973" t="str">
        <f>IF(AND(TBL_Employees3[[#This Row],[Department]]="IT",TBL_Employees3[[#This Row],[Gender]]="Female"),"Yes","No")</f>
        <v>No</v>
      </c>
      <c r="Q973" t="str">
        <f>IF(AND(TBL_Employees3[[#This Row],[Gender]]="Female",TBL_Employees3[[#This Row],[Ethnicity]]="Black"), "Female_Black", "Others")</f>
        <v>Others</v>
      </c>
    </row>
    <row r="974" spans="1:17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6">
        <v>42437</v>
      </c>
      <c r="J974" s="54">
        <v>96566</v>
      </c>
      <c r="K974" s="1">
        <v>0</v>
      </c>
      <c r="L974" t="s">
        <v>19</v>
      </c>
      <c r="M974" t="s">
        <v>29</v>
      </c>
      <c r="N974" s="6" t="s">
        <v>21</v>
      </c>
      <c r="O974" s="54">
        <f>TBL_Employees3[[#This Row],[Annual Salary]]+TBL_Employees3[[#This Row],[Bonus %]]*TBL_Employees3[[#This Row],[Annual Salary]]</f>
        <v>96566</v>
      </c>
      <c r="P974" t="str">
        <f>IF(AND(TBL_Employees3[[#This Row],[Department]]="IT",TBL_Employees3[[#This Row],[Gender]]="Female"),"Yes","No")</f>
        <v>No</v>
      </c>
      <c r="Q974" t="str">
        <f>IF(AND(TBL_Employees3[[#This Row],[Gender]]="Female",TBL_Employees3[[#This Row],[Ethnicity]]="Black"), "Female_Black", "Others")</f>
        <v>Others</v>
      </c>
    </row>
    <row r="975" spans="1:17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6">
        <v>37126</v>
      </c>
      <c r="J975" s="54">
        <v>54994</v>
      </c>
      <c r="K975" s="1">
        <v>0</v>
      </c>
      <c r="L975" t="s">
        <v>19</v>
      </c>
      <c r="M975" t="s">
        <v>29</v>
      </c>
      <c r="N975" s="6" t="s">
        <v>21</v>
      </c>
      <c r="O975" s="54">
        <f>TBL_Employees3[[#This Row],[Annual Salary]]+TBL_Employees3[[#This Row],[Bonus %]]*TBL_Employees3[[#This Row],[Annual Salary]]</f>
        <v>54994</v>
      </c>
      <c r="P975" t="str">
        <f>IF(AND(TBL_Employees3[[#This Row],[Department]]="IT",TBL_Employees3[[#This Row],[Gender]]="Female"),"Yes","No")</f>
        <v>No</v>
      </c>
      <c r="Q975" t="str">
        <f>IF(AND(TBL_Employees3[[#This Row],[Gender]]="Female",TBL_Employees3[[#This Row],[Ethnicity]]="Black"), "Female_Black", "Others")</f>
        <v>Others</v>
      </c>
    </row>
    <row r="976" spans="1:17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6">
        <v>40944</v>
      </c>
      <c r="J976" s="54">
        <v>61523</v>
      </c>
      <c r="K976" s="1">
        <v>0</v>
      </c>
      <c r="L976" t="s">
        <v>19</v>
      </c>
      <c r="M976" t="s">
        <v>29</v>
      </c>
      <c r="N976" s="6" t="s">
        <v>21</v>
      </c>
      <c r="O976" s="54">
        <f>TBL_Employees3[[#This Row],[Annual Salary]]+TBL_Employees3[[#This Row],[Bonus %]]*TBL_Employees3[[#This Row],[Annual Salary]]</f>
        <v>61523</v>
      </c>
      <c r="P976" t="str">
        <f>IF(AND(TBL_Employees3[[#This Row],[Department]]="IT",TBL_Employees3[[#This Row],[Gender]]="Female"),"Yes","No")</f>
        <v>Yes</v>
      </c>
      <c r="Q976" t="str">
        <f>IF(AND(TBL_Employees3[[#This Row],[Gender]]="Female",TBL_Employees3[[#This Row],[Ethnicity]]="Black"), "Female_Black", "Others")</f>
        <v>Others</v>
      </c>
    </row>
    <row r="977" spans="1:17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6">
        <v>40524</v>
      </c>
      <c r="J977" s="54">
        <v>190512</v>
      </c>
      <c r="K977" s="1">
        <v>0.32</v>
      </c>
      <c r="L977" t="s">
        <v>19</v>
      </c>
      <c r="M977" t="s">
        <v>29</v>
      </c>
      <c r="N977" s="6" t="s">
        <v>21</v>
      </c>
      <c r="O977" s="54">
        <f>TBL_Employees3[[#This Row],[Annual Salary]]+TBL_Employees3[[#This Row],[Bonus %]]*TBL_Employees3[[#This Row],[Annual Salary]]</f>
        <v>251475.84</v>
      </c>
      <c r="P977" t="str">
        <f>IF(AND(TBL_Employees3[[#This Row],[Department]]="IT",TBL_Employees3[[#This Row],[Gender]]="Female"),"Yes","No")</f>
        <v>No</v>
      </c>
      <c r="Q977" t="str">
        <f>IF(AND(TBL_Employees3[[#This Row],[Gender]]="Female",TBL_Employees3[[#This Row],[Ethnicity]]="Black"), "Female_Black", "Others")</f>
        <v>Others</v>
      </c>
    </row>
    <row r="978" spans="1:17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6">
        <v>41318</v>
      </c>
      <c r="J978" s="54">
        <v>124827</v>
      </c>
      <c r="K978" s="1">
        <v>0</v>
      </c>
      <c r="L978" t="s">
        <v>33</v>
      </c>
      <c r="M978" t="s">
        <v>60</v>
      </c>
      <c r="N978" s="6" t="s">
        <v>21</v>
      </c>
      <c r="O978" s="54">
        <f>TBL_Employees3[[#This Row],[Annual Salary]]+TBL_Employees3[[#This Row],[Bonus %]]*TBL_Employees3[[#This Row],[Annual Salary]]</f>
        <v>124827</v>
      </c>
      <c r="P978" t="str">
        <f>IF(AND(TBL_Employees3[[#This Row],[Department]]="IT",TBL_Employees3[[#This Row],[Gender]]="Female"),"Yes","No")</f>
        <v>No</v>
      </c>
      <c r="Q978" t="str">
        <f>IF(AND(TBL_Employees3[[#This Row],[Gender]]="Female",TBL_Employees3[[#This Row],[Ethnicity]]="Black"), "Female_Black", "Others")</f>
        <v>Others</v>
      </c>
    </row>
    <row r="979" spans="1:17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6">
        <v>43484</v>
      </c>
      <c r="J979" s="54">
        <v>101577</v>
      </c>
      <c r="K979" s="1">
        <v>0.05</v>
      </c>
      <c r="L979" t="s">
        <v>19</v>
      </c>
      <c r="M979" t="s">
        <v>20</v>
      </c>
      <c r="N979" s="6" t="s">
        <v>21</v>
      </c>
      <c r="O979" s="54">
        <f>TBL_Employees3[[#This Row],[Annual Salary]]+TBL_Employees3[[#This Row],[Bonus %]]*TBL_Employees3[[#This Row],[Annual Salary]]</f>
        <v>106655.85</v>
      </c>
      <c r="P979" t="str">
        <f>IF(AND(TBL_Employees3[[#This Row],[Department]]="IT",TBL_Employees3[[#This Row],[Gender]]="Female"),"Yes","No")</f>
        <v>No</v>
      </c>
      <c r="Q979" t="str">
        <f>IF(AND(TBL_Employees3[[#This Row],[Gender]]="Female",TBL_Employees3[[#This Row],[Ethnicity]]="Black"), "Female_Black", "Others")</f>
        <v>Others</v>
      </c>
    </row>
    <row r="980" spans="1:17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6">
        <v>38642</v>
      </c>
      <c r="J980" s="54">
        <v>105223</v>
      </c>
      <c r="K980" s="1">
        <v>0.1</v>
      </c>
      <c r="L980" t="s">
        <v>19</v>
      </c>
      <c r="M980" t="s">
        <v>39</v>
      </c>
      <c r="N980" s="6" t="s">
        <v>21</v>
      </c>
      <c r="O980" s="54">
        <f>TBL_Employees3[[#This Row],[Annual Salary]]+TBL_Employees3[[#This Row],[Bonus %]]*TBL_Employees3[[#This Row],[Annual Salary]]</f>
        <v>115745.3</v>
      </c>
      <c r="P980" t="str">
        <f>IF(AND(TBL_Employees3[[#This Row],[Department]]="IT",TBL_Employees3[[#This Row],[Gender]]="Female"),"Yes","No")</f>
        <v>No</v>
      </c>
      <c r="Q980" t="str">
        <f>IF(AND(TBL_Employees3[[#This Row],[Gender]]="Female",TBL_Employees3[[#This Row],[Ethnicity]]="Black"), "Female_Black", "Others")</f>
        <v>Others</v>
      </c>
    </row>
    <row r="981" spans="1:17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6">
        <v>39635</v>
      </c>
      <c r="J981" s="54">
        <v>94815</v>
      </c>
      <c r="K981" s="1">
        <v>0</v>
      </c>
      <c r="L981" t="s">
        <v>19</v>
      </c>
      <c r="M981" t="s">
        <v>20</v>
      </c>
      <c r="N981" s="6" t="s">
        <v>21</v>
      </c>
      <c r="O981" s="54">
        <f>TBL_Employees3[[#This Row],[Annual Salary]]+TBL_Employees3[[#This Row],[Bonus %]]*TBL_Employees3[[#This Row],[Annual Salary]]</f>
        <v>94815</v>
      </c>
      <c r="P981" t="str">
        <f>IF(AND(TBL_Employees3[[#This Row],[Department]]="IT",TBL_Employees3[[#This Row],[Gender]]="Female"),"Yes","No")</f>
        <v>No</v>
      </c>
      <c r="Q981" t="str">
        <f>IF(AND(TBL_Employees3[[#This Row],[Gender]]="Female",TBL_Employees3[[#This Row],[Ethnicity]]="Black"), "Female_Black", "Others")</f>
        <v>Others</v>
      </c>
    </row>
    <row r="982" spans="1:17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6">
        <v>44545</v>
      </c>
      <c r="J982" s="54">
        <v>114893</v>
      </c>
      <c r="K982" s="1">
        <v>0.06</v>
      </c>
      <c r="L982" t="s">
        <v>33</v>
      </c>
      <c r="M982" t="s">
        <v>34</v>
      </c>
      <c r="N982" s="6" t="s">
        <v>21</v>
      </c>
      <c r="O982" s="54">
        <f>TBL_Employees3[[#This Row],[Annual Salary]]+TBL_Employees3[[#This Row],[Bonus %]]*TBL_Employees3[[#This Row],[Annual Salary]]</f>
        <v>121786.58</v>
      </c>
      <c r="P982" t="str">
        <f>IF(AND(TBL_Employees3[[#This Row],[Department]]="IT",TBL_Employees3[[#This Row],[Gender]]="Female"),"Yes","No")</f>
        <v>No</v>
      </c>
      <c r="Q982" t="str">
        <f>IF(AND(TBL_Employees3[[#This Row],[Gender]]="Female",TBL_Employees3[[#This Row],[Ethnicity]]="Black"), "Female_Black", "Others")</f>
        <v>Others</v>
      </c>
    </row>
    <row r="983" spans="1:17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6">
        <v>42745</v>
      </c>
      <c r="J983" s="54">
        <v>80622</v>
      </c>
      <c r="K983" s="1">
        <v>0</v>
      </c>
      <c r="L983" t="s">
        <v>19</v>
      </c>
      <c r="M983" t="s">
        <v>25</v>
      </c>
      <c r="N983" s="6" t="s">
        <v>21</v>
      </c>
      <c r="O983" s="54">
        <f>TBL_Employees3[[#This Row],[Annual Salary]]+TBL_Employees3[[#This Row],[Bonus %]]*TBL_Employees3[[#This Row],[Annual Salary]]</f>
        <v>80622</v>
      </c>
      <c r="P983" t="str">
        <f>IF(AND(TBL_Employees3[[#This Row],[Department]]="IT",TBL_Employees3[[#This Row],[Gender]]="Female"),"Yes","No")</f>
        <v>No</v>
      </c>
      <c r="Q983" t="str">
        <f>IF(AND(TBL_Employees3[[#This Row],[Gender]]="Female",TBL_Employees3[[#This Row],[Ethnicity]]="Black"), "Female_Black", "Others")</f>
        <v>Others</v>
      </c>
    </row>
    <row r="984" spans="1:17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6">
        <v>42685</v>
      </c>
      <c r="J984" s="54">
        <v>246589</v>
      </c>
      <c r="K984" s="1">
        <v>0.33</v>
      </c>
      <c r="L984" t="s">
        <v>19</v>
      </c>
      <c r="M984" t="s">
        <v>39</v>
      </c>
      <c r="N984" s="6">
        <v>42820</v>
      </c>
      <c r="O984" s="54">
        <f>TBL_Employees3[[#This Row],[Annual Salary]]+TBL_Employees3[[#This Row],[Bonus %]]*TBL_Employees3[[#This Row],[Annual Salary]]</f>
        <v>327963.37</v>
      </c>
      <c r="P984" t="str">
        <f>IF(AND(TBL_Employees3[[#This Row],[Department]]="IT",TBL_Employees3[[#This Row],[Gender]]="Female"),"Yes","No")</f>
        <v>Yes</v>
      </c>
      <c r="Q984" t="str">
        <f>IF(AND(TBL_Employees3[[#This Row],[Gender]]="Female",TBL_Employees3[[#This Row],[Ethnicity]]="Black"), "Female_Black", "Others")</f>
        <v>Others</v>
      </c>
    </row>
    <row r="985" spans="1:17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6">
        <v>43240</v>
      </c>
      <c r="J985" s="54">
        <v>119397</v>
      </c>
      <c r="K985" s="1">
        <v>0.09</v>
      </c>
      <c r="L985" t="s">
        <v>33</v>
      </c>
      <c r="M985" t="s">
        <v>60</v>
      </c>
      <c r="N985" s="6">
        <v>43538</v>
      </c>
      <c r="O985" s="54">
        <f>TBL_Employees3[[#This Row],[Annual Salary]]+TBL_Employees3[[#This Row],[Bonus %]]*TBL_Employees3[[#This Row],[Annual Salary]]</f>
        <v>130142.73</v>
      </c>
      <c r="P985" t="str">
        <f>IF(AND(TBL_Employees3[[#This Row],[Department]]="IT",TBL_Employees3[[#This Row],[Gender]]="Female"),"Yes","No")</f>
        <v>No</v>
      </c>
      <c r="Q985" t="str">
        <f>IF(AND(TBL_Employees3[[#This Row],[Gender]]="Female",TBL_Employees3[[#This Row],[Ethnicity]]="Black"), "Female_Black", "Others")</f>
        <v>Others</v>
      </c>
    </row>
    <row r="986" spans="1:17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6">
        <v>44549</v>
      </c>
      <c r="J986" s="54">
        <v>150666</v>
      </c>
      <c r="K986" s="1">
        <v>0.23</v>
      </c>
      <c r="L986" t="s">
        <v>33</v>
      </c>
      <c r="M986" t="s">
        <v>34</v>
      </c>
      <c r="N986" s="6" t="s">
        <v>21</v>
      </c>
      <c r="O986" s="54">
        <f>TBL_Employees3[[#This Row],[Annual Salary]]+TBL_Employees3[[#This Row],[Bonus %]]*TBL_Employees3[[#This Row],[Annual Salary]]</f>
        <v>185319.18</v>
      </c>
      <c r="P986" t="str">
        <f>IF(AND(TBL_Employees3[[#This Row],[Department]]="IT",TBL_Employees3[[#This Row],[Gender]]="Female"),"Yes","No")</f>
        <v>No</v>
      </c>
      <c r="Q986" t="str">
        <f>IF(AND(TBL_Employees3[[#This Row],[Gender]]="Female",TBL_Employees3[[#This Row],[Ethnicity]]="Black"), "Female_Black", "Others")</f>
        <v>Others</v>
      </c>
    </row>
    <row r="987" spans="1:17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6">
        <v>37265</v>
      </c>
      <c r="J987" s="54">
        <v>148035</v>
      </c>
      <c r="K987" s="1">
        <v>0.14000000000000001</v>
      </c>
      <c r="L987" t="s">
        <v>19</v>
      </c>
      <c r="M987" t="s">
        <v>39</v>
      </c>
      <c r="N987" s="6" t="s">
        <v>21</v>
      </c>
      <c r="O987" s="54">
        <f>TBL_Employees3[[#This Row],[Annual Salary]]+TBL_Employees3[[#This Row],[Bonus %]]*TBL_Employees3[[#This Row],[Annual Salary]]</f>
        <v>168759.9</v>
      </c>
      <c r="P987" t="str">
        <f>IF(AND(TBL_Employees3[[#This Row],[Department]]="IT",TBL_Employees3[[#This Row],[Gender]]="Female"),"Yes","No")</f>
        <v>Yes</v>
      </c>
      <c r="Q987" t="str">
        <f>IF(AND(TBL_Employees3[[#This Row],[Gender]]="Female",TBL_Employees3[[#This Row],[Ethnicity]]="Black"), "Female_Black", "Others")</f>
        <v>Others</v>
      </c>
    </row>
    <row r="988" spans="1:17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6">
        <v>42891</v>
      </c>
      <c r="J988" s="54">
        <v>158898</v>
      </c>
      <c r="K988" s="1">
        <v>0.18</v>
      </c>
      <c r="L988" t="s">
        <v>19</v>
      </c>
      <c r="M988" t="s">
        <v>45</v>
      </c>
      <c r="N988" s="6" t="s">
        <v>21</v>
      </c>
      <c r="O988" s="54">
        <f>TBL_Employees3[[#This Row],[Annual Salary]]+TBL_Employees3[[#This Row],[Bonus %]]*TBL_Employees3[[#This Row],[Annual Salary]]</f>
        <v>187499.64</v>
      </c>
      <c r="P988" t="str">
        <f>IF(AND(TBL_Employees3[[#This Row],[Department]]="IT",TBL_Employees3[[#This Row],[Gender]]="Female"),"Yes","No")</f>
        <v>No</v>
      </c>
      <c r="Q988" t="str">
        <f>IF(AND(TBL_Employees3[[#This Row],[Gender]]="Female",TBL_Employees3[[#This Row],[Ethnicity]]="Black"), "Female_Black", "Others")</f>
        <v>Others</v>
      </c>
    </row>
    <row r="989" spans="1:17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6">
        <v>40967</v>
      </c>
      <c r="J989" s="54">
        <v>89659</v>
      </c>
      <c r="K989" s="1">
        <v>0</v>
      </c>
      <c r="L989" t="s">
        <v>33</v>
      </c>
      <c r="M989" t="s">
        <v>60</v>
      </c>
      <c r="N989" s="6" t="s">
        <v>21</v>
      </c>
      <c r="O989" s="54">
        <f>TBL_Employees3[[#This Row],[Annual Salary]]+TBL_Employees3[[#This Row],[Bonus %]]*TBL_Employees3[[#This Row],[Annual Salary]]</f>
        <v>89659</v>
      </c>
      <c r="P989" t="str">
        <f>IF(AND(TBL_Employees3[[#This Row],[Department]]="IT",TBL_Employees3[[#This Row],[Gender]]="Female"),"Yes","No")</f>
        <v>No</v>
      </c>
      <c r="Q989" t="str">
        <f>IF(AND(TBL_Employees3[[#This Row],[Gender]]="Female",TBL_Employees3[[#This Row],[Ethnicity]]="Black"), "Female_Black", "Others")</f>
        <v>Others</v>
      </c>
    </row>
    <row r="990" spans="1:17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6">
        <v>39201</v>
      </c>
      <c r="J990" s="54">
        <v>171487</v>
      </c>
      <c r="K990" s="1">
        <v>0.23</v>
      </c>
      <c r="L990" t="s">
        <v>19</v>
      </c>
      <c r="M990" t="s">
        <v>39</v>
      </c>
      <c r="N990" s="6" t="s">
        <v>21</v>
      </c>
      <c r="O990" s="54">
        <f>TBL_Employees3[[#This Row],[Annual Salary]]+TBL_Employees3[[#This Row],[Bonus %]]*TBL_Employees3[[#This Row],[Annual Salary]]</f>
        <v>210929.01</v>
      </c>
      <c r="P990" t="str">
        <f>IF(AND(TBL_Employees3[[#This Row],[Department]]="IT",TBL_Employees3[[#This Row],[Gender]]="Female"),"Yes","No")</f>
        <v>No</v>
      </c>
      <c r="Q990" t="str">
        <f>IF(AND(TBL_Employees3[[#This Row],[Gender]]="Female",TBL_Employees3[[#This Row],[Ethnicity]]="Black"), "Female_Black", "Others")</f>
        <v>Others</v>
      </c>
    </row>
    <row r="991" spans="1:17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6">
        <v>42603</v>
      </c>
      <c r="J991" s="54">
        <v>258498</v>
      </c>
      <c r="K991" s="1">
        <v>0.35</v>
      </c>
      <c r="L991" t="s">
        <v>19</v>
      </c>
      <c r="M991" t="s">
        <v>29</v>
      </c>
      <c r="N991" s="6" t="s">
        <v>21</v>
      </c>
      <c r="O991" s="54">
        <f>TBL_Employees3[[#This Row],[Annual Salary]]+TBL_Employees3[[#This Row],[Bonus %]]*TBL_Employees3[[#This Row],[Annual Salary]]</f>
        <v>348972.3</v>
      </c>
      <c r="P991" t="str">
        <f>IF(AND(TBL_Employees3[[#This Row],[Department]]="IT",TBL_Employees3[[#This Row],[Gender]]="Female"),"Yes","No")</f>
        <v>No</v>
      </c>
      <c r="Q991" t="str">
        <f>IF(AND(TBL_Employees3[[#This Row],[Gender]]="Female",TBL_Employees3[[#This Row],[Ethnicity]]="Black"), "Female_Black", "Others")</f>
        <v>Others</v>
      </c>
    </row>
    <row r="992" spans="1:17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6">
        <v>40511</v>
      </c>
      <c r="J992" s="54">
        <v>146961</v>
      </c>
      <c r="K992" s="1">
        <v>0.11</v>
      </c>
      <c r="L992" t="s">
        <v>19</v>
      </c>
      <c r="M992" t="s">
        <v>29</v>
      </c>
      <c r="N992" s="6" t="s">
        <v>21</v>
      </c>
      <c r="O992" s="54">
        <f>TBL_Employees3[[#This Row],[Annual Salary]]+TBL_Employees3[[#This Row],[Bonus %]]*TBL_Employees3[[#This Row],[Annual Salary]]</f>
        <v>163126.71</v>
      </c>
      <c r="P992" t="str">
        <f>IF(AND(TBL_Employees3[[#This Row],[Department]]="IT",TBL_Employees3[[#This Row],[Gender]]="Female"),"Yes","No")</f>
        <v>No</v>
      </c>
      <c r="Q992" t="str">
        <f>IF(AND(TBL_Employees3[[#This Row],[Gender]]="Female",TBL_Employees3[[#This Row],[Ethnicity]]="Black"), "Female_Black", "Others")</f>
        <v>Others</v>
      </c>
    </row>
    <row r="993" spans="1:17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6">
        <v>35907</v>
      </c>
      <c r="J993" s="54">
        <v>85369</v>
      </c>
      <c r="K993" s="1">
        <v>0</v>
      </c>
      <c r="L993" t="s">
        <v>52</v>
      </c>
      <c r="M993" t="s">
        <v>81</v>
      </c>
      <c r="N993" s="6">
        <v>38318</v>
      </c>
      <c r="O993" s="54">
        <f>TBL_Employees3[[#This Row],[Annual Salary]]+TBL_Employees3[[#This Row],[Bonus %]]*TBL_Employees3[[#This Row],[Annual Salary]]</f>
        <v>85369</v>
      </c>
      <c r="P993" t="str">
        <f>IF(AND(TBL_Employees3[[#This Row],[Department]]="IT",TBL_Employees3[[#This Row],[Gender]]="Female"),"Yes","No")</f>
        <v>No</v>
      </c>
      <c r="Q993" t="str">
        <f>IF(AND(TBL_Employees3[[#This Row],[Gender]]="Female",TBL_Employees3[[#This Row],[Ethnicity]]="Black"), "Female_Black", "Others")</f>
        <v>Others</v>
      </c>
    </row>
    <row r="994" spans="1:17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6">
        <v>42169</v>
      </c>
      <c r="J994" s="54">
        <v>67489</v>
      </c>
      <c r="K994" s="1">
        <v>0</v>
      </c>
      <c r="L994" t="s">
        <v>19</v>
      </c>
      <c r="M994" t="s">
        <v>20</v>
      </c>
      <c r="N994" s="6" t="s">
        <v>21</v>
      </c>
      <c r="O994" s="54">
        <f>TBL_Employees3[[#This Row],[Annual Salary]]+TBL_Employees3[[#This Row],[Bonus %]]*TBL_Employees3[[#This Row],[Annual Salary]]</f>
        <v>67489</v>
      </c>
      <c r="P994" t="str">
        <f>IF(AND(TBL_Employees3[[#This Row],[Department]]="IT",TBL_Employees3[[#This Row],[Gender]]="Female"),"Yes","No")</f>
        <v>No</v>
      </c>
      <c r="Q994" t="str">
        <f>IF(AND(TBL_Employees3[[#This Row],[Gender]]="Female",TBL_Employees3[[#This Row],[Ethnicity]]="Black"), "Female_Black", "Others")</f>
        <v>Others</v>
      </c>
    </row>
    <row r="995" spans="1:17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6">
        <v>43379</v>
      </c>
      <c r="J995" s="54">
        <v>166259</v>
      </c>
      <c r="K995" s="1">
        <v>0.17</v>
      </c>
      <c r="L995" t="s">
        <v>19</v>
      </c>
      <c r="M995" t="s">
        <v>20</v>
      </c>
      <c r="N995" s="6" t="s">
        <v>21</v>
      </c>
      <c r="O995" s="54">
        <f>TBL_Employees3[[#This Row],[Annual Salary]]+TBL_Employees3[[#This Row],[Bonus %]]*TBL_Employees3[[#This Row],[Annual Salary]]</f>
        <v>194523.03</v>
      </c>
      <c r="P995" t="str">
        <f>IF(AND(TBL_Employees3[[#This Row],[Department]]="IT",TBL_Employees3[[#This Row],[Gender]]="Female"),"Yes","No")</f>
        <v>Yes</v>
      </c>
      <c r="Q995" t="str">
        <f>IF(AND(TBL_Employees3[[#This Row],[Gender]]="Female",TBL_Employees3[[#This Row],[Ethnicity]]="Black"), "Female_Black", "Others")</f>
        <v>Others</v>
      </c>
    </row>
    <row r="996" spans="1:17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6">
        <v>39820</v>
      </c>
      <c r="J996" s="54">
        <v>47032</v>
      </c>
      <c r="K996" s="1">
        <v>0</v>
      </c>
      <c r="L996" t="s">
        <v>19</v>
      </c>
      <c r="M996" t="s">
        <v>29</v>
      </c>
      <c r="N996" s="6" t="s">
        <v>21</v>
      </c>
      <c r="O996" s="54">
        <f>TBL_Employees3[[#This Row],[Annual Salary]]+TBL_Employees3[[#This Row],[Bonus %]]*TBL_Employees3[[#This Row],[Annual Salary]]</f>
        <v>47032</v>
      </c>
      <c r="P996" t="str">
        <f>IF(AND(TBL_Employees3[[#This Row],[Department]]="IT",TBL_Employees3[[#This Row],[Gender]]="Female"),"Yes","No")</f>
        <v>Yes</v>
      </c>
      <c r="Q996" t="str">
        <f>IF(AND(TBL_Employees3[[#This Row],[Gender]]="Female",TBL_Employees3[[#This Row],[Ethnicity]]="Black"), "Female_Black", "Others")</f>
        <v>Others</v>
      </c>
    </row>
    <row r="997" spans="1:17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6">
        <v>42631</v>
      </c>
      <c r="J997" s="54">
        <v>98427</v>
      </c>
      <c r="K997" s="1">
        <v>0</v>
      </c>
      <c r="L997" t="s">
        <v>19</v>
      </c>
      <c r="M997" t="s">
        <v>29</v>
      </c>
      <c r="N997" s="6" t="s">
        <v>21</v>
      </c>
      <c r="O997" s="54">
        <f>TBL_Employees3[[#This Row],[Annual Salary]]+TBL_Employees3[[#This Row],[Bonus %]]*TBL_Employees3[[#This Row],[Annual Salary]]</f>
        <v>98427</v>
      </c>
      <c r="P997" t="str">
        <f>IF(AND(TBL_Employees3[[#This Row],[Department]]="IT",TBL_Employees3[[#This Row],[Gender]]="Female"),"Yes","No")</f>
        <v>No</v>
      </c>
      <c r="Q997" t="str">
        <f>IF(AND(TBL_Employees3[[#This Row],[Gender]]="Female",TBL_Employees3[[#This Row],[Ethnicity]]="Black"), "Female_Black", "Others")</f>
        <v>Others</v>
      </c>
    </row>
    <row r="998" spans="1:17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6">
        <v>40329</v>
      </c>
      <c r="J998" s="54">
        <v>47387</v>
      </c>
      <c r="K998" s="1">
        <v>0</v>
      </c>
      <c r="L998" t="s">
        <v>33</v>
      </c>
      <c r="M998" t="s">
        <v>34</v>
      </c>
      <c r="N998" s="6">
        <v>43108</v>
      </c>
      <c r="O998" s="54">
        <f>TBL_Employees3[[#This Row],[Annual Salary]]+TBL_Employees3[[#This Row],[Bonus %]]*TBL_Employees3[[#This Row],[Annual Salary]]</f>
        <v>47387</v>
      </c>
      <c r="P998" t="str">
        <f>IF(AND(TBL_Employees3[[#This Row],[Department]]="IT",TBL_Employees3[[#This Row],[Gender]]="Female"),"Yes","No")</f>
        <v>No</v>
      </c>
      <c r="Q998" t="str">
        <f>IF(AND(TBL_Employees3[[#This Row],[Gender]]="Female",TBL_Employees3[[#This Row],[Ethnicity]]="Black"), "Female_Black", "Others")</f>
        <v>Others</v>
      </c>
    </row>
    <row r="999" spans="1:17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6">
        <v>43626</v>
      </c>
      <c r="J999" s="54">
        <v>176710</v>
      </c>
      <c r="K999" s="1">
        <v>0.15</v>
      </c>
      <c r="L999" t="s">
        <v>19</v>
      </c>
      <c r="M999" t="s">
        <v>45</v>
      </c>
      <c r="N999" s="6" t="s">
        <v>21</v>
      </c>
      <c r="O999" s="54">
        <f>TBL_Employees3[[#This Row],[Annual Salary]]+TBL_Employees3[[#This Row],[Bonus %]]*TBL_Employees3[[#This Row],[Annual Salary]]</f>
        <v>203216.5</v>
      </c>
      <c r="P999" t="str">
        <f>IF(AND(TBL_Employees3[[#This Row],[Department]]="IT",TBL_Employees3[[#This Row],[Gender]]="Female"),"Yes","No")</f>
        <v>No</v>
      </c>
      <c r="Q999" t="str">
        <f>IF(AND(TBL_Employees3[[#This Row],[Gender]]="Female",TBL_Employees3[[#This Row],[Ethnicity]]="Black"), "Female_Black", "Others")</f>
        <v>Others</v>
      </c>
    </row>
    <row r="1000" spans="1:17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6">
        <v>40936</v>
      </c>
      <c r="J1000" s="54">
        <v>95960</v>
      </c>
      <c r="K1000" s="1">
        <v>0</v>
      </c>
      <c r="L1000" t="s">
        <v>33</v>
      </c>
      <c r="M1000" t="s">
        <v>34</v>
      </c>
      <c r="N1000" s="6" t="s">
        <v>21</v>
      </c>
      <c r="O1000" s="54">
        <f>TBL_Employees3[[#This Row],[Annual Salary]]+TBL_Employees3[[#This Row],[Bonus %]]*TBL_Employees3[[#This Row],[Annual Salary]]</f>
        <v>95960</v>
      </c>
      <c r="P1000" t="str">
        <f>IF(AND(TBL_Employees3[[#This Row],[Department]]="IT",TBL_Employees3[[#This Row],[Gender]]="Female"),"Yes","No")</f>
        <v>No</v>
      </c>
      <c r="Q1000" t="str">
        <f>IF(AND(TBL_Employees3[[#This Row],[Gender]]="Female",TBL_Employees3[[#This Row],[Ethnicity]]="Black"), "Female_Black", "Others")</f>
        <v>Others</v>
      </c>
    </row>
    <row r="1001" spans="1:17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6">
        <v>44038</v>
      </c>
      <c r="J1001" s="54">
        <v>216195</v>
      </c>
      <c r="K1001" s="1">
        <v>0.31</v>
      </c>
      <c r="L1001" t="s">
        <v>19</v>
      </c>
      <c r="M1001" t="s">
        <v>45</v>
      </c>
      <c r="N1001" s="6" t="s">
        <v>21</v>
      </c>
      <c r="O1001" s="54">
        <f>TBL_Employees3[[#This Row],[Annual Salary]]+TBL_Employees3[[#This Row],[Bonus %]]*TBL_Employees3[[#This Row],[Annual Salary]]</f>
        <v>283215.45</v>
      </c>
      <c r="P1001" t="str">
        <f>IF(AND(TBL_Employees3[[#This Row],[Department]]="IT",TBL_Employees3[[#This Row],[Gender]]="Female"),"Yes","No")</f>
        <v>No</v>
      </c>
      <c r="Q1001" t="str">
        <f>IF(AND(TBL_Employees3[[#This Row],[Gender]]="Female",TBL_Employees3[[#This Row],[Ethnicity]]="Black"), "Female_Black", "Others")</f>
        <v>Others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D43" sqref="D43"/>
    </sheetView>
  </sheetViews>
  <sheetFormatPr defaultRowHeight="14.4"/>
  <cols>
    <col min="1" max="1" width="95.21875" customWidth="1"/>
    <col min="2" max="2" width="38.44140625" customWidth="1"/>
    <col min="4" max="4" width="24.33203125" customWidth="1"/>
  </cols>
  <sheetData>
    <row r="1" spans="1:3">
      <c r="A1" s="12" t="s">
        <v>2145</v>
      </c>
      <c r="B1" s="12" t="s">
        <v>2144</v>
      </c>
    </row>
    <row r="2" spans="1:3">
      <c r="A2" t="s">
        <v>1983</v>
      </c>
      <c r="B2">
        <f>COUNTIF(dataa!C:C,"Manager")</f>
        <v>98</v>
      </c>
    </row>
    <row r="3" spans="1:3">
      <c r="A3" t="s">
        <v>1984</v>
      </c>
      <c r="B3">
        <f>COUNTIF(dataa!C:C,"Sr. Manger")</f>
        <v>110</v>
      </c>
    </row>
    <row r="4" spans="1:3">
      <c r="A4" t="s">
        <v>1985</v>
      </c>
      <c r="B4">
        <f>SUM(dataa!J:J)</f>
        <v>113217365</v>
      </c>
    </row>
    <row r="5" spans="1:3">
      <c r="A5" t="s">
        <v>1986</v>
      </c>
      <c r="B5" t="s">
        <v>2143</v>
      </c>
    </row>
    <row r="6" spans="1:3">
      <c r="A6" t="s">
        <v>1987</v>
      </c>
      <c r="B6">
        <f>MAX(dataa!J:J)</f>
        <v>258498</v>
      </c>
      <c r="C6">
        <f>LARGE(dataa!J:J,1)</f>
        <v>258498</v>
      </c>
    </row>
    <row r="7" spans="1:3">
      <c r="A7" t="s">
        <v>1988</v>
      </c>
      <c r="B7">
        <f>MIN(dataa!J:J)</f>
        <v>40063</v>
      </c>
      <c r="C7">
        <f>SMALL(dataa!J:J,1)</f>
        <v>40063</v>
      </c>
    </row>
    <row r="8" spans="1:3">
      <c r="A8" t="s">
        <v>1989</v>
      </c>
      <c r="B8">
        <f>LARGE(dataa!J:J,2)</f>
        <v>258426</v>
      </c>
    </row>
    <row r="9" spans="1:3">
      <c r="A9" t="s">
        <v>1990</v>
      </c>
      <c r="B9">
        <f>LARGE(dataa!J:J,3)</f>
        <v>258081</v>
      </c>
    </row>
    <row r="10" spans="1:3">
      <c r="A10" t="s">
        <v>1991</v>
      </c>
      <c r="B10">
        <f>LARGE(dataa!J:J,10)</f>
        <v>254289</v>
      </c>
    </row>
    <row r="11" spans="1:3">
      <c r="A11" t="s">
        <v>1992</v>
      </c>
      <c r="B11">
        <f>SMALL(dataa!J:J,2)</f>
        <v>40124</v>
      </c>
    </row>
    <row r="12" spans="1:3">
      <c r="A12" t="s">
        <v>1993</v>
      </c>
      <c r="B12">
        <f>SMALL(dataa!J:J,3)</f>
        <v>40316</v>
      </c>
    </row>
    <row r="13" spans="1:3">
      <c r="A13" t="s">
        <v>1994</v>
      </c>
      <c r="B13">
        <f>SMALL(dataa!J:J,13)</f>
        <v>41859</v>
      </c>
    </row>
    <row r="14" spans="1:3">
      <c r="A14" t="s">
        <v>1995</v>
      </c>
      <c r="B14">
        <f>COUNTIF(TBL_Employees3[Job Title],"Director")</f>
        <v>121</v>
      </c>
    </row>
    <row r="15" spans="1:3">
      <c r="A15" t="s">
        <v>1996</v>
      </c>
      <c r="B15">
        <f>COUNTIF(TBL_Employees3[Job Title],"Analyst")</f>
        <v>51</v>
      </c>
    </row>
    <row r="16" spans="1:3">
      <c r="A16" t="s">
        <v>1997</v>
      </c>
      <c r="B16">
        <f>COUNTIF(dataa!C:C, "Sr. Analyst")</f>
        <v>70</v>
      </c>
    </row>
    <row r="17" spans="1:2">
      <c r="A17" t="s">
        <v>1998</v>
      </c>
      <c r="B17">
        <f>COUNT(dataa!N:N)</f>
        <v>85</v>
      </c>
    </row>
    <row r="18" spans="1:2">
      <c r="A18" t="s">
        <v>1999</v>
      </c>
      <c r="B18">
        <f>COUNTIF(dataa!D:D,"IT")</f>
        <v>241</v>
      </c>
    </row>
    <row r="19" spans="1:2">
      <c r="A19" t="s">
        <v>2000</v>
      </c>
      <c r="B19">
        <f>COUNTIFS(dataa!G:G,"Asian",dataa!L:L,"United States")</f>
        <v>186</v>
      </c>
    </row>
    <row r="20" spans="1:2">
      <c r="A20" t="s">
        <v>2001</v>
      </c>
      <c r="B20">
        <f>COUNTIFS(dataa!F:F,"Female",dataa!M:M,"Chicago")</f>
        <v>52</v>
      </c>
    </row>
    <row r="21" spans="1:2">
      <c r="A21" t="s">
        <v>2002</v>
      </c>
      <c r="B21">
        <f>COUNTIFS(dataa!G:G,"Caucasian",dataa!L:L,"United States")</f>
        <v>271</v>
      </c>
    </row>
    <row r="22" spans="1:2">
      <c r="A22" t="s">
        <v>2003</v>
      </c>
      <c r="B22">
        <f>COUNTIF(dataa!J:J,"&gt;99999")</f>
        <v>460</v>
      </c>
    </row>
    <row r="23" spans="1:2">
      <c r="A23" t="s">
        <v>2004</v>
      </c>
      <c r="B23">
        <f>COUNTIF(dataa!G:G,"Asian")+ COUNTIF(dataa!L:L,"China") -COUNTIFS(dataa!G:G,"Asian",dataa!L:L,"China")</f>
        <v>404</v>
      </c>
    </row>
    <row r="24" spans="1:2">
      <c r="A24" t="s">
        <v>2005</v>
      </c>
      <c r="B24">
        <f t="array" ref="B24">SUM(COUNTIF(dataa!E:E,{"Research &amp; Development";"Corporate"}))</f>
        <v>466</v>
      </c>
    </row>
    <row r="25" spans="1:2">
      <c r="A25" t="s">
        <v>2006</v>
      </c>
      <c r="B25">
        <f>COUNTIFS(dataa!D:D,"Engineering", dataa!C:C,"Engineering Manager")</f>
        <v>20</v>
      </c>
    </row>
    <row r="26" spans="1:2">
      <c r="A26" t="s">
        <v>2007</v>
      </c>
      <c r="B26">
        <f>COUNTIFS(dataa!G:G,"Asian",dataa!F:F,"Female")</f>
        <v>207</v>
      </c>
    </row>
    <row r="27" spans="1:2">
      <c r="A27" t="s">
        <v>2008</v>
      </c>
      <c r="B27">
        <f>COUNTIFS(dataa!E:E,"Research &amp; Development",dataa!D:D,"IT")</f>
        <v>55</v>
      </c>
    </row>
    <row r="28" spans="1:2">
      <c r="A28" t="s">
        <v>2009</v>
      </c>
      <c r="B28">
        <f>COUNTBLANK(dataa!N1:N1001)</f>
        <v>915</v>
      </c>
    </row>
    <row r="29" spans="1:2">
      <c r="A29" t="s">
        <v>2010</v>
      </c>
      <c r="B29">
        <f>MAX(dataa!H:H)</f>
        <v>65</v>
      </c>
    </row>
    <row r="30" spans="1:2">
      <c r="A30" t="s">
        <v>2011</v>
      </c>
      <c r="B30">
        <f>MIN(dataa!H:H)</f>
        <v>25</v>
      </c>
    </row>
    <row r="31" spans="1:2">
      <c r="A31" t="s">
        <v>2012</v>
      </c>
      <c r="B31">
        <f>COUNTIF(dataa!H:H,"&lt;30")</f>
        <v>121</v>
      </c>
    </row>
    <row r="32" spans="1:2">
      <c r="A32" t="s">
        <v>2013</v>
      </c>
      <c r="B32">
        <f>COUNTIF(dataa!H:H,"&gt;50")</f>
        <v>333</v>
      </c>
    </row>
    <row r="33" spans="1:4">
      <c r="A33" t="s">
        <v>2014</v>
      </c>
      <c r="B33">
        <f>COUNTIFS(dataa!C:C,"Engineering Manager",dataa!D:D,"Engineering",dataa!H:H,"&lt;35")</f>
        <v>3</v>
      </c>
    </row>
    <row r="34" spans="1:4">
      <c r="A34" t="s">
        <v>2015</v>
      </c>
      <c r="B34">
        <f>COUNTIFS(dataa!C:C,"Director",dataa!D:D,"Human resources",dataa!F:F,"Male",dataa!H:H,"&gt;50")</f>
        <v>1</v>
      </c>
    </row>
    <row r="35" spans="1:4">
      <c r="A35" t="s">
        <v>2016</v>
      </c>
      <c r="B35">
        <f>COUNTIFS(dataa!G:G,"Asian",dataa!F:F,"Female",dataa!D:D,"Engineering",dataa!H:H,"&lt;35")</f>
        <v>6</v>
      </c>
    </row>
    <row r="36" spans="1:4">
      <c r="A36" t="s">
        <v>2017</v>
      </c>
      <c r="B36" s="6">
        <f>MIN(dataa!I:I)</f>
        <v>33612</v>
      </c>
      <c r="D36" s="6">
        <f>MIN(dataa!I:I)</f>
        <v>33612</v>
      </c>
    </row>
    <row r="37" spans="1:4">
      <c r="A37" t="s">
        <v>2018</v>
      </c>
      <c r="B37" s="6">
        <f>MAX(dataa!I:I)</f>
        <v>44556</v>
      </c>
    </row>
    <row r="38" spans="1:4">
      <c r="A38" t="s">
        <v>2019</v>
      </c>
      <c r="B38" s="6">
        <f>SMALL(dataa!I:I,2)</f>
        <v>33682</v>
      </c>
    </row>
    <row r="39" spans="1:4">
      <c r="A39" t="s">
        <v>2020</v>
      </c>
      <c r="B39" s="6">
        <f>SMALL(dataa!I:I,3)</f>
        <v>33695</v>
      </c>
    </row>
    <row r="40" spans="1:4">
      <c r="A40" t="s">
        <v>2021</v>
      </c>
      <c r="B40">
        <f>COUNTIF(TBL_Employees3[Job Title],"IT Coordinator")</f>
        <v>11</v>
      </c>
    </row>
    <row r="41" spans="1:4">
      <c r="A41" t="s">
        <v>2022</v>
      </c>
      <c r="B41" t="s">
        <v>2142</v>
      </c>
    </row>
    <row r="42" spans="1:4">
      <c r="A42" t="s">
        <v>2023</v>
      </c>
      <c r="B42">
        <f>COUNTIFS(dataa!G:G,"Black",dataa!F:F,"Female")</f>
        <v>37</v>
      </c>
    </row>
    <row r="43" spans="1:4">
      <c r="A43" t="s">
        <v>2024</v>
      </c>
      <c r="B43">
        <f>COUNTIFS(dataa!C:C,"Director",dataa!F:F,"Female")</f>
        <v>66</v>
      </c>
    </row>
    <row r="44" spans="1:4">
      <c r="A44" t="s">
        <v>2025</v>
      </c>
      <c r="B44">
        <f>COUNTIFS(dataa!C:C,"Manager",dataa!F:F,"Female",dataa!D:D,"Sales")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Questions</vt:lpstr>
      <vt:lpstr>Sheet1</vt:lpstr>
      <vt:lpstr>dataa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NAVIN SINGH</cp:lastModifiedBy>
  <dcterms:created xsi:type="dcterms:W3CDTF">2022-08-29T14:02:56Z</dcterms:created>
  <dcterms:modified xsi:type="dcterms:W3CDTF">2023-05-03T05:35:41Z</dcterms:modified>
</cp:coreProperties>
</file>