
<file path=[Content_Types].xml><?xml version="1.0" encoding="utf-8"?>
<Types xmlns="http://schemas.openxmlformats.org/package/2006/content-types">
  <Override PartName="/xl/diagrams/layout1.xml" ContentType="application/vnd.openxmlformats-officedocument.drawingml.diagramLayout+xml"/>
  <Override PartName="/xl/diagrams/quickStyle1.xml" ContentType="application/vnd.openxmlformats-officedocument.drawingml.diagramStyle+xml"/>
  <Override PartName="/xl/tables/table4.xml" ContentType="application/vnd.openxmlformats-officedocument.spreadsheetml.table+xml"/>
  <Override PartName="/xl/pivotTables/pivotTable6.xml" ContentType="application/vnd.openxmlformats-officedocument.spreadsheetml.pivotTable+xml"/>
  <Override PartName="/xl/charts/chart6.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2.xml" ContentType="application/vnd.openxmlformats-officedocument.spreadsheetml.table+xml"/>
  <Override PartName="/xl/pivotTables/pivotTable4.xml" ContentType="application/vnd.openxmlformats-officedocument.spreadsheetml.pivotTable+xml"/>
  <Override PartName="/xl/charts/chart4.xml" ContentType="application/vnd.openxmlformats-officedocument.drawingml.chart+xml"/>
  <Override PartName="/xl/worksheets/sheet7.xml" ContentType="application/vnd.openxmlformats-officedocument.spreadsheetml.worksheet+xml"/>
  <Override PartName="/xl/pivotCache/pivotCacheDefinition6.xml" ContentType="application/vnd.openxmlformats-officedocument.spreadsheetml.pivotCacheDefinition+xml"/>
  <Override PartName="/xl/pivotTables/pivotTable2.xml" ContentType="application/vnd.openxmlformats-officedocument.spreadsheetml.pivotTable+xml"/>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pivotCache/pivotCacheDefinition4.xml" ContentType="application/vnd.openxmlformats-officedocument.spreadsheetml.pivotCacheDefinition+xml"/>
  <Override PartName="/xl/drawings/drawing2.xml" ContentType="application/vnd.openxmlformats-officedocument.drawing+xml"/>
  <Default Extension="ppt" ContentType="application/vnd.ms-powerpoint"/>
  <Override PartName="/xl/tables/table10.xml" ContentType="application/vnd.openxmlformats-officedocument.spreadsheetml.table+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connections.xml" ContentType="application/vnd.openxmlformats-officedocument.spreadsheetml.connection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5.xml" ContentType="application/vnd.openxmlformats-officedocument.spreadsheetml.pivotCacheRecords+xml"/>
  <Override PartName="/xl/pivotCache/pivotCacheRecords6.xml" ContentType="application/vnd.openxmlformats-officedocument.spreadsheetml.pivotCacheRecords+xml"/>
  <Default Extension="vml" ContentType="application/vnd.openxmlformats-officedocument.vmlDrawing"/>
  <Override PartName="/xl/tables/table9.xml" ContentType="application/vnd.openxmlformats-officedocument.spreadsheetml.table+xml"/>
  <Override PartName="/xl/pivotTables/pivotTable11.xml" ContentType="application/vnd.openxmlformats-officedocument.spreadsheetml.pivotTable+xml"/>
  <Override PartName="/xl/calcChain.xml" ContentType="application/vnd.openxmlformats-officedocument.spreadsheetml.calcChain+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sharedStrings.xml" ContentType="application/vnd.openxmlformats-officedocument.spreadsheetml.sharedStrings+xml"/>
  <Override PartName="/xl/pivotTables/pivotTable9.xml" ContentType="application/vnd.openxmlformats-officedocument.spreadsheetml.pivotTable+xml"/>
  <Override PartName="/xl/tables/table7.xml" ContentType="application/vnd.openxmlformats-officedocument.spreadsheetml.table+xml"/>
  <Override PartName="/xl/tables/table8.xml" ContentType="application/vnd.openxmlformats-officedocument.spreadsheetml.table+xml"/>
  <Override PartName="/xl/pivotTables/pivotTable10.xml" ContentType="application/vnd.openxmlformats-officedocument.spreadsheetml.pivotTabl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tables/table5.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6.xml" ContentType="application/vnd.openxmlformats-officedocument.spreadsheetml.table+xml"/>
  <Override PartName="/docProps/core.xml" ContentType="application/vnd.openxmlformats-package.core-properties+xml"/>
  <Default Extension="bin" ContentType="application/vnd.openxmlformats-officedocument.spreadsheetml.printerSettings"/>
  <Override PartName="/xl/tables/table3.xml" ContentType="application/vnd.openxmlformats-officedocument.spreadsheetml.table+xml"/>
  <Default Extension="png" ContentType="image/png"/>
  <Override PartName="/xl/pivotTables/pivotTable5.xml" ContentType="application/vnd.openxmlformats-officedocument.spreadsheetml.pivotTable+xml"/>
  <Override PartName="/xl/charts/chart7.xml" ContentType="application/vnd.openxmlformats-officedocument.drawingml.chart+xml"/>
  <Override PartName="/xl/tables/table1.xml" ContentType="application/vnd.openxmlformats-officedocument.spreadsheetml.table+xml"/>
  <Override PartName="/xl/pivotTables/pivotTable3.xml" ContentType="application/vnd.openxmlformats-officedocument.spreadsheetml.pivotTable+xml"/>
  <Override PartName="/xl/charts/chart5.xml" ContentType="application/vnd.openxmlformats-officedocument.drawingml.chart+xml"/>
  <Override PartName="/xl/worksheets/sheet6.xml" ContentType="application/vnd.openxmlformats-officedocument.spreadsheetml.worksheet+xml"/>
  <Override PartName="/xl/worksheets/sheet8.xml" ContentType="application/vnd.openxmlformats-officedocument.spreadsheetml.worksheet+xml"/>
  <Override PartName="/xl/pivotCache/pivotCacheDefinition7.xml" ContentType="application/vnd.openxmlformats-officedocument.spreadsheetml.pivotCacheDefinition+xml"/>
  <Override PartName="/xl/diagrams/data1.xml" ContentType="application/vnd.openxmlformats-officedocument.drawingml.diagramData+xml"/>
  <Override PartName="/xl/diagrams/colors1.xml" ContentType="application/vnd.openxmlformats-officedocument.drawingml.diagramColors+xml"/>
  <Default Extension="emf" ContentType="image/x-emf"/>
  <Override PartName="/xl/pivotTables/pivotTable1.xml" ContentType="application/vnd.openxmlformats-officedocument.spreadsheetml.pivotTable+xml"/>
  <Override PartName="/xl/charts/chart3.xml" ContentType="application/vnd.openxmlformats-officedocument.drawingml.chart+xml"/>
  <Default Extension="jpeg" ContentType="image/jpeg"/>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pivotCache/pivotCacheDefinition5.xml" ContentType="application/vnd.openxmlformats-officedocument.spreadsheetml.pivotCacheDefinition+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pivotCache/pivotCacheDefinition3.xml" ContentType="application/vnd.openxmlformats-officedocument.spreadsheetml.pivotCacheDefinition+xml"/>
  <Override PartName="/xl/pivotCache/pivotCacheRecords7.xml" ContentType="application/vnd.openxmlformats-officedocument.spreadsheetml.pivotCacheRecord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08" yWindow="-108" windowWidth="23256" windowHeight="12456" activeTab="9"/>
  </bookViews>
  <sheets>
    <sheet name="Week-1" sheetId="1" r:id="rId1"/>
    <sheet name="Week-2" sheetId="2" r:id="rId2"/>
    <sheet name="week-3" sheetId="9" r:id="rId3"/>
    <sheet name="Week-4" sheetId="17" r:id="rId4"/>
    <sheet name="week-5" sheetId="19" r:id="rId5"/>
    <sheet name="Week-6" sheetId="20" r:id="rId6"/>
    <sheet name="pivot table" sheetId="10" r:id="rId7"/>
    <sheet name="Sheet5" sheetId="15" r:id="rId8"/>
    <sheet name="Sheet6" sheetId="16" r:id="rId9"/>
    <sheet name="PPT" sheetId="21" r:id="rId10"/>
  </sheets>
  <definedNames>
    <definedName name="_xlnm._FilterDatabase" localSheetId="0" hidden="1">'Week-1'!$H$79:$L$86</definedName>
    <definedName name="_xlnm._FilterDatabase" localSheetId="3" hidden="1">'Week-4'!$H$240:$J$247</definedName>
    <definedName name="_xlnm.Criteria" localSheetId="3">'Week-4'!$M$240:$O$241</definedName>
    <definedName name="_xlnm.Extract" localSheetId="3">'Week-4'!$L$244:$N$244</definedName>
    <definedName name="Slicer_date">#N/A</definedName>
  </definedNames>
  <calcPr calcId="124519"/>
  <pivotCaches>
    <pivotCache cacheId="7" r:id="rId11"/>
    <pivotCache cacheId="8" r:id="rId12"/>
    <pivotCache cacheId="9" r:id="rId13"/>
    <pivotCache cacheId="10" r:id="rId14"/>
    <pivotCache cacheId="11" r:id="rId15"/>
    <pivotCache cacheId="12" r:id="rId16"/>
    <pivotCache cacheId="13" r:id="rId17"/>
  </pivotCaches>
  <extLst>
    <ext xmlns:x14="http://schemas.microsoft.com/office/spreadsheetml/2009/9/main" uri="{BBE1A952-AA13-448e-AADC-164F8A28A991}">
      <x14:slicerCaches>
        <x14:slicerCache r:id=""/>
      </x14:slicerCaches>
    </ext>
    <ext xmlns:x14="http://schemas.microsoft.com/office/spreadsheetml/2009/9/main" uri="{79F54976-1DA5-4618-B147-4CDE4B953A38}">
      <x14:workbookPr/>
    </ext>
  </extLst>
</workbook>
</file>

<file path=xl/calcChain.xml><?xml version="1.0" encoding="utf-8"?>
<calcChain xmlns="http://schemas.openxmlformats.org/spreadsheetml/2006/main">
  <c r="G150" i="20"/>
  <c r="G151" s="1"/>
  <c r="G152" s="1"/>
  <c r="G153" s="1"/>
  <c r="G149"/>
  <c r="F134"/>
  <c r="F132"/>
  <c r="F130"/>
  <c r="F128"/>
  <c r="F126"/>
  <c r="F124"/>
  <c r="F122"/>
  <c r="J100"/>
  <c r="K100"/>
  <c r="L100"/>
  <c r="M100"/>
  <c r="J101"/>
  <c r="K101"/>
  <c r="L101"/>
  <c r="M101"/>
  <c r="J102"/>
  <c r="K102"/>
  <c r="L102"/>
  <c r="M102"/>
  <c r="J103"/>
  <c r="K103"/>
  <c r="L103"/>
  <c r="M103"/>
  <c r="J104"/>
  <c r="K104"/>
  <c r="L104"/>
  <c r="M104"/>
  <c r="E114"/>
  <c r="E112"/>
  <c r="E110"/>
  <c r="E108"/>
  <c r="E106"/>
  <c r="E104"/>
  <c r="E102"/>
  <c r="K27"/>
  <c r="K89" i="19"/>
  <c r="K44"/>
  <c r="K45" s="1"/>
  <c r="K46" s="1"/>
  <c r="K47" s="1"/>
  <c r="K48" s="1"/>
  <c r="K49" s="1"/>
  <c r="K50" s="1"/>
  <c r="K51" s="1"/>
  <c r="K52" s="1"/>
  <c r="K53" s="1"/>
  <c r="K54" s="1"/>
  <c r="K55" s="1"/>
  <c r="K56" s="1"/>
  <c r="K57" s="1"/>
  <c r="D36"/>
  <c r="D35"/>
  <c r="I30"/>
  <c r="F31"/>
  <c r="L254" i="17"/>
  <c r="L255"/>
  <c r="L256"/>
  <c r="L257"/>
  <c r="L258"/>
  <c r="L259"/>
  <c r="L260"/>
  <c r="L261"/>
  <c r="L262"/>
  <c r="L253"/>
  <c r="K254"/>
  <c r="K255"/>
  <c r="K256"/>
  <c r="K257"/>
  <c r="K258"/>
  <c r="K259"/>
  <c r="K260"/>
  <c r="K261"/>
  <c r="K262"/>
  <c r="K253"/>
  <c r="J254"/>
  <c r="J255"/>
  <c r="J256"/>
  <c r="J257"/>
  <c r="J258"/>
  <c r="J259"/>
  <c r="J260"/>
  <c r="J261"/>
  <c r="J262"/>
  <c r="J253"/>
  <c r="J242"/>
  <c r="J243" s="1"/>
  <c r="J244" s="1"/>
  <c r="J245" s="1"/>
  <c r="J246" s="1"/>
  <c r="J247" s="1"/>
  <c r="I242"/>
  <c r="I243" s="1"/>
  <c r="I244" s="1"/>
  <c r="I245" s="1"/>
  <c r="I246" s="1"/>
  <c r="I247" s="1"/>
  <c r="J224"/>
  <c r="F219"/>
  <c r="N187"/>
  <c r="N188"/>
  <c r="N189"/>
  <c r="N190"/>
  <c r="N191"/>
  <c r="N192"/>
  <c r="N193"/>
  <c r="N194"/>
  <c r="N195"/>
  <c r="N196"/>
  <c r="N197"/>
  <c r="N198"/>
  <c r="N199"/>
  <c r="N200"/>
  <c r="N186"/>
  <c r="M187"/>
  <c r="M188"/>
  <c r="M189"/>
  <c r="M190"/>
  <c r="M191"/>
  <c r="M192"/>
  <c r="M193"/>
  <c r="M194"/>
  <c r="M195"/>
  <c r="M196"/>
  <c r="M197"/>
  <c r="M198"/>
  <c r="M199"/>
  <c r="M200"/>
  <c r="M186"/>
  <c r="L187"/>
  <c r="L188"/>
  <c r="L189"/>
  <c r="L190"/>
  <c r="L191"/>
  <c r="L192"/>
  <c r="L193"/>
  <c r="L194"/>
  <c r="L195"/>
  <c r="L196"/>
  <c r="L197"/>
  <c r="L198"/>
  <c r="L199"/>
  <c r="L200"/>
  <c r="L186"/>
  <c r="I187"/>
  <c r="I188" s="1"/>
  <c r="I189" s="1"/>
  <c r="I190" s="1"/>
  <c r="I191" s="1"/>
  <c r="I192" s="1"/>
  <c r="I193" s="1"/>
  <c r="I194" s="1"/>
  <c r="I195" s="1"/>
  <c r="I196" s="1"/>
  <c r="I197" s="1"/>
  <c r="I198" s="1"/>
  <c r="I199" s="1"/>
  <c r="I200" s="1"/>
  <c r="H187"/>
  <c r="H188" s="1"/>
  <c r="H189" s="1"/>
  <c r="H190" s="1"/>
  <c r="H191" s="1"/>
  <c r="H192" s="1"/>
  <c r="H193" s="1"/>
  <c r="H194" s="1"/>
  <c r="H195" s="1"/>
  <c r="H196" s="1"/>
  <c r="H197" s="1"/>
  <c r="H198" s="1"/>
  <c r="H199" s="1"/>
  <c r="H200" s="1"/>
  <c r="N134"/>
  <c r="M134"/>
  <c r="L134"/>
  <c r="N133"/>
  <c r="M133"/>
  <c r="L133"/>
  <c r="N132"/>
  <c r="M132"/>
  <c r="L132"/>
  <c r="N131"/>
  <c r="M131"/>
  <c r="L131"/>
  <c r="N130"/>
  <c r="M130"/>
  <c r="L130"/>
  <c r="N129"/>
  <c r="M129"/>
  <c r="L129"/>
  <c r="N128"/>
  <c r="M128"/>
  <c r="L128"/>
  <c r="N127"/>
  <c r="M127"/>
  <c r="L127"/>
  <c r="N126"/>
  <c r="M126"/>
  <c r="L126"/>
  <c r="N125"/>
  <c r="M125"/>
  <c r="L125"/>
  <c r="N124"/>
  <c r="M124"/>
  <c r="L124"/>
  <c r="N123"/>
  <c r="M123"/>
  <c r="L123"/>
  <c r="N122"/>
  <c r="M122"/>
  <c r="L122"/>
  <c r="N121"/>
  <c r="M121"/>
  <c r="L121"/>
  <c r="N120"/>
  <c r="M120"/>
  <c r="L120"/>
  <c r="N119"/>
  <c r="M119"/>
  <c r="L119"/>
  <c r="N118"/>
  <c r="M118"/>
  <c r="L118"/>
  <c r="N117"/>
  <c r="M117"/>
  <c r="L117"/>
  <c r="N116"/>
  <c r="M116"/>
  <c r="L116"/>
  <c r="N115"/>
  <c r="M115"/>
  <c r="L115"/>
  <c r="N114"/>
  <c r="M114"/>
  <c r="L114"/>
  <c r="N113"/>
  <c r="M113"/>
  <c r="L113"/>
  <c r="N112"/>
  <c r="M112"/>
  <c r="L112"/>
  <c r="N111"/>
  <c r="M111"/>
  <c r="L111"/>
  <c r="N110"/>
  <c r="M110"/>
  <c r="L110"/>
  <c r="I110"/>
  <c r="I111" s="1"/>
  <c r="I112" s="1"/>
  <c r="I113" s="1"/>
  <c r="I114" s="1"/>
  <c r="I115" s="1"/>
  <c r="I116" s="1"/>
  <c r="I117" s="1"/>
  <c r="I118" s="1"/>
  <c r="I119" s="1"/>
  <c r="I120" s="1"/>
  <c r="I121" s="1"/>
  <c r="I122" s="1"/>
  <c r="I123" s="1"/>
  <c r="I124" s="1"/>
  <c r="I125" s="1"/>
  <c r="I126" s="1"/>
  <c r="I127" s="1"/>
  <c r="I128" s="1"/>
  <c r="I129" s="1"/>
  <c r="I130" s="1"/>
  <c r="I131" s="1"/>
  <c r="I132" s="1"/>
  <c r="I133" s="1"/>
  <c r="I134" s="1"/>
  <c r="H110"/>
  <c r="H111" s="1"/>
  <c r="H112" s="1"/>
  <c r="H113" s="1"/>
  <c r="H114" s="1"/>
  <c r="H115" s="1"/>
  <c r="H116" s="1"/>
  <c r="H117" s="1"/>
  <c r="H118" s="1"/>
  <c r="H119" s="1"/>
  <c r="H120" s="1"/>
  <c r="H121" s="1"/>
  <c r="H122" s="1"/>
  <c r="H123" s="1"/>
  <c r="H124" s="1"/>
  <c r="H125" s="1"/>
  <c r="H126" s="1"/>
  <c r="H127" s="1"/>
  <c r="H128" s="1"/>
  <c r="H129" s="1"/>
  <c r="H130" s="1"/>
  <c r="H131" s="1"/>
  <c r="H132" s="1"/>
  <c r="H133" s="1"/>
  <c r="H134" s="1"/>
  <c r="N109"/>
  <c r="M109"/>
  <c r="L109"/>
  <c r="G90"/>
  <c r="H90" s="1"/>
  <c r="G91"/>
  <c r="H91" s="1"/>
  <c r="G92"/>
  <c r="H92" s="1"/>
  <c r="G93"/>
  <c r="H93" s="1"/>
  <c r="G94"/>
  <c r="H94" s="1"/>
  <c r="G89"/>
  <c r="I50"/>
  <c r="I46"/>
  <c r="I49"/>
  <c r="I48"/>
  <c r="I47"/>
  <c r="O3" l="1"/>
  <c r="O4"/>
  <c r="O5"/>
  <c r="O6"/>
  <c r="O7"/>
  <c r="O8"/>
  <c r="O9"/>
  <c r="O10"/>
  <c r="O11"/>
  <c r="O12"/>
  <c r="O13"/>
  <c r="O14"/>
  <c r="O15"/>
  <c r="O16"/>
  <c r="O17"/>
  <c r="O18"/>
  <c r="O19"/>
  <c r="O20"/>
  <c r="O21"/>
  <c r="O22"/>
  <c r="O23"/>
  <c r="O24"/>
  <c r="O25"/>
  <c r="O26"/>
  <c r="O27"/>
  <c r="O28"/>
  <c r="N3"/>
  <c r="N4"/>
  <c r="N5"/>
  <c r="N6"/>
  <c r="N7"/>
  <c r="N8"/>
  <c r="N9"/>
  <c r="N10"/>
  <c r="N11"/>
  <c r="N12"/>
  <c r="N13"/>
  <c r="N14"/>
  <c r="N15"/>
  <c r="N16"/>
  <c r="N17"/>
  <c r="N18"/>
  <c r="N19"/>
  <c r="N20"/>
  <c r="N21"/>
  <c r="N22"/>
  <c r="N23"/>
  <c r="N24"/>
  <c r="N25"/>
  <c r="N26"/>
  <c r="N27"/>
  <c r="N28"/>
  <c r="M3"/>
  <c r="M4"/>
  <c r="M5"/>
  <c r="M6"/>
  <c r="M7"/>
  <c r="M8"/>
  <c r="M9"/>
  <c r="M10"/>
  <c r="M11"/>
  <c r="M12"/>
  <c r="M13"/>
  <c r="M14"/>
  <c r="M15"/>
  <c r="M16"/>
  <c r="M17"/>
  <c r="M18"/>
  <c r="M19"/>
  <c r="M20"/>
  <c r="M21"/>
  <c r="M22"/>
  <c r="M23"/>
  <c r="M24"/>
  <c r="M25"/>
  <c r="M26"/>
  <c r="M27"/>
  <c r="M28"/>
  <c r="I4"/>
  <c r="I5" s="1"/>
  <c r="I6" s="1"/>
  <c r="I7" s="1"/>
  <c r="I8" s="1"/>
  <c r="I9" s="1"/>
  <c r="I10" s="1"/>
  <c r="I11" s="1"/>
  <c r="I12" s="1"/>
  <c r="I13" s="1"/>
  <c r="I14" s="1"/>
  <c r="I15" s="1"/>
  <c r="I16" s="1"/>
  <c r="I17" s="1"/>
  <c r="I18" s="1"/>
  <c r="I19" s="1"/>
  <c r="I20" s="1"/>
  <c r="I21" s="1"/>
  <c r="I22" s="1"/>
  <c r="I23" s="1"/>
  <c r="I24" s="1"/>
  <c r="I25" s="1"/>
  <c r="I26" s="1"/>
  <c r="I27" s="1"/>
  <c r="I28" s="1"/>
  <c r="J4"/>
  <c r="J5" s="1"/>
  <c r="J6" s="1"/>
  <c r="J7" s="1"/>
  <c r="J8" s="1"/>
  <c r="J9" s="1"/>
  <c r="J10" s="1"/>
  <c r="J11" s="1"/>
  <c r="J12" s="1"/>
  <c r="J13" s="1"/>
  <c r="J14" s="1"/>
  <c r="J15" s="1"/>
  <c r="J16" s="1"/>
  <c r="J17" s="1"/>
  <c r="J18" s="1"/>
  <c r="J19" s="1"/>
  <c r="J20" s="1"/>
  <c r="J21" s="1"/>
  <c r="J22" s="1"/>
  <c r="J23" s="1"/>
  <c r="J24" s="1"/>
  <c r="J25" s="1"/>
  <c r="J26" s="1"/>
  <c r="J27" s="1"/>
  <c r="J28" s="1"/>
  <c r="C226" i="9"/>
  <c r="C224"/>
  <c r="C220"/>
  <c r="I183"/>
  <c r="I182"/>
  <c r="I181"/>
  <c r="I180"/>
  <c r="I179"/>
  <c r="I178"/>
  <c r="I177"/>
  <c r="I176"/>
  <c r="J175"/>
  <c r="J176" s="1"/>
  <c r="I175"/>
  <c r="I174"/>
  <c r="K174" s="1"/>
  <c r="H163"/>
  <c r="H162"/>
  <c r="H161"/>
  <c r="H160"/>
  <c r="H159"/>
  <c r="H158"/>
  <c r="H157"/>
  <c r="H156"/>
  <c r="J156" s="1"/>
  <c r="I155"/>
  <c r="I156" s="1"/>
  <c r="I157" s="1"/>
  <c r="H155"/>
  <c r="J155" s="1"/>
  <c r="H154"/>
  <c r="J154" s="1"/>
  <c r="I140"/>
  <c r="I141" s="1"/>
  <c r="I142" s="1"/>
  <c r="I143" s="1"/>
  <c r="I144" s="1"/>
  <c r="I145" s="1"/>
  <c r="I146" s="1"/>
  <c r="I147" s="1"/>
  <c r="I139"/>
  <c r="H139"/>
  <c r="H140"/>
  <c r="H141"/>
  <c r="H142"/>
  <c r="H143"/>
  <c r="H144"/>
  <c r="H145"/>
  <c r="H146"/>
  <c r="H147"/>
  <c r="H138"/>
  <c r="H44" i="16"/>
  <c r="H43"/>
  <c r="H42"/>
  <c r="H41"/>
  <c r="H40"/>
  <c r="H39"/>
  <c r="H38"/>
  <c r="H37"/>
  <c r="H36"/>
  <c r="H35"/>
  <c r="H34"/>
  <c r="H33"/>
  <c r="H32"/>
  <c r="H31"/>
  <c r="H30"/>
  <c r="H29"/>
  <c r="H28"/>
  <c r="H27"/>
  <c r="H26"/>
  <c r="H25"/>
  <c r="H24"/>
  <c r="H23"/>
  <c r="H22"/>
  <c r="H21"/>
  <c r="H20"/>
  <c r="H19"/>
  <c r="H18"/>
  <c r="H17"/>
  <c r="H16"/>
  <c r="H15"/>
  <c r="H14"/>
  <c r="H13"/>
  <c r="H12"/>
  <c r="H11"/>
  <c r="H10"/>
  <c r="H9"/>
  <c r="H8"/>
  <c r="H7"/>
  <c r="H6"/>
  <c r="H5"/>
  <c r="H4"/>
  <c r="H3"/>
  <c r="H2"/>
  <c r="D56"/>
  <c r="I158" i="9" l="1"/>
  <c r="I159" s="1"/>
  <c r="I160" s="1"/>
  <c r="I161" s="1"/>
  <c r="J157"/>
  <c r="K175"/>
  <c r="J177"/>
  <c r="K176"/>
  <c r="E67"/>
  <c r="E64"/>
  <c r="E65"/>
  <c r="E66"/>
  <c r="E63"/>
  <c r="I53"/>
  <c r="I54"/>
  <c r="I55"/>
  <c r="I56"/>
  <c r="I52"/>
  <c r="I35"/>
  <c r="I36" s="1"/>
  <c r="I34"/>
  <c r="J35" s="1"/>
  <c r="X112" i="10"/>
  <c r="W112"/>
  <c r="W3"/>
  <c r="W4"/>
  <c r="W5"/>
  <c r="W6"/>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X3"/>
  <c r="X4"/>
  <c r="X5"/>
  <c r="X6"/>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2"/>
  <c r="W2"/>
  <c r="B4" i="9"/>
  <c r="E274" i="2"/>
  <c r="E275"/>
  <c r="E276"/>
  <c r="E273"/>
  <c r="D274"/>
  <c r="D275"/>
  <c r="D276"/>
  <c r="D273"/>
  <c r="D271"/>
  <c r="D270"/>
  <c r="D269"/>
  <c r="E241"/>
  <c r="F241"/>
  <c r="G241"/>
  <c r="H241"/>
  <c r="I241"/>
  <c r="J241"/>
  <c r="E242"/>
  <c r="F242"/>
  <c r="G242"/>
  <c r="H242"/>
  <c r="I242"/>
  <c r="J242"/>
  <c r="E243"/>
  <c r="F243"/>
  <c r="G243"/>
  <c r="H243"/>
  <c r="I243"/>
  <c r="J243"/>
  <c r="E244"/>
  <c r="F244"/>
  <c r="G244"/>
  <c r="H244"/>
  <c r="I244"/>
  <c r="J244"/>
  <c r="E245"/>
  <c r="F245"/>
  <c r="G245"/>
  <c r="H245"/>
  <c r="I245"/>
  <c r="J245"/>
  <c r="E246"/>
  <c r="F246"/>
  <c r="G246"/>
  <c r="H246"/>
  <c r="I246"/>
  <c r="J246"/>
  <c r="E247"/>
  <c r="F247"/>
  <c r="G247"/>
  <c r="H247"/>
  <c r="I247"/>
  <c r="J247"/>
  <c r="E248"/>
  <c r="F248"/>
  <c r="G248"/>
  <c r="H248"/>
  <c r="I248"/>
  <c r="J248"/>
  <c r="E249"/>
  <c r="F249"/>
  <c r="G249"/>
  <c r="H249"/>
  <c r="I249"/>
  <c r="J249"/>
  <c r="D242"/>
  <c r="D243"/>
  <c r="D244"/>
  <c r="D245"/>
  <c r="D246"/>
  <c r="D247"/>
  <c r="D248"/>
  <c r="D249"/>
  <c r="D241"/>
  <c r="K241"/>
  <c r="L241"/>
  <c r="M241"/>
  <c r="N241"/>
  <c r="O241"/>
  <c r="P241"/>
  <c r="L242"/>
  <c r="M242"/>
  <c r="N242"/>
  <c r="O242"/>
  <c r="P242"/>
  <c r="L243"/>
  <c r="M243"/>
  <c r="N243"/>
  <c r="O243"/>
  <c r="P243"/>
  <c r="L244"/>
  <c r="M244"/>
  <c r="N244"/>
  <c r="O244"/>
  <c r="P244"/>
  <c r="L245"/>
  <c r="M245"/>
  <c r="N245"/>
  <c r="O245"/>
  <c r="P245"/>
  <c r="L246"/>
  <c r="M246"/>
  <c r="N246"/>
  <c r="O246"/>
  <c r="P246"/>
  <c r="L247"/>
  <c r="M247"/>
  <c r="N247"/>
  <c r="O247"/>
  <c r="P247"/>
  <c r="K242"/>
  <c r="K243"/>
  <c r="K244"/>
  <c r="K245"/>
  <c r="K246"/>
  <c r="K247"/>
  <c r="K227"/>
  <c r="K228"/>
  <c r="K229"/>
  <c r="K230"/>
  <c r="K231"/>
  <c r="K232"/>
  <c r="K233"/>
  <c r="K234"/>
  <c r="K235"/>
  <c r="K226"/>
  <c r="F223"/>
  <c r="F217"/>
  <c r="F212"/>
  <c r="F207"/>
  <c r="Q137"/>
  <c r="D137"/>
  <c r="U139"/>
  <c r="V139" s="1"/>
  <c r="W139" s="1"/>
  <c r="X139" s="1"/>
  <c r="T139"/>
  <c r="R140"/>
  <c r="R141" s="1"/>
  <c r="R142" s="1"/>
  <c r="R143" s="1"/>
  <c r="R144" s="1"/>
  <c r="R145" s="1"/>
  <c r="R146" s="1"/>
  <c r="R147" s="1"/>
  <c r="R148" s="1"/>
  <c r="R149" s="1"/>
  <c r="R150" s="1"/>
  <c r="R151" s="1"/>
  <c r="R152" s="1"/>
  <c r="R153" s="1"/>
  <c r="R154" s="1"/>
  <c r="R155" s="1"/>
  <c r="R156" s="1"/>
  <c r="R157" s="1"/>
  <c r="G139"/>
  <c r="H139" s="1"/>
  <c r="I139" s="1"/>
  <c r="J139" s="1"/>
  <c r="K139" s="1"/>
  <c r="L139" s="1"/>
  <c r="M139" s="1"/>
  <c r="N139" s="1"/>
  <c r="O139" s="1"/>
  <c r="F139"/>
  <c r="D144"/>
  <c r="D146"/>
  <c r="D148"/>
  <c r="D150"/>
  <c r="D152"/>
  <c r="D154"/>
  <c r="D142"/>
  <c r="G113"/>
  <c r="H113"/>
  <c r="G114"/>
  <c r="H114"/>
  <c r="G115"/>
  <c r="H115"/>
  <c r="G116"/>
  <c r="H116"/>
  <c r="G117"/>
  <c r="H117"/>
  <c r="G118"/>
  <c r="H118"/>
  <c r="G119"/>
  <c r="H119"/>
  <c r="G120"/>
  <c r="H120"/>
  <c r="G121"/>
  <c r="H121"/>
  <c r="G122"/>
  <c r="H122"/>
  <c r="G123"/>
  <c r="H123"/>
  <c r="G124"/>
  <c r="H124"/>
  <c r="G125"/>
  <c r="H125"/>
  <c r="I114"/>
  <c r="I115"/>
  <c r="I116"/>
  <c r="I117"/>
  <c r="I118"/>
  <c r="I119"/>
  <c r="I120"/>
  <c r="I121"/>
  <c r="I122"/>
  <c r="I123"/>
  <c r="I124"/>
  <c r="I125"/>
  <c r="I113"/>
  <c r="L94"/>
  <c r="R101"/>
  <c r="Q101"/>
  <c r="R100"/>
  <c r="Q100"/>
  <c r="R99"/>
  <c r="Q99"/>
  <c r="R98"/>
  <c r="Q98"/>
  <c r="R97"/>
  <c r="Q97"/>
  <c r="R96"/>
  <c r="Q96"/>
  <c r="R95"/>
  <c r="Q95"/>
  <c r="R94"/>
  <c r="Q94"/>
  <c r="M94"/>
  <c r="L98"/>
  <c r="L95"/>
  <c r="L96"/>
  <c r="L97"/>
  <c r="L99"/>
  <c r="L100"/>
  <c r="L101"/>
  <c r="L102"/>
  <c r="L103"/>
  <c r="M95"/>
  <c r="M96"/>
  <c r="M97"/>
  <c r="M98"/>
  <c r="M99"/>
  <c r="M100"/>
  <c r="M101"/>
  <c r="M102"/>
  <c r="M103"/>
  <c r="D83"/>
  <c r="F83" s="1"/>
  <c r="D82"/>
  <c r="F82" s="1"/>
  <c r="D78"/>
  <c r="H78" s="1"/>
  <c r="D68"/>
  <c r="F68" s="1"/>
  <c r="D67"/>
  <c r="F67" s="1"/>
  <c r="F39"/>
  <c r="F41"/>
  <c r="F40"/>
  <c r="I25"/>
  <c r="I26"/>
  <c r="I27"/>
  <c r="I24"/>
  <c r="E22"/>
  <c r="E23"/>
  <c r="E24"/>
  <c r="E25"/>
  <c r="E26"/>
  <c r="E27"/>
  <c r="E21"/>
  <c r="J21"/>
  <c r="J20"/>
  <c r="J19"/>
  <c r="J18"/>
  <c r="E16"/>
  <c r="E15"/>
  <c r="I11"/>
  <c r="I12" s="1"/>
  <c r="H16" s="1"/>
  <c r="F9"/>
  <c r="F10"/>
  <c r="F11"/>
  <c r="F12"/>
  <c r="F8"/>
  <c r="E9"/>
  <c r="E10"/>
  <c r="E11"/>
  <c r="E12"/>
  <c r="E8"/>
  <c r="B9"/>
  <c r="B8"/>
  <c r="AA129" i="1"/>
  <c r="AA130"/>
  <c r="AA131"/>
  <c r="AA132"/>
  <c r="AA133"/>
  <c r="AA134"/>
  <c r="AA135"/>
  <c r="AA136"/>
  <c r="AA137"/>
  <c r="AA128"/>
  <c r="Z129"/>
  <c r="Z130"/>
  <c r="Z131"/>
  <c r="Z132"/>
  <c r="Z133"/>
  <c r="Z134"/>
  <c r="Z135"/>
  <c r="Z136"/>
  <c r="Z137"/>
  <c r="Z128"/>
  <c r="M102"/>
  <c r="M103"/>
  <c r="M104"/>
  <c r="M105"/>
  <c r="M106"/>
  <c r="M107"/>
  <c r="M108"/>
  <c r="M109"/>
  <c r="M110"/>
  <c r="M111"/>
  <c r="M112"/>
  <c r="M101"/>
  <c r="L101"/>
  <c r="L102"/>
  <c r="L103"/>
  <c r="L104"/>
  <c r="L105"/>
  <c r="L106"/>
  <c r="L107"/>
  <c r="L108"/>
  <c r="L109"/>
  <c r="L110"/>
  <c r="L111"/>
  <c r="L112"/>
  <c r="K102"/>
  <c r="K103"/>
  <c r="K104"/>
  <c r="K105"/>
  <c r="K106"/>
  <c r="K107"/>
  <c r="K108"/>
  <c r="K109"/>
  <c r="K110"/>
  <c r="K111"/>
  <c r="K112"/>
  <c r="K101"/>
  <c r="J101"/>
  <c r="J102"/>
  <c r="J103"/>
  <c r="J104"/>
  <c r="J105"/>
  <c r="J106"/>
  <c r="J107"/>
  <c r="J108"/>
  <c r="J109"/>
  <c r="J110"/>
  <c r="J111"/>
  <c r="J112"/>
  <c r="I102"/>
  <c r="I103"/>
  <c r="I104"/>
  <c r="I105"/>
  <c r="I106"/>
  <c r="I107"/>
  <c r="I108"/>
  <c r="I109"/>
  <c r="I110"/>
  <c r="I111"/>
  <c r="I112"/>
  <c r="I101"/>
  <c r="H102"/>
  <c r="H103"/>
  <c r="H104"/>
  <c r="H105"/>
  <c r="H106"/>
  <c r="H107"/>
  <c r="H108"/>
  <c r="H109"/>
  <c r="H110"/>
  <c r="H111"/>
  <c r="H112"/>
  <c r="H101"/>
  <c r="G103"/>
  <c r="G102"/>
  <c r="G104"/>
  <c r="G101"/>
  <c r="F102"/>
  <c r="F103"/>
  <c r="F104"/>
  <c r="F105"/>
  <c r="F106"/>
  <c r="F107"/>
  <c r="F108"/>
  <c r="F109"/>
  <c r="F101"/>
  <c r="J158" i="9" l="1"/>
  <c r="J160"/>
  <c r="J159"/>
  <c r="I162"/>
  <c r="J161"/>
  <c r="J178"/>
  <c r="K177"/>
  <c r="D139" i="2"/>
  <c r="E73"/>
  <c r="E43"/>
  <c r="F98" i="1"/>
  <c r="F99"/>
  <c r="F97"/>
  <c r="K91"/>
  <c r="K92"/>
  <c r="K90"/>
  <c r="L79"/>
  <c r="K85"/>
  <c r="K86"/>
  <c r="K84"/>
  <c r="K82"/>
  <c r="J82"/>
  <c r="J83"/>
  <c r="J80"/>
  <c r="J81"/>
  <c r="K80"/>
  <c r="K79"/>
  <c r="K78"/>
  <c r="E71"/>
  <c r="E69"/>
  <c r="E68"/>
  <c r="L44"/>
  <c r="L45"/>
  <c r="L46"/>
  <c r="L47"/>
  <c r="L48"/>
  <c r="L49"/>
  <c r="L50"/>
  <c r="L51"/>
  <c r="L52"/>
  <c r="L43"/>
  <c r="K44"/>
  <c r="K45"/>
  <c r="K46"/>
  <c r="K47"/>
  <c r="K48"/>
  <c r="K49"/>
  <c r="K50"/>
  <c r="K51"/>
  <c r="K52"/>
  <c r="K43"/>
  <c r="J44"/>
  <c r="J45"/>
  <c r="J46"/>
  <c r="J47"/>
  <c r="J48"/>
  <c r="J49"/>
  <c r="J50"/>
  <c r="J51"/>
  <c r="J52"/>
  <c r="J43"/>
  <c r="H52"/>
  <c r="G52" s="1"/>
  <c r="I52"/>
  <c r="H51"/>
  <c r="G51" s="1"/>
  <c r="I51"/>
  <c r="I44"/>
  <c r="I45"/>
  <c r="I46"/>
  <c r="I47"/>
  <c r="I48"/>
  <c r="I49"/>
  <c r="I50"/>
  <c r="I43"/>
  <c r="H44"/>
  <c r="H45"/>
  <c r="H46"/>
  <c r="H47"/>
  <c r="H48"/>
  <c r="H49"/>
  <c r="H50"/>
  <c r="H43"/>
  <c r="G44"/>
  <c r="G45"/>
  <c r="G46"/>
  <c r="G47"/>
  <c r="G48"/>
  <c r="G49"/>
  <c r="G50"/>
  <c r="G43"/>
  <c r="C41"/>
  <c r="C40"/>
  <c r="C39"/>
  <c r="C38"/>
  <c r="J21"/>
  <c r="J22"/>
  <c r="J23"/>
  <c r="J24"/>
  <c r="J25"/>
  <c r="J26"/>
  <c r="J27"/>
  <c r="J28"/>
  <c r="J29"/>
  <c r="J30"/>
  <c r="J31"/>
  <c r="J32"/>
  <c r="J33"/>
  <c r="J34"/>
  <c r="J20"/>
  <c r="J35" s="1"/>
  <c r="I21"/>
  <c r="I22"/>
  <c r="I23"/>
  <c r="I24"/>
  <c r="I25"/>
  <c r="I26"/>
  <c r="I27"/>
  <c r="I28"/>
  <c r="I29"/>
  <c r="I30"/>
  <c r="I31"/>
  <c r="I32"/>
  <c r="I33"/>
  <c r="I34"/>
  <c r="I20"/>
  <c r="I35" s="1"/>
  <c r="H21"/>
  <c r="H22"/>
  <c r="H23"/>
  <c r="H24"/>
  <c r="H25"/>
  <c r="H26"/>
  <c r="H27"/>
  <c r="H28"/>
  <c r="H29"/>
  <c r="H30"/>
  <c r="H31"/>
  <c r="H32"/>
  <c r="H33"/>
  <c r="H34"/>
  <c r="H20"/>
  <c r="H35" s="1"/>
  <c r="G21"/>
  <c r="G22"/>
  <c r="G23"/>
  <c r="G24"/>
  <c r="G25"/>
  <c r="G26"/>
  <c r="G27"/>
  <c r="G28"/>
  <c r="G29"/>
  <c r="G30"/>
  <c r="G31"/>
  <c r="G32"/>
  <c r="G33"/>
  <c r="G34"/>
  <c r="G20"/>
  <c r="G35" s="1"/>
  <c r="I163" i="9" l="1"/>
  <c r="J163" s="1"/>
  <c r="J162"/>
  <c r="J179"/>
  <c r="K178"/>
  <c r="J180" l="1"/>
  <c r="K179"/>
  <c r="J181" l="1"/>
  <c r="K180"/>
  <c r="J182" l="1"/>
  <c r="K181"/>
  <c r="J183" l="1"/>
  <c r="K183" s="1"/>
  <c r="K182"/>
</calcChain>
</file>

<file path=xl/connections.xml><?xml version="1.0" encoding="utf-8"?>
<connections xmlns="http://schemas.openxmlformats.org/spreadsheetml/2006/main">
  <connection id="1" sourceFile="C:\Users\91875\Desktop\Book1.xlsx" keepAlive="1" name="Book1" type="5" refreshedVersion="3">
    <dbPr connection="Provider=Microsoft.ACE.OLEDB.12.0;User ID=Admin;Data Source=C:\Users\91875\Desktop\Book1.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Sheet1$" commandType="3"/>
  </connection>
</connections>
</file>

<file path=xl/sharedStrings.xml><?xml version="1.0" encoding="utf-8"?>
<sst xmlns="http://schemas.openxmlformats.org/spreadsheetml/2006/main" count="3276" uniqueCount="1382">
  <si>
    <t>box</t>
  </si>
  <si>
    <t>format</t>
  </si>
  <si>
    <t>drag and drop</t>
  </si>
  <si>
    <t>print</t>
  </si>
  <si>
    <t>marge</t>
  </si>
  <si>
    <t xml:space="preserve">auto fill </t>
  </si>
  <si>
    <t>Explane</t>
  </si>
  <si>
    <t>Topic Name</t>
  </si>
  <si>
    <t>Topic No-</t>
  </si>
  <si>
    <t>WEEK--1</t>
  </si>
  <si>
    <t xml:space="preserve">Weclome to Elective Session </t>
  </si>
  <si>
    <t>pasword</t>
  </si>
  <si>
    <t>sortcut</t>
  </si>
  <si>
    <t xml:space="preserve">in excel option </t>
  </si>
  <si>
    <t xml:space="preserve">clear option </t>
  </si>
  <si>
    <t xml:space="preserve">many option in marge </t>
  </si>
  <si>
    <t>Roteate Text</t>
  </si>
  <si>
    <t xml:space="preserve"> 1--&gt; </t>
  </si>
  <si>
    <t>3. Basic of Formula</t>
  </si>
  <si>
    <r>
      <t>1</t>
    </r>
    <r>
      <rPr>
        <sz val="18"/>
        <color theme="1"/>
        <rFont val="Calibri"/>
        <family val="2"/>
        <scheme val="minor"/>
      </rPr>
      <t>. Overview of excel</t>
    </r>
  </si>
  <si>
    <t>How to write Down Data in Excel</t>
  </si>
  <si>
    <t xml:space="preserve">formula </t>
  </si>
  <si>
    <t>sum</t>
  </si>
  <si>
    <t>average</t>
  </si>
  <si>
    <t>min</t>
  </si>
  <si>
    <t>max</t>
  </si>
  <si>
    <t>TOTAL</t>
  </si>
  <si>
    <t>series (auto fill)</t>
  </si>
  <si>
    <t>conditional format</t>
  </si>
  <si>
    <t>4. Overview Function ppt</t>
  </si>
  <si>
    <t>NOW() function</t>
  </si>
  <si>
    <t xml:space="preserve">today function </t>
  </si>
  <si>
    <t>mod function</t>
  </si>
  <si>
    <t>year function</t>
  </si>
  <si>
    <t>in this video many types of formula use by ppt</t>
  </si>
  <si>
    <t>5. Upper_lower_Function(All Basic Function Write Down).</t>
  </si>
  <si>
    <t xml:space="preserve">Text function </t>
  </si>
  <si>
    <t>text(array,"mm")</t>
  </si>
  <si>
    <t>text(array,'mmmm')</t>
  </si>
  <si>
    <t>upper case</t>
  </si>
  <si>
    <t xml:space="preserve">lower case function </t>
  </si>
  <si>
    <t>font upper case =upper(_)</t>
  </si>
  <si>
    <t>lower =lower()</t>
  </si>
  <si>
    <t>navin</t>
  </si>
  <si>
    <t>kumar</t>
  </si>
  <si>
    <t>singh</t>
  </si>
  <si>
    <t>proper function</t>
  </si>
  <si>
    <t>proper, =proper()</t>
  </si>
  <si>
    <t>upper</t>
  </si>
  <si>
    <t xml:space="preserve">lower </t>
  </si>
  <si>
    <t>proper</t>
  </si>
  <si>
    <t>left</t>
  </si>
  <si>
    <t>right</t>
  </si>
  <si>
    <t>mid</t>
  </si>
  <si>
    <t>manish</t>
  </si>
  <si>
    <t>akriti</t>
  </si>
  <si>
    <t>joya</t>
  </si>
  <si>
    <t>vikash</t>
  </si>
  <si>
    <t>Mukesh</t>
  </si>
  <si>
    <t>Nusrat</t>
  </si>
  <si>
    <t>SHALNI</t>
  </si>
  <si>
    <t>Right fn</t>
  </si>
  <si>
    <t>left fn</t>
  </si>
  <si>
    <t>mid fn</t>
  </si>
  <si>
    <t>name</t>
  </si>
  <si>
    <t>company</t>
  </si>
  <si>
    <t>ABC XYZ</t>
  </si>
  <si>
    <t>POOJA SHAH</t>
  </si>
  <si>
    <t>PRACHI PARKESH</t>
  </si>
  <si>
    <t>MEENA GANDHI</t>
  </si>
  <si>
    <t>data-&gt; text to columns</t>
  </si>
  <si>
    <t xml:space="preserve">Text to columns </t>
  </si>
  <si>
    <t>text to column</t>
  </si>
  <si>
    <t>-</t>
  </si>
  <si>
    <t>6.Simple_if_Function,Sum_if(Simple_Conditional Formating).</t>
  </si>
  <si>
    <t xml:space="preserve">if function </t>
  </si>
  <si>
    <t>sumif fn</t>
  </si>
  <si>
    <t>computer</t>
  </si>
  <si>
    <t>pen</t>
  </si>
  <si>
    <t>pencil</t>
  </si>
  <si>
    <t>zoom</t>
  </si>
  <si>
    <t>exp</t>
  </si>
  <si>
    <t>total</t>
  </si>
  <si>
    <t xml:space="preserve">sumif() </t>
  </si>
  <si>
    <t>countif fn</t>
  </si>
  <si>
    <t>Student</t>
  </si>
  <si>
    <t>Result Date</t>
  </si>
  <si>
    <t>Teacher</t>
  </si>
  <si>
    <t>Subject</t>
  </si>
  <si>
    <t>Score</t>
  </si>
  <si>
    <t>Comment</t>
  </si>
  <si>
    <t>Ross</t>
  </si>
  <si>
    <t>Arteus</t>
  </si>
  <si>
    <t>Physics</t>
  </si>
  <si>
    <t>Jim</t>
  </si>
  <si>
    <t>Freya</t>
  </si>
  <si>
    <t>Mathematics</t>
  </si>
  <si>
    <t>Anderson</t>
  </si>
  <si>
    <t>Baldur</t>
  </si>
  <si>
    <t>Chemistry</t>
  </si>
  <si>
    <t>Heather</t>
  </si>
  <si>
    <t>Richard</t>
  </si>
  <si>
    <t>Jordan</t>
  </si>
  <si>
    <t>Rachel</t>
  </si>
  <si>
    <t>Jenna</t>
  </si>
  <si>
    <t>Monica</t>
  </si>
  <si>
    <t>Chandler</t>
  </si>
  <si>
    <t>Phoebe</t>
  </si>
  <si>
    <t>Gordon</t>
  </si>
  <si>
    <t>Joey</t>
  </si>
  <si>
    <t>Johnson</t>
  </si>
  <si>
    <t>Kristen</t>
  </si>
  <si>
    <t>Patrick</t>
  </si>
  <si>
    <t>David</t>
  </si>
  <si>
    <t>Adam</t>
  </si>
  <si>
    <t>Bell</t>
  </si>
  <si>
    <t>Nathalia</t>
  </si>
  <si>
    <t xml:space="preserve">SUM IF </t>
  </si>
  <si>
    <t xml:space="preserve">COUNT IF </t>
  </si>
  <si>
    <t>count function only work on numerical data</t>
  </si>
  <si>
    <t xml:space="preserve">count a function work on textual and numerical both of data </t>
  </si>
  <si>
    <t xml:space="preserve">COUNT </t>
  </si>
  <si>
    <t xml:space="preserve">COUNT A </t>
  </si>
  <si>
    <t xml:space="preserve">COUNT BLANK FUNCTION  </t>
  </si>
  <si>
    <t>SUM IF FN</t>
  </si>
  <si>
    <t>MATHEMATICS</t>
  </si>
  <si>
    <t>PHYSICS</t>
  </si>
  <si>
    <t>CONDITIONAL FN</t>
  </si>
  <si>
    <t>COUNT A</t>
  </si>
  <si>
    <t>7. Text_column and Multiple _if.</t>
  </si>
  <si>
    <t>NAVIN</t>
  </si>
  <si>
    <t>KUMAR</t>
  </si>
  <si>
    <t>SINGH</t>
  </si>
  <si>
    <t>DATA</t>
  </si>
  <si>
    <t>SCIENCE</t>
  </si>
  <si>
    <t>(91)-4644654</t>
  </si>
  <si>
    <t>(91)-4646465</t>
  </si>
  <si>
    <t>(91)-4648276</t>
  </si>
  <si>
    <t>(91)-4650087</t>
  </si>
  <si>
    <t>(91)-4651898</t>
  </si>
  <si>
    <t>dress-Blue-Samsung</t>
  </si>
  <si>
    <t>Tshirt-White-xl</t>
  </si>
  <si>
    <t>jens-Black-XXL</t>
  </si>
  <si>
    <t>shirt-pink-Xs</t>
  </si>
  <si>
    <t>dress</t>
  </si>
  <si>
    <t>Blue</t>
  </si>
  <si>
    <t>Samsung</t>
  </si>
  <si>
    <t>Tshirt</t>
  </si>
  <si>
    <t>White</t>
  </si>
  <si>
    <t>xl</t>
  </si>
  <si>
    <t>shirt</t>
  </si>
  <si>
    <t>pink</t>
  </si>
  <si>
    <t>Xs</t>
  </si>
  <si>
    <t>jens</t>
  </si>
  <si>
    <t>Black</t>
  </si>
  <si>
    <t>XXL</t>
  </si>
  <si>
    <t xml:space="preserve">data seprate with "-" </t>
  </si>
  <si>
    <t xml:space="preserve">Data saprate with "-" </t>
  </si>
  <si>
    <t xml:space="preserve">click on data - text to columns - others </t>
  </si>
  <si>
    <t>without using text to column</t>
  </si>
  <si>
    <t xml:space="preserve">left fn </t>
  </si>
  <si>
    <t>if fn</t>
  </si>
  <si>
    <t>multiple if</t>
  </si>
  <si>
    <t>if_and</t>
  </si>
  <si>
    <t>if_or</t>
  </si>
  <si>
    <t xml:space="preserve">NAME </t>
  </si>
  <si>
    <t>Marks(phy)</t>
  </si>
  <si>
    <t>Marks(maths)</t>
  </si>
  <si>
    <t>marks(engl)</t>
  </si>
  <si>
    <t>VARUN</t>
  </si>
  <si>
    <t>AMAN</t>
  </si>
  <si>
    <t>ASHISH</t>
  </si>
  <si>
    <t>RAJ</t>
  </si>
  <si>
    <t>RAVI</t>
  </si>
  <si>
    <t xml:space="preserve">if </t>
  </si>
  <si>
    <t xml:space="preserve"> </t>
  </si>
  <si>
    <t>AND</t>
  </si>
  <si>
    <t>OR</t>
  </si>
  <si>
    <t xml:space="preserve">IF AND </t>
  </si>
  <si>
    <t>IF OR</t>
  </si>
  <si>
    <t>MULTIPLE IF</t>
  </si>
  <si>
    <t xml:space="preserve">MULTIPLE IF </t>
  </si>
  <si>
    <t>8. sum_if and Sum_ifs</t>
  </si>
  <si>
    <t xml:space="preserve">SUM IFS </t>
  </si>
  <si>
    <t xml:space="preserve">DAY ANALYSIS </t>
  </si>
  <si>
    <t xml:space="preserve">WATCH AGAIN </t>
  </si>
  <si>
    <t xml:space="preserve">9.Average_if and Average_ifs. </t>
  </si>
  <si>
    <t>average if</t>
  </si>
  <si>
    <t>average ifs</t>
  </si>
  <si>
    <t>countif</t>
  </si>
  <si>
    <t xml:space="preserve">roll no </t>
  </si>
  <si>
    <t>p</t>
  </si>
  <si>
    <t xml:space="preserve">auto column </t>
  </si>
  <si>
    <t>in format tab</t>
  </si>
  <si>
    <t>a</t>
  </si>
  <si>
    <t>highlight fn</t>
  </si>
  <si>
    <t>present count</t>
  </si>
  <si>
    <t xml:space="preserve">absent count </t>
  </si>
  <si>
    <t xml:space="preserve">PRESENT </t>
  </si>
  <si>
    <t>ABSENT</t>
  </si>
  <si>
    <t>A</t>
  </si>
  <si>
    <t xml:space="preserve">COUNT AND COUNTIF FUNCTION IS VERY IMPORTANT FOR CONDITION FORMATION OF DATA </t>
  </si>
  <si>
    <t xml:space="preserve">Week one complete </t>
  </si>
  <si>
    <t>Welcome to Elective Session, Week- 2</t>
  </si>
  <si>
    <t>DESCRIBE</t>
  </si>
  <si>
    <t>TOPICS</t>
  </si>
  <si>
    <t>Day 1. DATE FUNCTION.</t>
  </si>
  <si>
    <t>date fn</t>
  </si>
  <si>
    <t>NOW</t>
  </si>
  <si>
    <t>today</t>
  </si>
  <si>
    <t>date()</t>
  </si>
  <si>
    <t>now()</t>
  </si>
  <si>
    <t>today()</t>
  </si>
  <si>
    <t>find age</t>
  </si>
  <si>
    <t>find the age</t>
  </si>
  <si>
    <t>dob</t>
  </si>
  <si>
    <t>age</t>
  </si>
  <si>
    <t>day</t>
  </si>
  <si>
    <t xml:space="preserve">year </t>
  </si>
  <si>
    <t xml:space="preserve">years </t>
  </si>
  <si>
    <t>change date into number</t>
  </si>
  <si>
    <t>rounddown fn</t>
  </si>
  <si>
    <t>diffrence between two data</t>
  </si>
  <si>
    <t>datedif</t>
  </si>
  <si>
    <t>year</t>
  </si>
  <si>
    <t>months</t>
  </si>
  <si>
    <t xml:space="preserve">days </t>
  </si>
  <si>
    <t>years</t>
  </si>
  <si>
    <t>monts</t>
  </si>
  <si>
    <t xml:space="preserve">add the +91 in mobile number </t>
  </si>
  <si>
    <t>mobile no</t>
  </si>
  <si>
    <t>concatenate fn</t>
  </si>
  <si>
    <t>Note - in excel we write every textual data in " " (dobual court)</t>
  </si>
  <si>
    <t xml:space="preserve">kumar </t>
  </si>
  <si>
    <t>patnayak</t>
  </si>
  <si>
    <t>hide fn</t>
  </si>
  <si>
    <t xml:space="preserve"> hide all the unusefull row and columns </t>
  </si>
  <si>
    <t>Ctrl+shift -&gt; select -&gt; right click --&gt; hide</t>
  </si>
  <si>
    <t xml:space="preserve">home - formate - hide- </t>
  </si>
  <si>
    <t xml:space="preserve">protect and unprotect your file </t>
  </si>
  <si>
    <t xml:space="preserve">right click on sheet - protect and unprotect options </t>
  </si>
  <si>
    <t>Day - 2 . Date DIFF</t>
  </si>
  <si>
    <t>days</t>
  </si>
  <si>
    <t>concatenate</t>
  </si>
  <si>
    <t xml:space="preserve">calculate the age </t>
  </si>
  <si>
    <t>cell lock</t>
  </si>
  <si>
    <t xml:space="preserve">insert picture </t>
  </si>
  <si>
    <t>draw picture</t>
  </si>
  <si>
    <t>flochart in smartArt</t>
  </si>
  <si>
    <t xml:space="preserve">Day- 3- Work days and Network days Function. </t>
  </si>
  <si>
    <t>project countdown</t>
  </si>
  <si>
    <t>working date</t>
  </si>
  <si>
    <t>results</t>
  </si>
  <si>
    <t xml:space="preserve">note- </t>
  </si>
  <si>
    <t>workday fn</t>
  </si>
  <si>
    <t xml:space="preserve">project day count </t>
  </si>
  <si>
    <t>start day</t>
  </si>
  <si>
    <t>start day, day, holiday</t>
  </si>
  <si>
    <t xml:space="preserve">holiday </t>
  </si>
  <si>
    <t xml:space="preserve">now calculate project submission date </t>
  </si>
  <si>
    <t>holiday count</t>
  </si>
  <si>
    <t>workday.intl fn - this function is not working in this excel try online</t>
  </si>
  <si>
    <t>start date</t>
  </si>
  <si>
    <t>time (day)</t>
  </si>
  <si>
    <t>find submission day</t>
  </si>
  <si>
    <t>high light today fn</t>
  </si>
  <si>
    <t>networkday fn</t>
  </si>
  <si>
    <t>end day</t>
  </si>
  <si>
    <t>find the day without holiday</t>
  </si>
  <si>
    <t>holiday</t>
  </si>
  <si>
    <t xml:space="preserve">day 4. CONSOLIDATE REMOVE DUPLICATE. </t>
  </si>
  <si>
    <t>enp no</t>
  </si>
  <si>
    <t>emp name</t>
  </si>
  <si>
    <t>nidhi</t>
  </si>
  <si>
    <t>singhje</t>
  </si>
  <si>
    <t>kunti</t>
  </si>
  <si>
    <t>pawan</t>
  </si>
  <si>
    <t>nitish</t>
  </si>
  <si>
    <t>t</t>
  </si>
  <si>
    <t>k</t>
  </si>
  <si>
    <t>sub 1</t>
  </si>
  <si>
    <t>put the random number</t>
  </si>
  <si>
    <t>sub 2</t>
  </si>
  <si>
    <t>highlight duplicate values</t>
  </si>
  <si>
    <t xml:space="preserve">find the unique values </t>
  </si>
  <si>
    <t xml:space="preserve">from conditional fromatting </t>
  </si>
  <si>
    <t>from conditional fromatting- more fn</t>
  </si>
  <si>
    <t xml:space="preserve">clear rule </t>
  </si>
  <si>
    <t>removeing duplicate values</t>
  </si>
  <si>
    <t>data click on remove duplicates options</t>
  </si>
  <si>
    <t xml:space="preserve">RANDBETWEEN FUNCTION </t>
  </si>
  <si>
    <t xml:space="preserve">REMOVING DUPLICATE VALUES </t>
  </si>
  <si>
    <t>click on data - remove duplicates values</t>
  </si>
  <si>
    <t>light bill</t>
  </si>
  <si>
    <t>mobile phone</t>
  </si>
  <si>
    <t xml:space="preserve">computer </t>
  </si>
  <si>
    <t>employee sallary</t>
  </si>
  <si>
    <t xml:space="preserve">consolidate </t>
  </si>
  <si>
    <t>short fn</t>
  </si>
  <si>
    <t>roll no</t>
  </si>
  <si>
    <t>sub1</t>
  </si>
  <si>
    <t>sub2</t>
  </si>
  <si>
    <t>sub3</t>
  </si>
  <si>
    <t xml:space="preserve">nidhi </t>
  </si>
  <si>
    <t>shah</t>
  </si>
  <si>
    <t>nimit</t>
  </si>
  <si>
    <t>keyur</t>
  </si>
  <si>
    <t>sagar</t>
  </si>
  <si>
    <t>iciai</t>
  </si>
  <si>
    <t>r</t>
  </si>
  <si>
    <t>jad</t>
  </si>
  <si>
    <t>ads</t>
  </si>
  <si>
    <t>he</t>
  </si>
  <si>
    <t xml:space="preserve">day 5. Data Table </t>
  </si>
  <si>
    <t xml:space="preserve">help </t>
  </si>
  <si>
    <t>amount</t>
  </si>
  <si>
    <t>rate</t>
  </si>
  <si>
    <t>nper</t>
  </si>
  <si>
    <t>PMT fn</t>
  </si>
  <si>
    <t>pmt function -</t>
  </si>
  <si>
    <t>change in +</t>
  </si>
  <si>
    <t>The PMT function in Excel is a financial function that calculates the periodic payment for a loan.</t>
  </si>
  <si>
    <t xml:space="preserve">PMT DATA </t>
  </si>
  <si>
    <t>FROM DATA - WHAT- IF ANALYSIS</t>
  </si>
  <si>
    <t>HYPERLINK</t>
  </si>
  <si>
    <t>hyper link</t>
  </si>
  <si>
    <t xml:space="preserve">datatable </t>
  </si>
  <si>
    <t xml:space="preserve"> you can inset a file as a link </t>
  </si>
  <si>
    <t>from insert click on Hyperlink</t>
  </si>
  <si>
    <t>Day 6, Data Validation ==</t>
  </si>
  <si>
    <t xml:space="preserve">ppt on data validation </t>
  </si>
  <si>
    <t xml:space="preserve">data validation </t>
  </si>
  <si>
    <t xml:space="preserve"># from data - data validation ( here you can find many types of data format </t>
  </si>
  <si>
    <t>sell</t>
  </si>
  <si>
    <t>purchase</t>
  </si>
  <si>
    <t>from data - data validation (list , custome)</t>
  </si>
  <si>
    <t>date</t>
  </si>
  <si>
    <t>date between - ]</t>
  </si>
  <si>
    <t>time</t>
  </si>
  <si>
    <t>text length</t>
  </si>
  <si>
    <t>kumarsingi</t>
  </si>
  <si>
    <t xml:space="preserve">its simple meaning is give the range for entry of data (condation) </t>
  </si>
  <si>
    <t>day. 7-- FLASH FILL FREEZE PEN.</t>
  </si>
  <si>
    <t>flash the data  fn</t>
  </si>
  <si>
    <t xml:space="preserve">this function is not abalebe on 2007. </t>
  </si>
  <si>
    <t>split fn</t>
  </si>
  <si>
    <t xml:space="preserve"> From view - click on split---&gt; this function devide the page </t>
  </si>
  <si>
    <t>view side by side</t>
  </si>
  <si>
    <t>from view click on side by side</t>
  </si>
  <si>
    <t>day.- 8--- GOAL SEEK AND SCEANIRYO.</t>
  </si>
  <si>
    <t xml:space="preserve">what if analysis --&gt; this is use for stock market </t>
  </si>
  <si>
    <t xml:space="preserve">goal seek </t>
  </si>
  <si>
    <t xml:space="preserve">from data - what if analysis- goal seek </t>
  </si>
  <si>
    <t>pt1</t>
  </si>
  <si>
    <t>pt2</t>
  </si>
  <si>
    <t>pt3</t>
  </si>
  <si>
    <t>scenario manager - from data - what if analysis- senario manager</t>
  </si>
  <si>
    <t>it is used for find many number of percentage  in single click</t>
  </si>
  <si>
    <t xml:space="preserve">scenariio pivot table </t>
  </si>
  <si>
    <t>mimit</t>
  </si>
  <si>
    <t>icai</t>
  </si>
  <si>
    <t>Day. 9---&gt; INDIRET DEP.</t>
  </si>
  <si>
    <t>cher fn</t>
  </si>
  <si>
    <t>if you put 69 to 90 then you will get this type of answer</t>
  </si>
  <si>
    <t>else you will get this type of number</t>
  </si>
  <si>
    <t>table of data</t>
  </si>
  <si>
    <t>course</t>
  </si>
  <si>
    <t>tt</t>
  </si>
  <si>
    <t>ttc</t>
  </si>
  <si>
    <t>er</t>
  </si>
  <si>
    <t>tirsttt</t>
  </si>
  <si>
    <t>secondtt</t>
  </si>
  <si>
    <t>thirdtt</t>
  </si>
  <si>
    <t>firstttc</t>
  </si>
  <si>
    <t>secondttc</t>
  </si>
  <si>
    <t>thiredttt</t>
  </si>
  <si>
    <t>firster</t>
  </si>
  <si>
    <t>seconder</t>
  </si>
  <si>
    <t>thireder</t>
  </si>
  <si>
    <t>table of data - from insert - click on table on check box ()</t>
  </si>
  <si>
    <t xml:space="preserve">foruth </t>
  </si>
  <si>
    <t>fourth</t>
  </si>
  <si>
    <t xml:space="preserve"># here if you are insert more data it will autometicly insert into table format </t>
  </si>
  <si>
    <t>Column1</t>
  </si>
  <si>
    <t>indirect fn</t>
  </si>
  <si>
    <t xml:space="preserve">this function is not working normaly </t>
  </si>
  <si>
    <t>INDIRECT()</t>
  </si>
  <si>
    <t>Day. 10--&gt; PIVOT TABLE PPT.</t>
  </si>
  <si>
    <t xml:space="preserve">PPT on next sheet (Data validation ppt) </t>
  </si>
  <si>
    <t xml:space="preserve">PPT- </t>
  </si>
  <si>
    <t>next sheet (pivot table ppt)</t>
  </si>
  <si>
    <t>Day .. 11-- TIME</t>
  </si>
  <si>
    <t xml:space="preserve">from home - general - more - you will get multiple time format </t>
  </si>
  <si>
    <t>no-1</t>
  </si>
  <si>
    <t>no-2</t>
  </si>
  <si>
    <t>from home- autosum- more- most recent use- you will get time and date function</t>
  </si>
  <si>
    <t>Signature Line---</t>
  </si>
  <si>
    <t>from insert click on singnature line</t>
  </si>
  <si>
    <t xml:space="preserve">Week 2 Complete </t>
  </si>
  <si>
    <t>Week --&gt; 3</t>
  </si>
  <si>
    <t>Day - 1--&gt; Pivot Table Pratical1</t>
  </si>
  <si>
    <t>A PivotTable is a powerful tool to calculate, summarize, and analyze data that lets you see comparisons, patterns, and trends in your data. PivotTables work a little bit differently depending on what platform you are using to run Excel.</t>
  </si>
  <si>
    <t>CA-2016-152156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</si>
  <si>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</si>
  <si>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</si>
  <si>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</si>
  <si>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</si>
  <si>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</si>
  <si>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</si>
  <si>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</si>
  <si>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</si>
  <si>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</si>
  <si>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</si>
  <si>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</si>
  <si>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</si>
  <si>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</si>
  <si>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</si>
  <si>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</si>
  <si>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CA-2016-138688</t>
  </si>
  <si>
    <t>DV-13045</t>
  </si>
  <si>
    <t>Darrin Van Huff</t>
  </si>
  <si>
    <t>Corporate</t>
  </si>
  <si>
    <t>Los Angeles</t>
  </si>
  <si>
    <t>California</t>
  </si>
  <si>
    <t>West</t>
  </si>
  <si>
    <t>OFF-LA-10000240</t>
  </si>
  <si>
    <t>Office Supplies</t>
  </si>
  <si>
    <t>Labels</t>
  </si>
  <si>
    <t>Self-Adhesive Address Labels for Typewriters by Universal</t>
  </si>
  <si>
    <t>US-2015-108966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</si>
  <si>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</si>
  <si>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</si>
  <si>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</si>
  <si>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</si>
  <si>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</si>
  <si>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</si>
  <si>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</si>
  <si>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</si>
  <si>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</si>
  <si>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</si>
  <si>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</si>
  <si>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CA-2014-115812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</si>
  <si>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</si>
  <si>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</si>
  <si>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</si>
  <si>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</si>
  <si>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</si>
  <si>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</si>
  <si>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</si>
  <si>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</si>
  <si>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</si>
  <si>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</si>
  <si>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</si>
  <si>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</si>
  <si>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</si>
  <si>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</si>
  <si>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</si>
  <si>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</si>
  <si>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</si>
  <si>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</si>
  <si>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</si>
  <si>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</si>
  <si>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</si>
  <si>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</si>
  <si>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CA-2017-114412</t>
  </si>
  <si>
    <t>AA-10480</t>
  </si>
  <si>
    <t>Andrew Allen</t>
  </si>
  <si>
    <t>Concord</t>
  </si>
  <si>
    <t>North Carolina</t>
  </si>
  <si>
    <t>OFF-PA-10002365</t>
  </si>
  <si>
    <t>Paper</t>
  </si>
  <si>
    <t>Xerox 1967</t>
  </si>
  <si>
    <t>CA-2016-161389</t>
  </si>
  <si>
    <t>IM-15070</t>
  </si>
  <si>
    <t>Irene Maddox</t>
  </si>
  <si>
    <t>Seattle</t>
  </si>
  <si>
    <t>Washington</t>
  </si>
  <si>
    <t>OFF-BI-10003656</t>
  </si>
  <si>
    <t>Fellowes PB200 Plastic Comb Binding Machine</t>
  </si>
  <si>
    <t>US-2015-118983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</si>
  <si>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</si>
  <si>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</si>
  <si>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</si>
  <si>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</si>
  <si>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</si>
  <si>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</si>
  <si>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</si>
  <si>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</si>
  <si>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</si>
  <si>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</si>
  <si>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CA-2014-105893</t>
  </si>
  <si>
    <t>PK-19075</t>
  </si>
  <si>
    <t>Pete Kriz</t>
  </si>
  <si>
    <t>Madison</t>
  </si>
  <si>
    <t>Wisconsin</t>
  </si>
  <si>
    <t>OFF-ST-10004186</t>
  </si>
  <si>
    <t>Stur-D-Stor Shelving, Vertical 5-Shelf: 72"H x 36"W x 18 1/2"D</t>
  </si>
  <si>
    <t>CA-2014-167164</t>
  </si>
  <si>
    <t>AG-10270</t>
  </si>
  <si>
    <t>Alejandro Grove</t>
  </si>
  <si>
    <t>West Jordan</t>
  </si>
  <si>
    <t>Utah</t>
  </si>
  <si>
    <t>OFF-ST-10000107</t>
  </si>
  <si>
    <t>Fellowes Super Stor/Drawer</t>
  </si>
  <si>
    <t>CA-2014-143336</t>
  </si>
  <si>
    <t>ZD-21925</t>
  </si>
  <si>
    <t>Zuschuss Donatelli</t>
  </si>
  <si>
    <t>San Francisco</t>
  </si>
  <si>
    <t>OFF-AR-10003056</t>
  </si>
  <si>
    <t>Newell 341</t>
  </si>
  <si>
    <t>TEC-PH-10001949</t>
  </si>
  <si>
    <t>Cisco SPA 501G IP Phone</t>
  </si>
  <si>
    <t>OFF-BI-10002215</t>
  </si>
  <si>
    <t>Wilson Jones Hanging View Binder, White, 1"</t>
  </si>
  <si>
    <t>CA-2016-137330</t>
  </si>
  <si>
    <t>KB-16585</t>
  </si>
  <si>
    <t>Ken Black</t>
  </si>
  <si>
    <t>Fremont</t>
  </si>
  <si>
    <t>Nebraska</t>
  </si>
  <si>
    <t>OFF-AR-10000246</t>
  </si>
  <si>
    <t>Newell 318</t>
  </si>
  <si>
    <t>OFF-AP-10001492</t>
  </si>
  <si>
    <t>Acco Six-Outlet Power Strip, 4' Cord Length</t>
  </si>
  <si>
    <t>US-2017-156909</t>
  </si>
  <si>
    <t>SF-20065</t>
  </si>
  <si>
    <t>Sandra Flanagan</t>
  </si>
  <si>
    <t>Philadelphia</t>
  </si>
  <si>
    <t>Pennsylvania</t>
  </si>
  <si>
    <t>East</t>
  </si>
  <si>
    <t>FUR-CH-10002774</t>
  </si>
  <si>
    <t>Global Deluxe Stacking Chair, Gray</t>
  </si>
  <si>
    <t>CA-2015-106320</t>
  </si>
  <si>
    <t>EB-13870</t>
  </si>
  <si>
    <t>Emily Burns</t>
  </si>
  <si>
    <t>Orem</t>
  </si>
  <si>
    <t>CA-2016-121755</t>
  </si>
  <si>
    <t>EH-13945</t>
  </si>
  <si>
    <t>Eric Hoffmann</t>
  </si>
  <si>
    <t>OFF-BI-10001634</t>
  </si>
  <si>
    <t>Wilson Jones Active Use Binders</t>
  </si>
  <si>
    <t>TEC-AC-10003027</t>
  </si>
  <si>
    <t>Accessories</t>
  </si>
  <si>
    <t>Imation 8GB Mini TravelDrive USB 2.0 Flash Drive</t>
  </si>
  <si>
    <t>US-2015-150630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</si>
  <si>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</si>
  <si>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</si>
  <si>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</si>
  <si>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</si>
  <si>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</si>
  <si>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</si>
  <si>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</si>
  <si>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</si>
  <si>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</si>
  <si>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</si>
  <si>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</si>
  <si>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</si>
  <si>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</si>
  <si>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</si>
  <si>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</si>
  <si>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</si>
  <si>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</si>
  <si>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</si>
  <si>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</si>
  <si>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</si>
  <si>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</si>
  <si>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</si>
  <si>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</si>
  <si>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</si>
  <si>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</si>
  <si>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</si>
  <si>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</si>
  <si>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</si>
  <si>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</si>
  <si>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</si>
  <si>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</si>
  <si>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</si>
  <si>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</si>
  <si>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</si>
  <si>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</si>
  <si>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</si>
  <si>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</si>
  <si>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</si>
  <si>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</si>
  <si>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</si>
  <si>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</si>
  <si>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</si>
  <si>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</si>
  <si>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</si>
  <si>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LC-16930</t>
  </si>
  <si>
    <t>Linda Cazamias</t>
  </si>
  <si>
    <t>Naperville</t>
  </si>
  <si>
    <t>Illinois</t>
  </si>
  <si>
    <t>TEC-PH-10004093</t>
  </si>
  <si>
    <t>Panasonic Kx-TS550</t>
  </si>
  <si>
    <t>CA-2016-101343</t>
  </si>
  <si>
    <t>RA-19885</t>
  </si>
  <si>
    <t>Ruben Ausman</t>
  </si>
  <si>
    <t>OFF-ST-10003479</t>
  </si>
  <si>
    <t>Eldon Base for stackable storage shelf, platinum</t>
  </si>
  <si>
    <t>CA-2017-139619</t>
  </si>
  <si>
    <t>ES-14080</t>
  </si>
  <si>
    <t>Erin Smith</t>
  </si>
  <si>
    <t>Melbourne</t>
  </si>
  <si>
    <t>OFF-ST-10003282</t>
  </si>
  <si>
    <t>Advantus 10-Drawer Portable Organizer, Chrome Metal Frame, Smoke Drawers</t>
  </si>
  <si>
    <t>CA-2016-118255</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</si>
  <si>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</si>
  <si>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</si>
  <si>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</si>
  <si>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</si>
  <si>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</si>
  <si>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</si>
  <si>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</si>
  <si>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</si>
  <si>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</si>
  <si>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PO-18865</t>
  </si>
  <si>
    <t>Patrick O'Donnell</t>
  </si>
  <si>
    <t>Westland</t>
  </si>
  <si>
    <t>Michigan</t>
  </si>
  <si>
    <t>OFF-ST-10001713</t>
  </si>
  <si>
    <t>Gould Plastics 9-Pocket Panel Bin, 18-3/8w x 5-1/4d x 20-1/2h, Black</t>
  </si>
  <si>
    <t>CA-2016-169194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</si>
  <si>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</si>
  <si>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</si>
  <si>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</si>
  <si>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</si>
  <si>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</si>
  <si>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</si>
  <si>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</si>
  <si>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</si>
  <si>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</si>
  <si>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</si>
  <si>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</si>
  <si>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</si>
  <si>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</si>
  <si>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</si>
  <si>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</si>
  <si>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</si>
  <si>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</si>
  <si>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</si>
  <si>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</si>
  <si>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</si>
  <si>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</si>
  <si>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</si>
  <si>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JM-15265</t>
  </si>
  <si>
    <t>Janet Molinari</t>
  </si>
  <si>
    <t>New York City</t>
  </si>
  <si>
    <t>New York</t>
  </si>
  <si>
    <t>OFF-FA-10000304</t>
  </si>
  <si>
    <t>Fasteners</t>
  </si>
  <si>
    <t>Advantus Push Pins</t>
  </si>
  <si>
    <t>TEC-PH-10002447</t>
  </si>
  <si>
    <t>AT&amp;T CL83451 4-Handset Telephone</t>
  </si>
  <si>
    <t>CA-2016-111682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</si>
  <si>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</si>
  <si>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</si>
  <si>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</si>
  <si>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</si>
  <si>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</si>
  <si>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</si>
  <si>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</si>
  <si>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</si>
  <si>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</si>
  <si>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</si>
  <si>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</si>
  <si>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</si>
  <si>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</si>
  <si>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</si>
  <si>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</si>
  <si>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</si>
  <si>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</si>
  <si>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</si>
  <si>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</si>
  <si>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</si>
  <si>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</si>
  <si>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</si>
  <si>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</si>
  <si>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</si>
  <si>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</si>
  <si>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</si>
  <si>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</si>
  <si>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</si>
  <si>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</si>
  <si>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</si>
  <si>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</si>
  <si>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</si>
  <si>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</si>
  <si>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</si>
  <si>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</si>
  <si>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</si>
  <si>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</si>
  <si>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</si>
  <si>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</si>
  <si>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TEC-PH-10002726</t>
  </si>
  <si>
    <t>netTALK DUO VoIP Telephone Service</t>
  </si>
  <si>
    <t>CA-2016-119823</t>
  </si>
  <si>
    <t>KD-16270</t>
  </si>
  <si>
    <t>Karen Daniels</t>
  </si>
  <si>
    <t>Springfield</t>
  </si>
  <si>
    <t>Virginia</t>
  </si>
  <si>
    <t>OFF-PA-10000482</t>
  </si>
  <si>
    <t>Snap-A-Way Black Print Carbonless Ruled Speed Letter, Triplicate</t>
  </si>
  <si>
    <t>CA-2016-106075</t>
  </si>
  <si>
    <t>HM-14980</t>
  </si>
  <si>
    <t>Henry MacAllister</t>
  </si>
  <si>
    <t>OFF-BI-10004654</t>
  </si>
  <si>
    <t>Avery Binding System Hidden Tab Executive Style Index Sets</t>
  </si>
  <si>
    <t>CA-2017-114440</t>
  </si>
  <si>
    <t>Jackson</t>
  </si>
  <si>
    <t>OFF-PA-10004675</t>
  </si>
  <si>
    <t>Telephone Message Books with Fax/Mobile Section, 5 1/2" x 3 3/16"</t>
  </si>
  <si>
    <t>US-2015-134026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</si>
  <si>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</si>
  <si>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</si>
  <si>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</si>
  <si>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</si>
  <si>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</si>
  <si>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</si>
  <si>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</si>
  <si>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</si>
  <si>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</si>
  <si>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</si>
  <si>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</si>
  <si>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</si>
  <si>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</si>
  <si>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</si>
  <si>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</si>
  <si>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</si>
  <si>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</si>
  <si>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</si>
  <si>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</si>
  <si>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</si>
  <si>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</si>
  <si>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</si>
  <si>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</si>
  <si>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SC-20770</t>
  </si>
  <si>
    <t>Stewart Carmichael</t>
  </si>
  <si>
    <t>Decatur</t>
  </si>
  <si>
    <t>Alabama</t>
  </si>
  <si>
    <t>OFF-AP-10002118</t>
  </si>
  <si>
    <t>1.7 Cubic Foot Compact "Cube" Office Refrigerators</t>
  </si>
  <si>
    <t>OFF-BI-10002309</t>
  </si>
  <si>
    <t>Avery Heavy-Duty EZD  Binder With Locking Rings</t>
  </si>
  <si>
    <t>CA-2014-139451</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</si>
  <si>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</si>
  <si>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</si>
  <si>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</si>
  <si>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</si>
  <si>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</si>
  <si>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</si>
  <si>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</si>
  <si>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</si>
  <si>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</si>
  <si>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</si>
  <si>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</si>
  <si>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</si>
  <si>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US-2017-119662</t>
  </si>
  <si>
    <t>CS-12400</t>
  </si>
  <si>
    <t>Christopher Schild</t>
  </si>
  <si>
    <t>OFF-ST-10003656</t>
  </si>
  <si>
    <t>Safco Industrial Wire Shelving</t>
  </si>
  <si>
    <t>CA-2017-140088</t>
  </si>
  <si>
    <t>Columbia</t>
  </si>
  <si>
    <t>South Carolina</t>
  </si>
  <si>
    <t>FUR-CH-10000863</t>
  </si>
  <si>
    <t>Novimex Swivel Fabric Task Chair</t>
  </si>
  <si>
    <t>CA-2017-155558</t>
  </si>
  <si>
    <t>PG-18895</t>
  </si>
  <si>
    <t>Paul Gonzalez</t>
  </si>
  <si>
    <t>Rochester</t>
  </si>
  <si>
    <t>TEC-AC-10001998</t>
  </si>
  <si>
    <t>Logitech LS21 Speaker System - PC Multimedia - 2.1-CH - Wired</t>
  </si>
  <si>
    <t>OFF-LA-10000134</t>
  </si>
  <si>
    <t>Avery 511</t>
  </si>
  <si>
    <t>CA-2016-159695</t>
  </si>
  <si>
    <t>GM-14455</t>
  </si>
  <si>
    <t>Gary Mitchum</t>
  </si>
  <si>
    <t>OFF-ST-10003442</t>
  </si>
  <si>
    <t>Eldon Portable Mobile Manager</t>
  </si>
  <si>
    <t>CA-2016-109806</t>
  </si>
  <si>
    <t>JS-15685</t>
  </si>
  <si>
    <t>Jim Sink</t>
  </si>
  <si>
    <t>OFF-AR-10004930</t>
  </si>
  <si>
    <t>Turquoise Lead Holder with Pocket Clip</t>
  </si>
  <si>
    <t>OFF-PA-10000304</t>
  </si>
  <si>
    <t>Xerox 1995</t>
  </si>
  <si>
    <t>CA-2015-149587</t>
  </si>
  <si>
    <t>KB-16315</t>
  </si>
  <si>
    <t>Karl Braun</t>
  </si>
  <si>
    <t>Minneapolis</t>
  </si>
  <si>
    <t>OFF-PA-10003177</t>
  </si>
  <si>
    <t>Xerox 1999</t>
  </si>
  <si>
    <t>FUR-FU-10003799</t>
  </si>
  <si>
    <t>Seth Thomas 13 1/2" Wall Clock</t>
  </si>
  <si>
    <t>OFF-BI-10002852</t>
  </si>
  <si>
    <t>Ibico Standard Transparent Covers</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</si>
  <si>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</si>
  <si>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</si>
  <si>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</si>
  <si>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</si>
  <si>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</si>
  <si>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</si>
  <si>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</si>
  <si>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</si>
  <si>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</si>
  <si>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</si>
  <si>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</si>
  <si>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</si>
  <si>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</si>
  <si>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</si>
  <si>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</si>
  <si>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</si>
  <si>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</si>
  <si>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</si>
  <si>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</si>
  <si>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</si>
  <si>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Saint Paul</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</si>
  <si>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</si>
  <si>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</si>
  <si>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</si>
  <si>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</si>
  <si>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</si>
  <si>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</si>
  <si>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</si>
  <si>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</si>
  <si>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</si>
  <si>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</si>
  <si>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</si>
  <si>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</si>
  <si>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</si>
  <si>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</si>
  <si>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</si>
  <si>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</si>
  <si>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US-2015-156867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</si>
  <si>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</si>
  <si>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</si>
  <si>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</si>
  <si>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</si>
  <si>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</si>
  <si>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</si>
  <si>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</si>
  <si>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</si>
  <si>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</si>
  <si>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</si>
  <si>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</si>
  <si>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</si>
  <si>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</si>
  <si>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</si>
  <si>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</si>
  <si>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</si>
  <si>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</si>
  <si>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</si>
  <si>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</si>
  <si>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</si>
  <si>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</si>
  <si>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PA-19060</t>
  </si>
  <si>
    <t>Pete Armstrong</t>
  </si>
  <si>
    <t>Orland Park</t>
  </si>
  <si>
    <t>TEC-AC-10000844</t>
  </si>
  <si>
    <t>Logitech Gaming G510s - Keyboard</t>
  </si>
  <si>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</si>
  <si>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</si>
  <si>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</si>
  <si>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</si>
  <si>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</si>
  <si>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</si>
  <si>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</si>
  <si>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</si>
  <si>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</si>
  <si>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</si>
  <si>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</si>
  <si>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</si>
  <si>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</si>
  <si>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</si>
  <si>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</si>
  <si>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</si>
  <si>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</si>
  <si>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</si>
  <si>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</si>
  <si>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</si>
  <si>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</si>
  <si>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find the duplicate acording to unique number</t>
  </si>
  <si>
    <t>Find the duplicate values or not</t>
  </si>
  <si>
    <t>you can see in pivot table sheet</t>
  </si>
  <si>
    <t>find the gap values  according to unque number</t>
  </si>
  <si>
    <t>2nd no. - 1st number &gt; 0</t>
  </si>
  <si>
    <t xml:space="preserve">2nd no. - 1st number =1 </t>
  </si>
  <si>
    <t xml:space="preserve">gap </t>
  </si>
  <si>
    <t xml:space="preserve">convert to table of all data - just select all the data set and, from insert - click on table </t>
  </si>
  <si>
    <t>this line is new input by me (this is the benefit to set all data in table formate</t>
  </si>
  <si>
    <t xml:space="preserve">the benefit is to make a data table in pivot table is -- if you put any  new input then it will convert into table table </t>
  </si>
  <si>
    <t xml:space="preserve">Note- </t>
  </si>
  <si>
    <t xml:space="preserve">optional command and desigion command are only show once you start the  work on pivot table </t>
  </si>
  <si>
    <t>Row Labels</t>
  </si>
  <si>
    <t>Grand Total</t>
  </si>
  <si>
    <t xml:space="preserve">Day -- 2-- &gt; </t>
  </si>
  <si>
    <t>pivot table practical 2</t>
  </si>
  <si>
    <t xml:space="preserve">short buttons--- </t>
  </si>
  <si>
    <t>cntrl+shift+up,down,left right</t>
  </si>
  <si>
    <t xml:space="preserve">for select all </t>
  </si>
  <si>
    <t>Sum of Profit</t>
  </si>
  <si>
    <t>Values</t>
  </si>
  <si>
    <t>Sum of Quantity</t>
  </si>
  <si>
    <t>Sum of Discount</t>
  </si>
  <si>
    <t xml:space="preserve">desigion </t>
  </si>
  <si>
    <t xml:space="preserve">desigion Is most inportant for pivot table </t>
  </si>
  <si>
    <t xml:space="preserve"> once you work on pivot table the you will find the desigion and option tab on thop</t>
  </si>
  <si>
    <t xml:space="preserve">blank row </t>
  </si>
  <si>
    <t>blank row between two rows</t>
  </si>
  <si>
    <t>Day- 3</t>
  </si>
  <si>
    <t>DOUBLE_VLOOKUP</t>
  </si>
  <si>
    <t>SRN</t>
  </si>
  <si>
    <t>ROLL NO.</t>
  </si>
  <si>
    <t>WRO0315362</t>
  </si>
  <si>
    <t>WRO0515512</t>
  </si>
  <si>
    <t>WRO0452561</t>
  </si>
  <si>
    <t>WRO0352178</t>
  </si>
  <si>
    <t>WRO0549461</t>
  </si>
  <si>
    <t>NAME</t>
  </si>
  <si>
    <t>Navin</t>
  </si>
  <si>
    <t>Singh</t>
  </si>
  <si>
    <t>Kumar</t>
  </si>
  <si>
    <t>Rohini</t>
  </si>
  <si>
    <t>Akriti</t>
  </si>
  <si>
    <t>DETAILS</t>
  </si>
  <si>
    <t>Final</t>
  </si>
  <si>
    <t>founder</t>
  </si>
  <si>
    <t>Direct Entry</t>
  </si>
  <si>
    <t>VLOOKUP fn</t>
  </si>
  <si>
    <t xml:space="preserve">This function is use for searching the data in columns </t>
  </si>
  <si>
    <t>lookup()</t>
  </si>
  <si>
    <t xml:space="preserve">This function work on different - different function </t>
  </si>
  <si>
    <t>why we are using vlook function ?</t>
  </si>
  <si>
    <t>if we want to find the data from 2 different sheet then its very easy to find using this fn</t>
  </si>
  <si>
    <t>Day - 4---&gt; FINANCIAL_FUNCTION-</t>
  </si>
  <si>
    <t>SLN FN</t>
  </si>
  <si>
    <t>furniture</t>
  </si>
  <si>
    <t>machne</t>
  </si>
  <si>
    <t>office equipment</t>
  </si>
  <si>
    <t>vehicle</t>
  </si>
  <si>
    <t>bulding</t>
  </si>
  <si>
    <t>asset</t>
  </si>
  <si>
    <t>useful life</t>
  </si>
  <si>
    <t>salvage value</t>
  </si>
  <si>
    <t>depriciation</t>
  </si>
  <si>
    <t xml:space="preserve">this function usefull for find the yearly cost of any think </t>
  </si>
  <si>
    <t>SYD fn</t>
  </si>
  <si>
    <t>SYD FN</t>
  </si>
  <si>
    <t>DB fn</t>
  </si>
  <si>
    <t>DDB fn</t>
  </si>
  <si>
    <t>FV fn</t>
  </si>
  <si>
    <t>FV(rate,nper,pmt,pvt,type)</t>
  </si>
  <si>
    <t xml:space="preserve">DAY - 5--&gt; </t>
  </si>
  <si>
    <t>PIVOT_TABLE.</t>
  </si>
  <si>
    <t>OrderDate</t>
  </si>
  <si>
    <t>Manager</t>
  </si>
  <si>
    <t>SalesMan</t>
  </si>
  <si>
    <t>Item</t>
  </si>
  <si>
    <t>Units</t>
  </si>
  <si>
    <t>Unit_price</t>
  </si>
  <si>
    <t>Sale_amt</t>
  </si>
  <si>
    <t>Martha</t>
  </si>
  <si>
    <t>Alexander</t>
  </si>
  <si>
    <t>Television</t>
  </si>
  <si>
    <t>Hermann</t>
  </si>
  <si>
    <t>Shelli</t>
  </si>
  <si>
    <t>Home Theater</t>
  </si>
  <si>
    <t>Luis</t>
  </si>
  <si>
    <t>Timothy</t>
  </si>
  <si>
    <t>Cell Phone</t>
  </si>
  <si>
    <t>Stephen</t>
  </si>
  <si>
    <t>Steven</t>
  </si>
  <si>
    <t>Douglas</t>
  </si>
  <si>
    <t>Michael</t>
  </si>
  <si>
    <t>Sigal</t>
  </si>
  <si>
    <t>Diana</t>
  </si>
  <si>
    <t>Karen</t>
  </si>
  <si>
    <t>John</t>
  </si>
  <si>
    <t>Desk</t>
  </si>
  <si>
    <t>Video Games</t>
  </si>
  <si>
    <t>Sum of Units</t>
  </si>
  <si>
    <t>Sum of Unit_price</t>
  </si>
  <si>
    <t>Sum of Sale_amt</t>
  </si>
  <si>
    <t>profit</t>
  </si>
  <si>
    <t>see more details on pivot table sheet</t>
  </si>
  <si>
    <t>in pivot table from options check more option there are many useful function</t>
  </si>
  <si>
    <t>watch this viedo again wheneever you will work on pivot table</t>
  </si>
  <si>
    <t xml:space="preserve">DAY-- 6--&gt; </t>
  </si>
  <si>
    <t>PIVOT_TABLE_OPTION</t>
  </si>
  <si>
    <t>regions</t>
  </si>
  <si>
    <t>cetral</t>
  </si>
  <si>
    <t>value</t>
  </si>
  <si>
    <t>Column Labels</t>
  </si>
  <si>
    <t>Sum of value</t>
  </si>
  <si>
    <t>add gst column</t>
  </si>
  <si>
    <t>just click on pivot table - option - insert calculated find- ==&gt; name(gst) , =sales_plus_tax + sales_plus_tax * 0.05</t>
  </si>
  <si>
    <t xml:space="preserve">refresh </t>
  </si>
  <si>
    <t xml:space="preserve">all time make refresh after sherten change in pivot table </t>
  </si>
  <si>
    <t xml:space="preserve">Note= if I am using pivot table then it is necacery to make table of your data.  Because If you change any data in you table the it will autometicaly change and if you not make the table then it will not work </t>
  </si>
  <si>
    <t>Higlithe the data</t>
  </si>
  <si>
    <t>mor option of pivot table</t>
  </si>
  <si>
    <t xml:space="preserve">right click on pivot table then you will find pivot table option </t>
  </si>
  <si>
    <t>Day -- 7---&gt; PIVOT_TABLE REPORTFILTER</t>
  </si>
  <si>
    <t xml:space="preserve">filter report in pivot table--&gt; </t>
  </si>
  <si>
    <t>from option - find option- show report filter page</t>
  </si>
  <si>
    <t>from option - short and filter section- insert silecter</t>
  </si>
  <si>
    <t>add filter option-&gt;</t>
  </si>
  <si>
    <t xml:space="preserve">slicer fn --&gt; </t>
  </si>
  <si>
    <t>slicer fn is very important function</t>
  </si>
  <si>
    <t>sub total fn</t>
  </si>
  <si>
    <t>sub total fn is not working  on table data, it's only work on normal data  (normal row and columns)</t>
  </si>
  <si>
    <t>from data - subtotal fn</t>
  </si>
  <si>
    <t xml:space="preserve">subtotal fn apply for duplicate of you data for safty </t>
  </si>
  <si>
    <t xml:space="preserve">sub total and pivot table not working is not working together </t>
  </si>
  <si>
    <t xml:space="preserve">shorting order must be </t>
  </si>
  <si>
    <t>changing is not posible in sub total fn</t>
  </si>
  <si>
    <t>refesh fn is not working in sub total fn</t>
  </si>
  <si>
    <t>Day--&gt; 8 ---&gt; CHARTS_USING CONDITIONAL FORMATING.</t>
  </si>
  <si>
    <t xml:space="preserve">conditional formating </t>
  </si>
  <si>
    <t>data bar</t>
  </si>
  <si>
    <t>Data Bar</t>
  </si>
  <si>
    <t xml:space="preserve">in condiational formating </t>
  </si>
  <si>
    <t>top 10 values</t>
  </si>
  <si>
    <t xml:space="preserve">top 10 bottom </t>
  </si>
  <si>
    <t>duplicate values</t>
  </si>
  <si>
    <t>between values</t>
  </si>
  <si>
    <t>Day - 9--SPARKLINE</t>
  </si>
  <si>
    <t>spark line</t>
  </si>
  <si>
    <t>sparkline</t>
  </si>
  <si>
    <t xml:space="preserve">from insert sparkline </t>
  </si>
  <si>
    <t>parkline only work on numerical data</t>
  </si>
  <si>
    <t>go to youtube and firstly impliment to sparkline  then watch this video again]</t>
  </si>
  <si>
    <t xml:space="preserve">win, loss </t>
  </si>
  <si>
    <t>column</t>
  </si>
  <si>
    <t>Day-10--PIVOT_CHARTS.</t>
  </si>
  <si>
    <t>Sum of sub1</t>
  </si>
  <si>
    <t>Sum of sub2</t>
  </si>
  <si>
    <t>Sum of sub3</t>
  </si>
  <si>
    <t>Sum of total</t>
  </si>
  <si>
    <t xml:space="preserve">Pivot table </t>
  </si>
  <si>
    <t>insert Slicers</t>
  </si>
  <si>
    <t>click on bargraph - from analyze - insert slicers</t>
  </si>
  <si>
    <t>Day - 11---&gt; Filter_pivottable.</t>
  </si>
  <si>
    <t xml:space="preserve">FILTRING COMMAND - </t>
  </si>
  <si>
    <t>ctrl+shift+L</t>
  </si>
  <si>
    <t xml:space="preserve">for filter command in table </t>
  </si>
  <si>
    <t>filter by date</t>
  </si>
  <si>
    <t>filter by quarter</t>
  </si>
  <si>
    <t>filter by next month</t>
  </si>
  <si>
    <t>filter by condional format</t>
  </si>
  <si>
    <t>Day- 12--&gt; SUB_TOTAL.</t>
  </si>
  <si>
    <t xml:space="preserve">SUM FUNCTION </t>
  </si>
  <si>
    <t>SUBSTITUTE FN</t>
  </si>
  <si>
    <t>SUBSTITUTE("06/02/2023","2","1",3)</t>
  </si>
  <si>
    <t>result</t>
  </si>
  <si>
    <t>filter by the conditional  formating</t>
  </si>
  <si>
    <t>Day -- 13 -- VISIBLE_CELLS_ONLY.</t>
  </si>
  <si>
    <t xml:space="preserve">left function </t>
  </si>
  <si>
    <t xml:space="preserve">right function </t>
  </si>
  <si>
    <t xml:space="preserve">up function </t>
  </si>
  <si>
    <t xml:space="preserve">Left function </t>
  </si>
  <si>
    <t xml:space="preserve">from home - below - autosum function(top on right)  - click fill option </t>
  </si>
  <si>
    <t>visuable sell</t>
  </si>
  <si>
    <t>$$$  go to spacial cell</t>
  </si>
  <si>
    <t>unhide the values</t>
  </si>
  <si>
    <t>unhide the columns</t>
  </si>
  <si>
    <t xml:space="preserve">delete the blank values </t>
  </si>
  <si>
    <t>delete the blank cell</t>
  </si>
  <si>
    <t>from home - find and select - go to spacial- click on blank - it will show all the blank values - then from delect option - click delect selected cell</t>
  </si>
  <si>
    <t>Week 3 complete</t>
  </si>
  <si>
    <t>Day -- 1 25-PIVOT_TABLE_GROUP</t>
  </si>
  <si>
    <t>R01</t>
  </si>
  <si>
    <t>R02</t>
  </si>
  <si>
    <t>R03</t>
  </si>
  <si>
    <t>R04</t>
  </si>
  <si>
    <t>R05</t>
  </si>
  <si>
    <t>R06</t>
  </si>
  <si>
    <t>R07</t>
  </si>
  <si>
    <t>R08</t>
  </si>
  <si>
    <t>R09</t>
  </si>
  <si>
    <t>R10</t>
  </si>
  <si>
    <t>R11</t>
  </si>
  <si>
    <t>R12</t>
  </si>
  <si>
    <t>R13</t>
  </si>
  <si>
    <t>R14</t>
  </si>
  <si>
    <t>R15</t>
  </si>
  <si>
    <t>R16</t>
  </si>
  <si>
    <t>R17</t>
  </si>
  <si>
    <t>R18</t>
  </si>
  <si>
    <t>R19</t>
  </si>
  <si>
    <t>R20</t>
  </si>
  <si>
    <t>R21</t>
  </si>
  <si>
    <t>R22</t>
  </si>
  <si>
    <t>R23</t>
  </si>
  <si>
    <t>R24</t>
  </si>
  <si>
    <t>R25</t>
  </si>
  <si>
    <t>R26</t>
  </si>
  <si>
    <t>code</t>
  </si>
  <si>
    <t>duration</t>
  </si>
  <si>
    <t>id</t>
  </si>
  <si>
    <t>gourp by function</t>
  </si>
  <si>
    <t>Question</t>
  </si>
  <si>
    <t>find top 10 customer record</t>
  </si>
  <si>
    <t>month wise coustomer recored</t>
  </si>
  <si>
    <t>0-35 duration wise</t>
  </si>
  <si>
    <t>id wise amount total</t>
  </si>
  <si>
    <t>solution</t>
  </si>
  <si>
    <t xml:space="preserve">firstly you have to make table of this data then make pivot table </t>
  </si>
  <si>
    <t>Sum of amount</t>
  </si>
  <si>
    <t xml:space="preserve">after make a pivot table click on filter option here you can find to 10 filter option </t>
  </si>
  <si>
    <t>all this l4 question you can solve the answer from this concept</t>
  </si>
  <si>
    <t>month</t>
  </si>
  <si>
    <t>text fn</t>
  </si>
  <si>
    <t>text function</t>
  </si>
  <si>
    <t>if you want to know day or the data then you can apply text funtion</t>
  </si>
  <si>
    <t xml:space="preserve"> once you add the data in pivot table then click on refresh </t>
  </si>
  <si>
    <t>Count of month</t>
  </si>
  <si>
    <t xml:space="preserve">monthe wise--- make group by </t>
  </si>
  <si>
    <t>May</t>
  </si>
  <si>
    <t>Day -- 2--&gt; 26-GROUPING CHARTS</t>
  </si>
  <si>
    <t xml:space="preserve">day 1 solution of question no - 3 (duration wise </t>
  </si>
  <si>
    <t>solve question 3 by group by function</t>
  </si>
  <si>
    <t>0-34</t>
  </si>
  <si>
    <t>35-69</t>
  </si>
  <si>
    <t>70-104</t>
  </si>
  <si>
    <t>105-139</t>
  </si>
  <si>
    <t>here you can plot multiple type of chart</t>
  </si>
  <si>
    <t xml:space="preserve">you tamplete </t>
  </si>
  <si>
    <t>use insert function</t>
  </si>
  <si>
    <t>CREATE NEW TEMPLETE - from file - new- create new templete</t>
  </si>
  <si>
    <t>new</t>
  </si>
  <si>
    <t>move chart</t>
  </si>
  <si>
    <t>right click on chart and select sheet number weher you want to move the chart</t>
  </si>
  <si>
    <t>Day -- 3--&gt; 27-WORKING WITH _OBJECTS.</t>
  </si>
  <si>
    <t>object function</t>
  </si>
  <si>
    <t>from insert -- object</t>
  </si>
  <si>
    <t>here you can create PPT, and many type of file</t>
  </si>
  <si>
    <t xml:space="preserve">ms office </t>
  </si>
  <si>
    <t xml:space="preserve">pain </t>
  </si>
  <si>
    <t>ppt</t>
  </si>
  <si>
    <t xml:space="preserve">mathematics formula </t>
  </si>
  <si>
    <t>Day - 4---&gt; 28-ONE_PIVOTTABLE WITH TWO SLICERS.</t>
  </si>
  <si>
    <t>if function</t>
  </si>
  <si>
    <t>concatenate function</t>
  </si>
  <si>
    <t xml:space="preserve">concatenate function </t>
  </si>
  <si>
    <t>kundir</t>
  </si>
  <si>
    <t>nirma</t>
  </si>
  <si>
    <t>CONCATENATE</t>
  </si>
  <si>
    <t>NOTE- if you not able to understood the formula then go to formulas option - evalute fromula it will explane all the description</t>
  </si>
  <si>
    <t>you can create 2 pivot table</t>
  </si>
  <si>
    <t>you can easy create slicer with two pivot table</t>
  </si>
  <si>
    <t xml:space="preserve">translate function </t>
  </si>
  <si>
    <t>simple translate the language</t>
  </si>
  <si>
    <t>protect and share warkbook  , allow user to edit ranges, track changes</t>
  </si>
  <si>
    <t xml:space="preserve">from review -- right side you can find </t>
  </si>
  <si>
    <t>track changes--- &gt; for track edit cell</t>
  </si>
  <si>
    <t>Day -- 5 --&gt; 29-DASHBOARD.</t>
  </si>
  <si>
    <t>question</t>
  </si>
  <si>
    <t>customer wise report is created (customer wise purchase amount is created)</t>
  </si>
  <si>
    <t xml:space="preserve">month wise create pivot table </t>
  </si>
  <si>
    <t>range wise create pivot table(0-30,30-60,6990,&gt;90 range</t>
  </si>
  <si>
    <t xml:space="preserve">repratative wise create pivot table </t>
  </si>
  <si>
    <t xml:space="preserve">create the pivot table and connect all the pivot table </t>
  </si>
  <si>
    <t>customer id</t>
  </si>
  <si>
    <t>purchase amount</t>
  </si>
  <si>
    <t>representative</t>
  </si>
  <si>
    <t xml:space="preserve">1 customer wise report </t>
  </si>
  <si>
    <t>Sum of purchase amount</t>
  </si>
  <si>
    <t>2018</t>
  </si>
  <si>
    <t>Jan</t>
  </si>
  <si>
    <t>Feb</t>
  </si>
  <si>
    <t>Mar</t>
  </si>
  <si>
    <t>Apr</t>
  </si>
  <si>
    <t>Jun</t>
  </si>
  <si>
    <t>Jul</t>
  </si>
  <si>
    <t>Aug</t>
  </si>
  <si>
    <t>Sep</t>
  </si>
  <si>
    <t>Oct</t>
  </si>
  <si>
    <t>Nov</t>
  </si>
  <si>
    <t>Dec</t>
  </si>
  <si>
    <t>2019</t>
  </si>
  <si>
    <t>2 month wise using group by function</t>
  </si>
  <si>
    <t xml:space="preserve">3 range wise </t>
  </si>
  <si>
    <t>1-10</t>
  </si>
  <si>
    <t>11-20</t>
  </si>
  <si>
    <t>21-30</t>
  </si>
  <si>
    <t xml:space="preserve">4 repratative wise </t>
  </si>
  <si>
    <t>to cunnect the pivot table you have to find slicer function the you can do it</t>
  </si>
  <si>
    <t>Day -- 6 --&gt; 2-MACRO_CODING.</t>
  </si>
  <si>
    <t>micros function</t>
  </si>
  <si>
    <t>from view - find micros option</t>
  </si>
  <si>
    <t>Day- 7 ----&gt; 3-MACRO EXAMPLES.</t>
  </si>
  <si>
    <t xml:space="preserve">micro function -&gt; </t>
  </si>
  <si>
    <t xml:space="preserve">from view -&gt; micro function ----&gt; </t>
  </si>
  <si>
    <t>first record micro---&gt; then make the cell with bold, size, color, boder- then - stop record ---&gt; make a shape -&gt; right click on shape --&gt; assign micro then your micro is ready click on any data it will show</t>
  </si>
  <si>
    <t>it's work like a button</t>
  </si>
  <si>
    <t xml:space="preserve">fill function </t>
  </si>
  <si>
    <t>from home - fill option --</t>
  </si>
  <si>
    <t>here you can fill like series - day, date , months , year, any number</t>
  </si>
  <si>
    <t>fill function</t>
  </si>
  <si>
    <t xml:space="preserve">by the fill options </t>
  </si>
  <si>
    <t xml:space="preserve">micro function is use for recording your work </t>
  </si>
  <si>
    <t>you can do  hide or unhide  the sheet by using micro fn</t>
  </si>
  <si>
    <t xml:space="preserve">Day -- 8 ---&gt; 4-CUSTOM_FORMATING. </t>
  </si>
  <si>
    <t xml:space="preserve">custome format </t>
  </si>
  <si>
    <t xml:space="preserve">we can create custome format </t>
  </si>
  <si>
    <t>rs 15</t>
  </si>
  <si>
    <t>rs 25</t>
  </si>
  <si>
    <t>rs 30</t>
  </si>
  <si>
    <t>rs 35</t>
  </si>
  <si>
    <t>rs 40</t>
  </si>
  <si>
    <t>rs 45</t>
  </si>
  <si>
    <t>rs 20</t>
  </si>
  <si>
    <t>rs</t>
  </si>
  <si>
    <t>I have this data and I want to find the sum</t>
  </si>
  <si>
    <t xml:space="preserve">then use text to column from data -- &gt; text to column </t>
  </si>
  <si>
    <t xml:space="preserve">total </t>
  </si>
  <si>
    <t>text to data</t>
  </si>
  <si>
    <t>Day -- 9 ---&gt; 5-ADVANCE_FILTER.</t>
  </si>
  <si>
    <t>connect the file</t>
  </si>
  <si>
    <t xml:space="preserve">connect the another excel file in this file </t>
  </si>
  <si>
    <t>from data- connections- go to propatise values and refresth</t>
  </si>
  <si>
    <t>advance filter</t>
  </si>
  <si>
    <t xml:space="preserve">is is use for, if you want to filter your data with different sheet then bidhout change you orignal data </t>
  </si>
  <si>
    <t>from data- near to filter option - you will find advance filter</t>
  </si>
  <si>
    <t>^ advance filter</t>
  </si>
  <si>
    <t xml:space="preserve">here you can use Micrros function </t>
  </si>
  <si>
    <t>Day -- 10--&gt; 6-PIVOT_TABLE_NEW</t>
  </si>
  <si>
    <t>microsoft access database</t>
  </si>
  <si>
    <t>add the data from another excel file</t>
  </si>
  <si>
    <t xml:space="preserve">simply click on pivot table the it will provide a option to select new data sheet </t>
  </si>
  <si>
    <t>Sum of date</t>
  </si>
  <si>
    <t>Sum of duration</t>
  </si>
  <si>
    <t>tab sepration values</t>
  </si>
  <si>
    <t xml:space="preserve">create tab sepration values data sheet on notpad </t>
  </si>
  <si>
    <t>insert tab sepration data sheet made on notepad</t>
  </si>
  <si>
    <t>Day - 11--&gt; 7-MACRO_PPT</t>
  </si>
  <si>
    <t xml:space="preserve">ppt on Micro </t>
  </si>
  <si>
    <t xml:space="preserve">it's all about macros </t>
  </si>
  <si>
    <t>watch this video again for batter clearness</t>
  </si>
  <si>
    <t>Day -- 12 --&gt; Macro</t>
  </si>
  <si>
    <t xml:space="preserve">what is the use of Macro </t>
  </si>
  <si>
    <t xml:space="preserve">use of the macro is recording your work to call next time easly </t>
  </si>
  <si>
    <t xml:space="preserve">apne work ko record ker lete hai uske baad kabhi v uska use ker sakte hai </t>
  </si>
  <si>
    <t xml:space="preserve">personal macro </t>
  </si>
  <si>
    <t>this macro workbook</t>
  </si>
  <si>
    <t>it is use for own only</t>
  </si>
  <si>
    <t xml:space="preserve">new macro workbook </t>
  </si>
  <si>
    <t>this macro you can share with another pc</t>
  </si>
  <si>
    <t>this macro only used for this sheet, it will not apply any other sheet</t>
  </si>
  <si>
    <t xml:space="preserve">week 4 complete </t>
  </si>
  <si>
    <t>Day- 1 --&gt; MACRO_DATABASE.</t>
  </si>
  <si>
    <t xml:space="preserve">mrcro </t>
  </si>
  <si>
    <t>work with another sheet</t>
  </si>
  <si>
    <t>if you want to apply macro function on different sheet then make sure range of columns is same , other wise it's not working</t>
  </si>
  <si>
    <t xml:space="preserve">Day--&gt; 2--- &gt; ADVANCEFILTER MACRO. </t>
  </si>
  <si>
    <t xml:space="preserve">make a macro with different sheet </t>
  </si>
  <si>
    <t xml:space="preserve">macro --&gt; </t>
  </si>
  <si>
    <t>advance filte of macro--&gt; from data -- advance filter-- macro --&gt; then provide range of different different sheet</t>
  </si>
  <si>
    <t>Week--&gt;5</t>
  </si>
  <si>
    <t>Day--&gt; 3  --&gt; RELATIVE_REFRENCES.</t>
  </si>
  <si>
    <t xml:space="preserve">relative refrences---&gt; </t>
  </si>
  <si>
    <t>from home -- paste -- transpose paste</t>
  </si>
  <si>
    <t>exat function</t>
  </si>
  <si>
    <t>exat</t>
  </si>
  <si>
    <t xml:space="preserve">    navin</t>
  </si>
  <si>
    <t>exact</t>
  </si>
  <si>
    <t>here false because 2nd navin have some space</t>
  </si>
  <si>
    <t>trim function</t>
  </si>
  <si>
    <t>Day--&gt; 4--&gt; MACRO_BASIC.</t>
  </si>
  <si>
    <t>number</t>
  </si>
  <si>
    <t xml:space="preserve">disadvantage of macro -- if you want to redo (ctrl+z) is not working </t>
  </si>
  <si>
    <t xml:space="preserve">so if you want to apply macro on your data then firstly create a copy data </t>
  </si>
  <si>
    <t>for data set</t>
  </si>
  <si>
    <t xml:space="preserve">    </t>
  </si>
  <si>
    <t>Day -- 5---&gt; Form contro</t>
  </si>
  <si>
    <t xml:space="preserve">put you devloper option is enable </t>
  </si>
  <si>
    <t>devloper tab</t>
  </si>
  <si>
    <t xml:space="preserve">protect you excel file--&gt; </t>
  </si>
  <si>
    <t>from devloper tab--&gt; insert--&gt; from controll , ActioveX cantroll</t>
  </si>
  <si>
    <t xml:space="preserve">here you can cantroll every each sheet </t>
  </si>
  <si>
    <t xml:space="preserve">import in excel </t>
  </si>
  <si>
    <t>wathc this video after install window 10 or more</t>
  </si>
  <si>
    <t>Day-- 6 --&gt; Option_control_heckbox_option.</t>
  </si>
  <si>
    <t xml:space="preserve">FROM DEVLOPER </t>
  </si>
  <si>
    <t>1 FORM CONTROLER</t>
  </si>
  <si>
    <t>2 ACTIVE X CANTROLER</t>
  </si>
  <si>
    <t xml:space="preserve">this function is used for create option command </t>
  </si>
  <si>
    <t>from devloper--- insert---- form cantrol---&gt; option command</t>
  </si>
  <si>
    <t xml:space="preserve">option </t>
  </si>
  <si>
    <t>chekbox</t>
  </si>
  <si>
    <t xml:space="preserve">here you can create any type of logical ceatriya </t>
  </si>
  <si>
    <t xml:space="preserve">Week 5 Over </t>
  </si>
  <si>
    <t xml:space="preserve">Week --&gt; 6 </t>
  </si>
  <si>
    <t>Day--&gt; DIFFERANCE_BETWEEN_ACTIVEX_FORM CONTROL.</t>
  </si>
  <si>
    <t>check box</t>
  </si>
  <si>
    <t xml:space="preserve">here you can apply all type of IF formula </t>
  </si>
  <si>
    <t xml:space="preserve">from devloper -- insert-- form index---&gt; </t>
  </si>
  <si>
    <t xml:space="preserve">here you can- click right butoon - find - proptise --- then you can check more information </t>
  </si>
  <si>
    <t>you can do -- fill color, insert image</t>
  </si>
  <si>
    <t>Day -- 2--&gt; COMBOBOX VALUE.</t>
  </si>
  <si>
    <t>footware</t>
  </si>
  <si>
    <t>outer clothing</t>
  </si>
  <si>
    <t>extras</t>
  </si>
  <si>
    <t>winer</t>
  </si>
  <si>
    <t>summer</t>
  </si>
  <si>
    <t>warm winterboots</t>
  </si>
  <si>
    <t xml:space="preserve">good walking shoes </t>
  </si>
  <si>
    <t>warm jaket</t>
  </si>
  <si>
    <t>water proof jacket</t>
  </si>
  <si>
    <t>gloves, hats, scarves</t>
  </si>
  <si>
    <t>sun screen, bug repellant, bathing suit</t>
  </si>
  <si>
    <t>outerclothing</t>
  </si>
  <si>
    <t xml:space="preserve">sales </t>
  </si>
  <si>
    <t>market</t>
  </si>
  <si>
    <t>account</t>
  </si>
  <si>
    <t xml:space="preserve">watch this video again berfore work on this topic </t>
  </si>
  <si>
    <t xml:space="preserve">Day -- &gt; 3 --&gt; FORM WITHOUT VBA </t>
  </si>
  <si>
    <t xml:space="preserve">first name </t>
  </si>
  <si>
    <t>yadav</t>
  </si>
  <si>
    <t>from excel option-- custmize  -- &gt; all command --&gt; form -- then it's add in you rebbin seccetion</t>
  </si>
  <si>
    <t xml:space="preserve">Form Function </t>
  </si>
  <si>
    <t xml:space="preserve">this function for create a form for easy to entry data </t>
  </si>
  <si>
    <t xml:space="preserve">here you can put conditional formula  ---&gt;, from data tab, -- data validation </t>
  </si>
  <si>
    <t>city</t>
  </si>
  <si>
    <t>bangalore</t>
  </si>
  <si>
    <t>mob no</t>
  </si>
  <si>
    <t>pincode</t>
  </si>
  <si>
    <t>bang</t>
  </si>
  <si>
    <t>gender</t>
  </si>
  <si>
    <t>male</t>
  </si>
  <si>
    <t>Here you can fit conditional format</t>
  </si>
  <si>
    <t xml:space="preserve">Day --&gt; 4 --&gt; RELATIONSHIP_PIVOTTABLE. </t>
  </si>
  <si>
    <t xml:space="preserve">relationship of pivot table function is avelable on 2013 version or update </t>
  </si>
  <si>
    <t>from data-- relationship</t>
  </si>
  <si>
    <t>type of relationship between data</t>
  </si>
  <si>
    <t>one to one</t>
  </si>
  <si>
    <t>one to many</t>
  </si>
  <si>
    <t>many to one</t>
  </si>
  <si>
    <t>many to many</t>
  </si>
  <si>
    <t xml:space="preserve">Relationship </t>
  </si>
  <si>
    <t>pk--&gt; primry key</t>
  </si>
  <si>
    <t xml:space="preserve">watch this video once you update you office </t>
  </si>
  <si>
    <t xml:space="preserve">in relationship function there are many type of function are avelable </t>
  </si>
  <si>
    <t>Day -- 5 ---&gt; PASTE SPECIAL.</t>
  </si>
  <si>
    <t xml:space="preserve">copy and paste </t>
  </si>
  <si>
    <t xml:space="preserve">spacial paste option </t>
  </si>
  <si>
    <t>from paste option there are many many type of paste option is avelable ------&gt; paste as link , etc</t>
  </si>
  <si>
    <t xml:space="preserve">past as link---&gt; if you change the data in main table the it will automatic change in another data </t>
  </si>
  <si>
    <t xml:space="preserve">Paste as Picture </t>
  </si>
  <si>
    <t xml:space="preserve">background image  ---&gt; </t>
  </si>
  <si>
    <t>from page layout</t>
  </si>
  <si>
    <t xml:space="preserve">picture transpressancy </t>
  </si>
  <si>
    <t xml:space="preserve">Day --&gt; 6 ---&gt; EXCEL_UTILITES </t>
  </si>
  <si>
    <t xml:space="preserve">ASP Utilities </t>
  </si>
  <si>
    <t xml:space="preserve">this function show on 2016 version </t>
  </si>
  <si>
    <t xml:space="preserve">watch this video after install new version </t>
  </si>
  <si>
    <t xml:space="preserve">watch this video before work on this function </t>
  </si>
  <si>
    <t>patna</t>
  </si>
  <si>
    <t>sales_record</t>
  </si>
  <si>
    <t>channai</t>
  </si>
  <si>
    <t>delhi</t>
  </si>
  <si>
    <t>abc</t>
  </si>
  <si>
    <t>def</t>
  </si>
  <si>
    <t>ghi</t>
  </si>
  <si>
    <t>file saperated</t>
  </si>
  <si>
    <t xml:space="preserve">sheet wise </t>
  </si>
  <si>
    <t xml:space="preserve">ASAPCOUNTBYCELLCOLLER FUNCTION --&gt; </t>
  </si>
  <si>
    <t xml:space="preserve">it is use for count the cell by color the sell </t>
  </si>
  <si>
    <t>Day --&gt; 7---&gt; ASAPUTILITES.</t>
  </si>
  <si>
    <t>import data from text file</t>
  </si>
  <si>
    <t xml:space="preserve">from data--&gt; from text </t>
  </si>
  <si>
    <t xml:space="preserve">if you want to saprate your data with space then you can apply text to column function </t>
  </si>
  <si>
    <t xml:space="preserve">you can do this by using ASAP Utlities function </t>
  </si>
  <si>
    <t xml:space="preserve">watch this video after upgrade your excel version </t>
  </si>
  <si>
    <t>Excel Part Over</t>
  </si>
  <si>
    <t xml:space="preserve">ppt of Data Validation </t>
  </si>
  <si>
    <t xml:space="preserve">https://github.com/ksingh9398/Elective-Session-Advance-Excel/blob/main/Data%20Validation%20PPT.pdf </t>
  </si>
  <si>
    <t>PPT of Marco</t>
  </si>
  <si>
    <t xml:space="preserve">https://github.com/ksingh9398/Elective-Session-Advance-Excel/blob/main/Micro%20PPT.pdf </t>
  </si>
  <si>
    <t>PPT OF PIVOT TABLE</t>
  </si>
  <si>
    <t xml:space="preserve">https://github.com/ksingh9398/Elective-Session-Advance-Excel/blob/main/PIVOT%20TABLE%20PPT.pdf </t>
  </si>
</sst>
</file>

<file path=xl/styles.xml><?xml version="1.0" encoding="utf-8"?>
<styleSheet xmlns="http://schemas.openxmlformats.org/spreadsheetml/2006/main">
  <numFmts count="10">
    <numFmt numFmtId="8" formatCode="&quot;₹&quot;\ #,##0.00;[Red]&quot;₹&quot;\ \-#,##0.00"/>
    <numFmt numFmtId="43" formatCode="_ * #,##0.00_ ;_ * \-#,##0.00_ ;_ * &quot;-&quot;??_ ;_ @_ "/>
    <numFmt numFmtId="164" formatCode="[$-409]d\-mmm;@"/>
    <numFmt numFmtId="165" formatCode="&quot;$&quot;#,##0.000"/>
    <numFmt numFmtId="166" formatCode="0.0"/>
    <numFmt numFmtId="167" formatCode="0.0000000"/>
    <numFmt numFmtId="168" formatCode="[$-F400]h:mm:ss\ AM/PM"/>
    <numFmt numFmtId="169" formatCode="_(* #,##0.00_);_(* \(#,##0.00\);_(* &quot;-&quot;??_);_(@_)"/>
    <numFmt numFmtId="170" formatCode="m/d/yy;@"/>
    <numFmt numFmtId="171" formatCode="&quot;RS&quot;\ 00.00"/>
  </numFmts>
  <fonts count="33">
    <font>
      <sz val="11"/>
      <color theme="1"/>
      <name val="Calibri"/>
      <family val="2"/>
      <scheme val="minor"/>
    </font>
    <font>
      <sz val="28"/>
      <color theme="1"/>
      <name val="Calibri"/>
      <family val="2"/>
      <scheme val="minor"/>
    </font>
    <font>
      <sz val="14"/>
      <color theme="1"/>
      <name val="Calibri"/>
      <family val="2"/>
      <scheme val="minor"/>
    </font>
    <font>
      <sz val="24"/>
      <color theme="1"/>
      <name val="Calibri"/>
      <family val="2"/>
      <scheme val="minor"/>
    </font>
    <font>
      <sz val="11"/>
      <color theme="1"/>
      <name val="Calibri"/>
      <family val="2"/>
      <scheme val="minor"/>
    </font>
    <font>
      <sz val="18"/>
      <color theme="1"/>
      <name val="Calibri"/>
      <family val="2"/>
      <scheme val="minor"/>
    </font>
    <font>
      <b/>
      <sz val="14"/>
      <color theme="1"/>
      <name val="Calibri"/>
      <family val="2"/>
      <scheme val="minor"/>
    </font>
    <font>
      <sz val="12"/>
      <color theme="1"/>
      <name val="Calibri"/>
      <family val="2"/>
      <scheme val="minor"/>
    </font>
    <font>
      <sz val="16"/>
      <color theme="1"/>
      <name val="Calibri"/>
      <family val="2"/>
      <scheme val="minor"/>
    </font>
    <font>
      <sz val="20"/>
      <color theme="1"/>
      <name val="Calibri"/>
      <family val="2"/>
      <scheme val="minor"/>
    </font>
    <font>
      <sz val="26"/>
      <color theme="1"/>
      <name val="Calibri"/>
      <family val="2"/>
      <scheme val="minor"/>
    </font>
    <font>
      <u/>
      <sz val="11"/>
      <color theme="10"/>
      <name val="Calibri"/>
      <family val="2"/>
    </font>
    <font>
      <sz val="11"/>
      <color rgb="FF9C0006"/>
      <name val="Calibri"/>
      <family val="2"/>
      <scheme val="minor"/>
    </font>
    <font>
      <sz val="36"/>
      <color theme="1"/>
      <name val="Calibri"/>
      <family val="2"/>
      <scheme val="minor"/>
    </font>
    <font>
      <sz val="22"/>
      <color theme="1"/>
      <name val="Calibri"/>
      <family val="2"/>
      <scheme val="minor"/>
    </font>
    <font>
      <sz val="12"/>
      <color rgb="FF9C0006"/>
      <name val="Calibri"/>
      <family val="2"/>
      <scheme val="minor"/>
    </font>
    <font>
      <sz val="11"/>
      <color rgb="FFFF0000"/>
      <name val="Calibri"/>
      <family val="2"/>
      <scheme val="minor"/>
    </font>
    <font>
      <sz val="12"/>
      <color rgb="FF082343"/>
      <name val="Arial"/>
      <family val="2"/>
    </font>
    <font>
      <b/>
      <u/>
      <sz val="11"/>
      <color theme="1"/>
      <name val="Calibri"/>
      <family val="2"/>
      <scheme val="minor"/>
    </font>
    <font>
      <sz val="11"/>
      <color theme="1"/>
      <name val="Calibri"/>
      <family val="2"/>
    </font>
    <font>
      <sz val="11"/>
      <name val="Arial"/>
      <family val="2"/>
    </font>
    <font>
      <sz val="11"/>
      <color theme="1"/>
      <name val="Arial"/>
      <family val="2"/>
    </font>
    <font>
      <sz val="48"/>
      <color theme="1"/>
      <name val="Calibri"/>
      <family val="2"/>
      <scheme val="minor"/>
    </font>
    <font>
      <b/>
      <sz val="11"/>
      <color theme="0"/>
      <name val="Calibri"/>
      <family val="2"/>
      <scheme val="minor"/>
    </font>
    <font>
      <b/>
      <sz val="24"/>
      <color theme="1"/>
      <name val="Calibri"/>
      <family val="2"/>
      <scheme val="minor"/>
    </font>
    <font>
      <b/>
      <sz val="18"/>
      <color theme="1"/>
      <name val="Calibri"/>
      <family val="2"/>
      <scheme val="minor"/>
    </font>
    <font>
      <b/>
      <sz val="22"/>
      <color theme="1"/>
      <name val="Calibri"/>
      <family val="2"/>
      <scheme val="minor"/>
    </font>
    <font>
      <b/>
      <sz val="36"/>
      <color theme="1"/>
      <name val="Calibri"/>
      <family val="2"/>
      <scheme val="minor"/>
    </font>
    <font>
      <b/>
      <sz val="16"/>
      <color theme="1"/>
      <name val="Calibri"/>
      <family val="2"/>
      <scheme val="minor"/>
    </font>
    <font>
      <sz val="8"/>
      <name val="Tahoma"/>
      <family val="2"/>
    </font>
    <font>
      <sz val="11"/>
      <color theme="4" tint="0.59999389629810485"/>
      <name val="Calibri"/>
      <family val="2"/>
      <scheme val="minor"/>
    </font>
    <font>
      <b/>
      <sz val="20"/>
      <color theme="1"/>
      <name val="Calibri"/>
      <family val="2"/>
      <scheme val="minor"/>
    </font>
    <font>
      <b/>
      <sz val="28"/>
      <color theme="1"/>
      <name val="Calibri"/>
      <family val="2"/>
      <scheme val="minor"/>
    </font>
  </fonts>
  <fills count="3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0070C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bgColor indexed="64"/>
      </patternFill>
    </fill>
    <fill>
      <patternFill patternType="solid">
        <fgColor rgb="FFFFC000"/>
        <bgColor indexed="64"/>
      </patternFill>
    </fill>
    <fill>
      <patternFill patternType="solid">
        <fgColor rgb="FF92D050"/>
        <bgColor indexed="64"/>
      </patternFill>
    </fill>
    <fill>
      <patternFill patternType="solid">
        <fgColor rgb="FFCCECFF"/>
        <bgColor indexed="64"/>
      </patternFill>
    </fill>
    <fill>
      <patternFill patternType="solid">
        <fgColor rgb="FFECFFCC"/>
        <bgColor indexed="64"/>
      </patternFill>
    </fill>
    <fill>
      <patternFill patternType="solid">
        <fgColor rgb="FFF7FFEB"/>
        <bgColor indexed="64"/>
      </patternFill>
    </fill>
    <fill>
      <patternFill patternType="solid">
        <fgColor rgb="FF00B050"/>
        <bgColor indexed="64"/>
      </patternFill>
    </fill>
    <fill>
      <patternFill patternType="solid">
        <fgColor rgb="FF00B0F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bgColor indexed="64"/>
      </patternFill>
    </fill>
    <fill>
      <patternFill patternType="solid">
        <fgColor rgb="FFFFC7CE"/>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rgb="FFFFFFFF"/>
        <bgColor indexed="64"/>
      </patternFill>
    </fill>
    <fill>
      <patternFill patternType="solid">
        <fgColor theme="4" tint="0.79998168889431442"/>
        <bgColor theme="4" tint="0.79998168889431442"/>
      </patternFill>
    </fill>
    <fill>
      <patternFill patternType="solid">
        <fgColor theme="7" tint="-0.249977111117893"/>
        <bgColor indexed="64"/>
      </patternFill>
    </fill>
    <fill>
      <patternFill patternType="solid">
        <fgColor theme="4" tint="0.79998168889431442"/>
        <bgColor theme="4" tint="0.59999389629810485"/>
      </patternFill>
    </fill>
    <fill>
      <patternFill patternType="solid">
        <fgColor theme="4" tint="0.39997558519241921"/>
        <bgColor indexed="64"/>
      </patternFill>
    </fill>
    <fill>
      <patternFill patternType="solid">
        <fgColor theme="8" tint="0.39997558519241921"/>
        <bgColor indexed="64"/>
      </patternFill>
    </fill>
    <fill>
      <patternFill patternType="solid">
        <fgColor theme="6"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rgb="FFDDDDDD"/>
      </left>
      <right style="medium">
        <color rgb="FFDDDDDD"/>
      </right>
      <top style="medium">
        <color rgb="FFDDDDDD"/>
      </top>
      <bottom style="medium">
        <color rgb="FFDDDDDD"/>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style="thin">
        <color theme="0"/>
      </right>
      <top/>
      <bottom style="thin">
        <color theme="0"/>
      </bottom>
      <diagonal/>
    </border>
    <border>
      <left/>
      <right style="thin">
        <color theme="0"/>
      </right>
      <top/>
      <bottom style="thick">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4" fillId="0" borderId="0" applyFont="0" applyFill="0" applyBorder="0" applyAlignment="0" applyProtection="0"/>
    <xf numFmtId="0" fontId="11" fillId="0" borderId="0" applyNumberFormat="0" applyFill="0" applyBorder="0" applyAlignment="0" applyProtection="0">
      <alignment vertical="top"/>
      <protection locked="0"/>
    </xf>
    <xf numFmtId="0" fontId="12" fillId="24" borderId="0" applyNumberFormat="0" applyBorder="0" applyAlignment="0" applyProtection="0"/>
  </cellStyleXfs>
  <cellXfs count="144">
    <xf numFmtId="0" fontId="0" fillId="0" borderId="0" xfId="0"/>
    <xf numFmtId="0" fontId="1" fillId="2" borderId="0" xfId="0" applyFont="1" applyFill="1"/>
    <xf numFmtId="0" fontId="2" fillId="4" borderId="0" xfId="0" applyFont="1" applyFill="1"/>
    <xf numFmtId="0" fontId="0" fillId="5" borderId="0" xfId="0" applyFill="1"/>
    <xf numFmtId="0" fontId="3" fillId="3" borderId="0" xfId="0" applyFont="1" applyFill="1" applyAlignment="1">
      <alignment horizontal="center"/>
    </xf>
    <xf numFmtId="43" fontId="0" fillId="0" borderId="0" xfId="1" applyFont="1"/>
    <xf numFmtId="0" fontId="0" fillId="9" borderId="0" xfId="0" applyFill="1"/>
    <xf numFmtId="22" fontId="0" fillId="0" borderId="0" xfId="0" applyNumberFormat="1"/>
    <xf numFmtId="14" fontId="0" fillId="0" borderId="0" xfId="0" applyNumberFormat="1"/>
    <xf numFmtId="0" fontId="0" fillId="2" borderId="0" xfId="0" applyFill="1"/>
    <xf numFmtId="0" fontId="6" fillId="10" borderId="1" xfId="0" applyFont="1" applyFill="1" applyBorder="1" applyAlignment="1">
      <alignment horizontal="center" vertical="center"/>
    </xf>
    <xf numFmtId="0" fontId="6" fillId="11" borderId="1" xfId="0" applyFont="1" applyFill="1" applyBorder="1" applyAlignment="1">
      <alignment horizontal="center" vertical="center"/>
    </xf>
    <xf numFmtId="0" fontId="7" fillId="0" borderId="1" xfId="0" applyFont="1" applyBorder="1" applyAlignment="1">
      <alignment horizontal="center" vertical="center"/>
    </xf>
    <xf numFmtId="164" fontId="7" fillId="0" borderId="1" xfId="0" applyNumberFormat="1" applyFont="1" applyBorder="1" applyAlignment="1">
      <alignment horizontal="center" vertical="center"/>
    </xf>
    <xf numFmtId="165" fontId="7" fillId="12" borderId="1" xfId="0" applyNumberFormat="1" applyFont="1" applyFill="1" applyBorder="1" applyAlignment="1">
      <alignment horizontal="center" vertical="center"/>
    </xf>
    <xf numFmtId="0" fontId="7" fillId="0" borderId="0" xfId="0" applyFont="1" applyAlignment="1">
      <alignment horizontal="center" vertical="center"/>
    </xf>
    <xf numFmtId="0" fontId="0" fillId="13" borderId="0" xfId="0" applyFill="1"/>
    <xf numFmtId="0" fontId="0" fillId="14" borderId="0" xfId="0" applyFill="1"/>
    <xf numFmtId="0" fontId="5" fillId="2" borderId="0" xfId="0" applyFont="1" applyFill="1"/>
    <xf numFmtId="0" fontId="9" fillId="7" borderId="0" xfId="0" applyFont="1" applyFill="1"/>
    <xf numFmtId="0" fontId="9" fillId="8" borderId="0" xfId="0" applyFont="1" applyFill="1"/>
    <xf numFmtId="0" fontId="2" fillId="9" borderId="0" xfId="0" applyFont="1" applyFill="1"/>
    <xf numFmtId="0" fontId="9" fillId="13" borderId="0" xfId="0" applyFont="1" applyFill="1"/>
    <xf numFmtId="0" fontId="0" fillId="0" borderId="1" xfId="0" applyBorder="1"/>
    <xf numFmtId="22" fontId="0" fillId="3" borderId="0" xfId="0" applyNumberFormat="1" applyFill="1"/>
    <xf numFmtId="0" fontId="0" fillId="3" borderId="0" xfId="0" applyFill="1"/>
    <xf numFmtId="0" fontId="0" fillId="0" borderId="0" xfId="0" applyAlignment="1">
      <alignment wrapText="1"/>
    </xf>
    <xf numFmtId="0" fontId="0" fillId="16" borderId="0" xfId="0" applyFill="1"/>
    <xf numFmtId="0" fontId="0" fillId="17" borderId="0" xfId="0" applyFill="1"/>
    <xf numFmtId="0" fontId="0" fillId="18" borderId="0" xfId="0" applyFill="1"/>
    <xf numFmtId="2" fontId="0" fillId="0" borderId="0" xfId="0" applyNumberFormat="1"/>
    <xf numFmtId="166" fontId="0" fillId="0" borderId="0" xfId="0" applyNumberFormat="1"/>
    <xf numFmtId="167" fontId="0" fillId="0" borderId="0" xfId="0" applyNumberFormat="1"/>
    <xf numFmtId="0" fontId="0" fillId="19" borderId="0" xfId="0" applyFill="1"/>
    <xf numFmtId="0" fontId="2" fillId="19" borderId="0" xfId="0" applyFont="1" applyFill="1"/>
    <xf numFmtId="22" fontId="2" fillId="19" borderId="0" xfId="0" applyNumberFormat="1" applyFont="1" applyFill="1"/>
    <xf numFmtId="0" fontId="0" fillId="20" borderId="0" xfId="0" applyFill="1"/>
    <xf numFmtId="14" fontId="0" fillId="0" borderId="1" xfId="0" applyNumberFormat="1" applyBorder="1"/>
    <xf numFmtId="0" fontId="8" fillId="2" borderId="0" xfId="0" applyFont="1" applyFill="1"/>
    <xf numFmtId="14" fontId="0" fillId="17" borderId="0" xfId="0" applyNumberFormat="1" applyFill="1"/>
    <xf numFmtId="0" fontId="2" fillId="2" borderId="0" xfId="0" applyFont="1" applyFill="1"/>
    <xf numFmtId="0" fontId="0" fillId="6" borderId="0" xfId="0" applyFill="1"/>
    <xf numFmtId="9" fontId="0" fillId="0" borderId="0" xfId="0" applyNumberFormat="1"/>
    <xf numFmtId="8" fontId="0" fillId="0" borderId="0" xfId="0" applyNumberFormat="1"/>
    <xf numFmtId="0" fontId="0" fillId="22" borderId="0" xfId="0" applyFill="1"/>
    <xf numFmtId="10" fontId="0" fillId="0" borderId="0" xfId="0" applyNumberFormat="1"/>
    <xf numFmtId="0" fontId="11" fillId="0" borderId="0" xfId="2" applyAlignment="1" applyProtection="1"/>
    <xf numFmtId="20" fontId="0" fillId="0" borderId="0" xfId="0" applyNumberFormat="1"/>
    <xf numFmtId="0" fontId="0" fillId="23" borderId="0" xfId="0" applyFill="1"/>
    <xf numFmtId="20" fontId="0" fillId="5" borderId="0" xfId="0" applyNumberFormat="1" applyFill="1"/>
    <xf numFmtId="0" fontId="0" fillId="21" borderId="0" xfId="0" applyFill="1"/>
    <xf numFmtId="0" fontId="0" fillId="25" borderId="0" xfId="0" applyFill="1"/>
    <xf numFmtId="168" fontId="0" fillId="0" borderId="0" xfId="0" applyNumberFormat="1"/>
    <xf numFmtId="18" fontId="0" fillId="0" borderId="0" xfId="0" applyNumberFormat="1"/>
    <xf numFmtId="22" fontId="16" fillId="0" borderId="0" xfId="0" applyNumberFormat="1" applyFont="1"/>
    <xf numFmtId="0" fontId="0" fillId="0" borderId="0" xfId="0" pivotButton="1"/>
    <xf numFmtId="0" fontId="0" fillId="0" borderId="0" xfId="0" applyAlignment="1">
      <alignment horizontal="left"/>
    </xf>
    <xf numFmtId="0" fontId="17" fillId="2" borderId="0" xfId="0" applyFont="1" applyFill="1" applyAlignment="1">
      <alignment wrapText="1"/>
    </xf>
    <xf numFmtId="0" fontId="0" fillId="0" borderId="1" xfId="0" applyBorder="1" applyAlignment="1">
      <alignment horizontal="center" vertical="top"/>
    </xf>
    <xf numFmtId="0" fontId="0" fillId="26" borderId="0" xfId="0" applyFill="1"/>
    <xf numFmtId="0" fontId="16" fillId="17" borderId="0" xfId="0" applyFont="1" applyFill="1"/>
    <xf numFmtId="0" fontId="18" fillId="2" borderId="0" xfId="0" applyFont="1" applyFill="1"/>
    <xf numFmtId="0" fontId="0" fillId="27" borderId="0" xfId="0" applyFill="1"/>
    <xf numFmtId="0" fontId="0" fillId="28" borderId="0" xfId="0" applyFill="1"/>
    <xf numFmtId="169" fontId="19" fillId="0" borderId="0" xfId="1" applyNumberFormat="1" applyFont="1" applyBorder="1" applyAlignment="1">
      <alignment horizontal="left" vertical="center"/>
    </xf>
    <xf numFmtId="170" fontId="19" fillId="0" borderId="0" xfId="0" applyNumberFormat="1" applyFont="1" applyAlignment="1">
      <alignment vertical="center"/>
    </xf>
    <xf numFmtId="0" fontId="19" fillId="0" borderId="0" xfId="0" applyFont="1" applyAlignment="1">
      <alignment vertical="center"/>
    </xf>
    <xf numFmtId="0" fontId="20" fillId="0" borderId="0" xfId="0" applyFont="1"/>
    <xf numFmtId="0" fontId="21" fillId="29" borderId="2" xfId="0" applyFont="1" applyFill="1" applyBorder="1" applyAlignment="1">
      <alignment vertical="top" wrapText="1"/>
    </xf>
    <xf numFmtId="0" fontId="19" fillId="0" borderId="0" xfId="0" applyFont="1" applyAlignment="1">
      <alignment horizontal="left" vertical="center"/>
    </xf>
    <xf numFmtId="169" fontId="0" fillId="0" borderId="0" xfId="0" applyNumberFormat="1"/>
    <xf numFmtId="0" fontId="21" fillId="0" borderId="0" xfId="0" applyFont="1" applyAlignment="1">
      <alignment vertical="top" wrapText="1"/>
    </xf>
    <xf numFmtId="0" fontId="20" fillId="29" borderId="0" xfId="0" applyFont="1" applyFill="1" applyAlignment="1">
      <alignment vertical="top" wrapText="1"/>
    </xf>
    <xf numFmtId="0" fontId="20" fillId="0" borderId="2" xfId="0" applyFont="1" applyBorder="1"/>
    <xf numFmtId="0" fontId="20" fillId="29" borderId="2" xfId="0" applyFont="1" applyFill="1" applyBorder="1" applyAlignment="1">
      <alignment vertical="top" wrapText="1"/>
    </xf>
    <xf numFmtId="0" fontId="21" fillId="0" borderId="2" xfId="0" applyFont="1" applyBorder="1" applyAlignment="1">
      <alignment vertical="top" wrapText="1"/>
    </xf>
    <xf numFmtId="16" fontId="0" fillId="0" borderId="0" xfId="0" applyNumberFormat="1"/>
    <xf numFmtId="16" fontId="0" fillId="0" borderId="0" xfId="0" applyNumberFormat="1" applyAlignment="1">
      <alignment horizontal="left"/>
    </xf>
    <xf numFmtId="0" fontId="0" fillId="30" borderId="3" xfId="0" applyFill="1" applyBorder="1"/>
    <xf numFmtId="0" fontId="0" fillId="8" borderId="0" xfId="0" applyFill="1"/>
    <xf numFmtId="170" fontId="19" fillId="30" borderId="5" xfId="0" applyNumberFormat="1" applyFont="1" applyFill="1" applyBorder="1" applyAlignment="1">
      <alignment vertical="center"/>
    </xf>
    <xf numFmtId="0" fontId="0" fillId="31" borderId="0" xfId="0" applyFill="1"/>
    <xf numFmtId="170" fontId="19" fillId="32" borderId="4" xfId="0" applyNumberFormat="1" applyFont="1" applyFill="1" applyBorder="1" applyAlignment="1">
      <alignment vertical="center"/>
    </xf>
    <xf numFmtId="170" fontId="19" fillId="32" borderId="5" xfId="0" applyNumberFormat="1" applyFont="1" applyFill="1" applyBorder="1" applyAlignment="1">
      <alignment vertical="center"/>
    </xf>
    <xf numFmtId="0" fontId="0" fillId="28" borderId="4" xfId="0" applyFill="1" applyBorder="1"/>
    <xf numFmtId="0" fontId="0" fillId="28" borderId="5" xfId="0" applyFill="1" applyBorder="1"/>
    <xf numFmtId="170" fontId="0" fillId="0" borderId="0" xfId="0" applyNumberFormat="1" applyAlignment="1">
      <alignment horizontal="left" indent="1"/>
    </xf>
    <xf numFmtId="14" fontId="0" fillId="20" borderId="0" xfId="0" applyNumberFormat="1" applyFill="1"/>
    <xf numFmtId="171" fontId="0" fillId="0" borderId="0" xfId="0" applyNumberFormat="1"/>
    <xf numFmtId="0" fontId="16" fillId="21" borderId="0" xfId="0" applyFont="1" applyFill="1"/>
    <xf numFmtId="0" fontId="23" fillId="20" borderId="6" xfId="0" applyFont="1" applyFill="1" applyBorder="1"/>
    <xf numFmtId="0" fontId="0" fillId="20" borderId="5" xfId="0" applyFill="1" applyBorder="1"/>
    <xf numFmtId="0" fontId="0" fillId="33" borderId="0" xfId="0" applyFill="1"/>
    <xf numFmtId="0" fontId="0" fillId="0" borderId="0" xfId="0" applyNumberFormat="1"/>
    <xf numFmtId="0" fontId="30" fillId="0" borderId="0" xfId="0" applyFont="1"/>
    <xf numFmtId="0" fontId="30" fillId="3" borderId="0" xfId="0" applyFont="1" applyFill="1"/>
    <xf numFmtId="0" fontId="2" fillId="3" borderId="0" xfId="0" applyFont="1" applyFill="1"/>
    <xf numFmtId="0" fontId="6" fillId="17" borderId="0" xfId="0" applyFont="1" applyFill="1"/>
    <xf numFmtId="0" fontId="28" fillId="34" borderId="0" xfId="0" applyFont="1" applyFill="1"/>
    <xf numFmtId="0" fontId="16" fillId="0" borderId="0" xfId="0" applyFont="1"/>
    <xf numFmtId="0" fontId="8" fillId="15" borderId="0" xfId="0" applyFont="1" applyFill="1" applyAlignment="1">
      <alignment horizontal="center"/>
    </xf>
    <xf numFmtId="0" fontId="3" fillId="3" borderId="0" xfId="0" applyFont="1" applyFill="1" applyAlignment="1">
      <alignment horizontal="center"/>
    </xf>
    <xf numFmtId="0" fontId="3" fillId="6" borderId="0" xfId="0" applyFont="1" applyFill="1" applyAlignment="1">
      <alignment horizontal="left"/>
    </xf>
    <xf numFmtId="0" fontId="0" fillId="2" borderId="0" xfId="0" applyFill="1" applyAlignment="1">
      <alignment horizontal="center"/>
    </xf>
    <xf numFmtId="0" fontId="9" fillId="9" borderId="0" xfId="0" applyFont="1" applyFill="1" applyAlignment="1">
      <alignment horizontal="center"/>
    </xf>
    <xf numFmtId="0" fontId="5" fillId="9" borderId="0" xfId="0" applyFont="1" applyFill="1" applyAlignment="1">
      <alignment horizontal="center"/>
    </xf>
    <xf numFmtId="0" fontId="10" fillId="2" borderId="0" xfId="0" applyFont="1" applyFill="1" applyAlignment="1">
      <alignment horizontal="center"/>
    </xf>
    <xf numFmtId="0" fontId="0" fillId="9" borderId="0" xfId="0" applyFill="1" applyAlignment="1">
      <alignment horizontal="center"/>
    </xf>
    <xf numFmtId="0" fontId="0" fillId="21" borderId="0" xfId="0" applyFill="1" applyAlignment="1">
      <alignment horizontal="center"/>
    </xf>
    <xf numFmtId="0" fontId="14" fillId="2" borderId="0" xfId="0" applyFont="1" applyFill="1" applyAlignment="1">
      <alignment horizontal="center"/>
    </xf>
    <xf numFmtId="0" fontId="22" fillId="14" borderId="0" xfId="0" applyFont="1" applyFill="1" applyAlignment="1">
      <alignment horizontal="center"/>
    </xf>
    <xf numFmtId="0" fontId="13" fillId="14" borderId="0" xfId="0" applyFont="1" applyFill="1" applyAlignment="1">
      <alignment horizontal="center"/>
    </xf>
    <xf numFmtId="0" fontId="15" fillId="2" borderId="0" xfId="3" applyFont="1" applyFill="1" applyAlignment="1">
      <alignment horizontal="center"/>
    </xf>
    <xf numFmtId="0" fontId="12" fillId="2" borderId="0" xfId="3" applyFill="1" applyAlignment="1">
      <alignment horizontal="center"/>
    </xf>
    <xf numFmtId="0" fontId="0" fillId="6" borderId="0" xfId="0" applyFill="1" applyAlignment="1">
      <alignment horizontal="center" vertical="top" wrapText="1"/>
    </xf>
    <xf numFmtId="0" fontId="14" fillId="2" borderId="0" xfId="0" applyFont="1" applyFill="1" applyAlignment="1">
      <alignment horizontal="center" vertical="center"/>
    </xf>
    <xf numFmtId="0" fontId="3" fillId="2" borderId="0" xfId="0" applyFont="1" applyFill="1" applyAlignment="1">
      <alignment horizontal="center" vertical="center"/>
    </xf>
    <xf numFmtId="0" fontId="24" fillId="13" borderId="0" xfId="0" applyFont="1" applyFill="1" applyAlignment="1">
      <alignment horizontal="center" vertical="center"/>
    </xf>
    <xf numFmtId="0" fontId="8" fillId="2" borderId="0" xfId="0" applyFont="1" applyFill="1" applyAlignment="1">
      <alignment horizontal="center" vertical="center"/>
    </xf>
    <xf numFmtId="0" fontId="2" fillId="2" borderId="0" xfId="0" applyFont="1" applyFill="1" applyAlignment="1">
      <alignment horizontal="center" vertical="center"/>
    </xf>
    <xf numFmtId="0" fontId="5" fillId="2" borderId="0" xfId="0" applyFont="1" applyFill="1" applyAlignment="1">
      <alignment horizontal="center" vertical="center"/>
    </xf>
    <xf numFmtId="0" fontId="9" fillId="2" borderId="0" xfId="0" applyFont="1" applyFill="1" applyAlignment="1">
      <alignment horizontal="center" vertical="center"/>
    </xf>
    <xf numFmtId="0" fontId="5" fillId="9" borderId="0" xfId="0" applyFont="1" applyFill="1" applyAlignment="1">
      <alignment horizontal="center" vertical="center"/>
    </xf>
    <xf numFmtId="0" fontId="1" fillId="9" borderId="0" xfId="0" applyFont="1" applyFill="1" applyAlignment="1">
      <alignment horizontal="center" vertical="center"/>
    </xf>
    <xf numFmtId="0" fontId="25" fillId="13" borderId="0" xfId="0" applyFont="1" applyFill="1" applyAlignment="1">
      <alignment horizontal="center" vertical="center"/>
    </xf>
    <xf numFmtId="0" fontId="27" fillId="15" borderId="0" xfId="0" applyFont="1" applyFill="1" applyAlignment="1">
      <alignment horizontal="center" vertical="center"/>
    </xf>
    <xf numFmtId="0" fontId="26" fillId="15" borderId="0" xfId="0" applyFont="1" applyFill="1" applyAlignment="1">
      <alignment horizontal="center" vertical="center"/>
    </xf>
    <xf numFmtId="0" fontId="10" fillId="14" borderId="0" xfId="0" applyFont="1" applyFill="1" applyAlignment="1">
      <alignment horizontal="center" vertical="center"/>
    </xf>
    <xf numFmtId="0" fontId="26" fillId="2" borderId="0" xfId="0" applyFont="1" applyFill="1" applyAlignment="1">
      <alignment horizontal="center" vertical="center"/>
    </xf>
    <xf numFmtId="0" fontId="24" fillId="2" borderId="0" xfId="0" applyFont="1" applyFill="1" applyAlignment="1">
      <alignment horizontal="center" vertical="center"/>
    </xf>
    <xf numFmtId="0" fontId="28" fillId="2" borderId="0" xfId="0" applyFont="1" applyFill="1" applyAlignment="1">
      <alignment horizontal="center" vertical="center"/>
    </xf>
    <xf numFmtId="0" fontId="32" fillId="15" borderId="0" xfId="0" applyFont="1" applyFill="1" applyAlignment="1">
      <alignment horizontal="center" vertical="center"/>
    </xf>
    <xf numFmtId="0" fontId="25" fillId="0" borderId="7" xfId="0" applyFont="1" applyBorder="1" applyAlignment="1">
      <alignment horizontal="center"/>
    </xf>
    <xf numFmtId="0" fontId="25" fillId="0" borderId="8" xfId="0" applyFont="1" applyBorder="1" applyAlignment="1">
      <alignment horizontal="center"/>
    </xf>
    <xf numFmtId="0" fontId="25" fillId="0" borderId="9" xfId="0" applyFont="1" applyBorder="1" applyAlignment="1">
      <alignment horizontal="center"/>
    </xf>
    <xf numFmtId="0" fontId="31" fillId="2" borderId="0" xfId="0" applyFont="1" applyFill="1" applyAlignment="1">
      <alignment horizontal="center" vertical="center"/>
    </xf>
    <xf numFmtId="0" fontId="25" fillId="2" borderId="0" xfId="0" applyFont="1" applyFill="1" applyAlignment="1">
      <alignment horizontal="center" vertical="center"/>
    </xf>
    <xf numFmtId="0" fontId="27" fillId="2" borderId="0" xfId="0" applyFont="1" applyFill="1" applyAlignment="1">
      <alignment horizontal="center"/>
    </xf>
    <xf numFmtId="0" fontId="6" fillId="22" borderId="0" xfId="0" applyFont="1" applyFill="1" applyAlignment="1">
      <alignment horizontal="center" vertical="center"/>
    </xf>
    <xf numFmtId="0" fontId="5" fillId="35" borderId="0" xfId="0" applyFont="1" applyFill="1" applyAlignment="1">
      <alignment horizontal="center" vertical="center"/>
    </xf>
    <xf numFmtId="0" fontId="8" fillId="14" borderId="0" xfId="0" applyFont="1" applyFill="1" applyAlignment="1">
      <alignment horizontal="center" vertical="center"/>
    </xf>
    <xf numFmtId="0" fontId="31" fillId="9" borderId="0" xfId="0" applyFont="1" applyFill="1" applyAlignment="1">
      <alignment horizontal="center" vertical="center"/>
    </xf>
    <xf numFmtId="0" fontId="31" fillId="2" borderId="0" xfId="0" applyFont="1" applyFill="1" applyAlignment="1">
      <alignment horizontal="center"/>
    </xf>
    <xf numFmtId="0" fontId="25" fillId="2" borderId="0" xfId="0" applyFont="1" applyFill="1" applyAlignment="1">
      <alignment horizontal="center"/>
    </xf>
  </cellXfs>
  <cellStyles count="4">
    <cellStyle name="Bad" xfId="3" builtinId="27"/>
    <cellStyle name="Comma" xfId="1" builtinId="3"/>
    <cellStyle name="Hyperlink" xfId="2" builtinId="8"/>
    <cellStyle name="Normal" xfId="0" builtinId="0"/>
  </cellStyles>
  <dxfs count="49">
    <dxf>
      <numFmt numFmtId="169" formatCode="_(* #,##0.00_);_(* \(#,##0.00\);_(* &quot;-&quot;??_);_(@_)"/>
    </dxf>
    <dxf>
      <font>
        <b val="0"/>
        <i val="0"/>
        <strike val="0"/>
        <condense val="0"/>
        <extend val="0"/>
        <outline val="0"/>
        <shadow val="0"/>
        <u val="none"/>
        <vertAlign val="baseline"/>
        <sz val="11"/>
        <color theme="1"/>
        <name val="Calibri"/>
        <scheme val="none"/>
      </font>
      <numFmt numFmtId="169" formatCode="_(* #,##0.00_);_(* \(#,##0.00\);_(* &quot;-&quot;??_);_(@_)"/>
      <alignment horizontal="left" vertical="center" textRotation="0" wrapText="0" indent="0" relativeIndent="0" justifyLastLine="0" shrinkToFit="0" readingOrder="0"/>
    </dxf>
    <dxf>
      <font>
        <b val="0"/>
        <i val="0"/>
        <strike val="0"/>
        <condense val="0"/>
        <extend val="0"/>
        <outline val="0"/>
        <shadow val="0"/>
        <u val="none"/>
        <vertAlign val="baseline"/>
        <sz val="11"/>
        <color theme="1"/>
        <name val="Calibri"/>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1"/>
        <color theme="1"/>
        <name val="Calibri"/>
        <scheme val="none"/>
      </font>
      <alignment horizontal="left" vertical="center" textRotation="0" wrapText="0" indent="0" relativeIndent="0" justifyLastLine="0" shrinkToFit="0" readingOrder="0"/>
    </dxf>
    <dxf>
      <font>
        <b val="0"/>
        <i val="0"/>
        <strike val="0"/>
        <condense val="0"/>
        <extend val="0"/>
        <outline val="0"/>
        <shadow val="0"/>
        <u val="none"/>
        <vertAlign val="baseline"/>
        <sz val="11"/>
        <color theme="1"/>
        <name val="Arial"/>
        <scheme val="none"/>
      </font>
      <fill>
        <patternFill patternType="solid">
          <fgColor indexed="64"/>
          <bgColor rgb="FFFFFFFF"/>
        </patternFill>
      </fill>
      <alignment horizontal="general" vertical="top" textRotation="0" wrapText="1" indent="0" relative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Calibri"/>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1"/>
        <color theme="1"/>
        <name val="Calibri"/>
        <scheme val="none"/>
      </font>
      <numFmt numFmtId="170" formatCode="m/d/yy;@"/>
      <alignment horizontal="general" vertical="center" textRotation="0" wrapText="0" indent="0" relativeIndent="0" justifyLastLine="0" shrinkToFit="0" readingOrder="0"/>
    </dxf>
    <dxf>
      <numFmt numFmtId="19" formatCode="dd/mm/yyyy"/>
    </dxf>
    <dxf>
      <numFmt numFmtId="19" formatCode="dd/mm/yyyy"/>
    </dxf>
    <dxf>
      <fill>
        <patternFill patternType="solid">
          <fgColor indexed="64"/>
          <bgColor theme="3" tint="0.39997558519241921"/>
        </patternFill>
      </fill>
    </dxf>
    <dxf>
      <fill>
        <patternFill patternType="solid">
          <fgColor indexed="64"/>
          <bgColor theme="3" tint="0.39997558519241921"/>
        </patternFill>
      </fill>
    </dxf>
    <dxf>
      <fill>
        <patternFill patternType="solid">
          <fgColor indexed="64"/>
          <bgColor theme="3" tint="0.39997558519241921"/>
        </patternFill>
      </fill>
    </dxf>
    <dxf>
      <fill>
        <patternFill patternType="solid">
          <fgColor indexed="64"/>
          <bgColor theme="3" tint="0.39997558519241921"/>
        </patternFill>
      </fill>
    </dxf>
    <dxf>
      <fill>
        <patternFill patternType="solid">
          <fgColor indexed="64"/>
          <bgColor theme="3" tint="0.39997558519241921"/>
        </patternFill>
      </fill>
    </dxf>
    <dxf>
      <fill>
        <patternFill patternType="solid">
          <fgColor indexed="64"/>
          <bgColor theme="3" tint="0.39997558519241921"/>
        </patternFill>
      </fill>
    </dxf>
    <dxf>
      <fill>
        <patternFill patternType="solid">
          <fgColor indexed="64"/>
          <bgColor theme="3" tint="0.39997558519241921"/>
        </patternFill>
      </fill>
    </dxf>
    <dxf>
      <fill>
        <patternFill patternType="solid">
          <fgColor indexed="64"/>
          <bgColor theme="3" tint="0.39997558519241921"/>
        </patternFill>
      </fill>
    </dxf>
    <dxf>
      <fill>
        <patternFill patternType="solid">
          <fgColor indexed="64"/>
          <bgColor theme="3" tint="0.39997558519241921"/>
        </patternFill>
      </fill>
    </dxf>
    <dxf>
      <fill>
        <patternFill patternType="solid">
          <fgColor indexed="64"/>
          <bgColor theme="3" tint="0.39997558519241921"/>
        </patternFill>
      </fill>
    </dxf>
    <dxf>
      <fill>
        <patternFill patternType="solid">
          <fgColor indexed="64"/>
          <bgColor theme="3" tint="0.39997558519241921"/>
        </patternFill>
      </fill>
    </dxf>
    <dxf>
      <numFmt numFmtId="0" formatCode="General"/>
      <fill>
        <patternFill patternType="solid">
          <bgColor theme="4" tint="0.79998168889431442"/>
        </patternFill>
      </fill>
    </dxf>
    <dxf>
      <numFmt numFmtId="0" formatCode="General"/>
      <fill>
        <patternFill patternType="solid">
          <bgColor theme="4" tint="0.79998168889431442"/>
        </patternFill>
      </fill>
    </dxf>
    <dxf>
      <numFmt numFmtId="0" formatCode="General"/>
      <fill>
        <patternFill patternType="solid">
          <bgColor theme="4" tint="0.79998168889431442"/>
        </patternFill>
      </fill>
    </dxf>
    <dxf>
      <font>
        <b val="0"/>
        <i val="0"/>
        <strike val="0"/>
        <condense val="0"/>
        <extend val="0"/>
        <outline val="0"/>
        <shadow val="0"/>
        <u val="none"/>
        <vertAlign val="baseline"/>
        <sz val="11"/>
        <color theme="1"/>
        <name val="Calibri"/>
        <scheme val="none"/>
      </font>
      <numFmt numFmtId="170" formatCode="m/d/yy;@"/>
      <fill>
        <patternFill patternType="solid">
          <fgColor theme="4" tint="0.79998168889431442"/>
          <bgColor theme="4" tint="0.79998168889431442"/>
        </patternFill>
      </fill>
      <alignment horizontal="general" vertical="center" textRotation="0" wrapText="0" indent="0" relativeIndent="0" justifyLastLine="0" shrinkToFit="0" readingOrder="0"/>
      <border diagonalUp="0" diagonalDown="0" outline="0">
        <left/>
        <right style="thin">
          <color theme="0"/>
        </right>
        <top/>
        <bottom style="thin">
          <color theme="0"/>
        </bottom>
      </bord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fgColor indexed="64"/>
          <bgColor theme="7" tint="-0.249977111117893"/>
        </patternFill>
      </fill>
    </dxf>
    <dxf>
      <numFmt numFmtId="0" formatCode="General"/>
      <fill>
        <patternFill patternType="solid">
          <bgColor theme="4" tint="0.79998168889431442"/>
        </patternFill>
      </fill>
    </dxf>
    <dxf>
      <numFmt numFmtId="0" formatCode="General"/>
      <fill>
        <patternFill patternType="solid">
          <bgColor theme="4" tint="0.79998168889431442"/>
        </patternFill>
      </fill>
    </dxf>
    <dxf>
      <numFmt numFmtId="0" formatCode="General"/>
      <fill>
        <patternFill patternType="solid">
          <bgColor theme="4" tint="0.79998168889431442"/>
        </patternFill>
      </fill>
    </dxf>
    <dxf>
      <font>
        <b val="0"/>
        <i val="0"/>
        <strike val="0"/>
        <condense val="0"/>
        <extend val="0"/>
        <outline val="0"/>
        <shadow val="0"/>
        <u val="none"/>
        <vertAlign val="baseline"/>
        <sz val="11"/>
        <color theme="1"/>
        <name val="Calibri"/>
        <scheme val="none"/>
      </font>
      <numFmt numFmtId="170" formatCode="m/d/yy;@"/>
      <fill>
        <patternFill patternType="solid">
          <fgColor theme="4" tint="0.79998168889431442"/>
          <bgColor theme="4" tint="0.79998168889431442"/>
        </patternFill>
      </fill>
      <alignment horizontal="general" vertical="center" textRotation="0" wrapText="0" indent="0" relativeIndent="0" justifyLastLine="0" shrinkToFit="0" readingOrder="0"/>
      <border diagonalUp="0" diagonalDown="0" outline="0">
        <left/>
        <right style="thin">
          <color theme="0"/>
        </right>
        <top/>
        <bottom style="thin">
          <color theme="0"/>
        </bottom>
      </border>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fgColor indexed="64"/>
          <bgColor theme="7" tint="-0.249977111117893"/>
        </patternFill>
      </fill>
    </dxf>
    <dxf>
      <numFmt numFmtId="21" formatCode="dd/mmm"/>
    </dxf>
    <dxf>
      <font>
        <condense val="0"/>
        <extend val="0"/>
        <color rgb="FF9C0006"/>
      </font>
      <fill>
        <patternFill>
          <bgColor rgb="FFFFC7CE"/>
        </patternFill>
      </fill>
    </dxf>
    <dxf>
      <font>
        <color rgb="FFFF0000"/>
      </font>
    </dxf>
    <dxf>
      <font>
        <strike val="0"/>
        <u val="none"/>
        <color rgb="FFFF0000"/>
      </font>
    </dxf>
    <dxf>
      <font>
        <condense val="0"/>
        <extend val="0"/>
        <color rgb="FF9C0006"/>
      </font>
      <fill>
        <patternFill>
          <bgColor rgb="FFFFC7CE"/>
        </patternFill>
      </fill>
    </dxf>
    <dxf>
      <font>
        <color rgb="FFFF0000"/>
      </font>
    </dxf>
    <dxf>
      <font>
        <strike val="0"/>
        <u val="none"/>
        <color rgb="FFFF0000"/>
      </font>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'week-3'!$G$153</c:f>
              <c:strCache>
                <c:ptCount val="1"/>
                <c:pt idx="0">
                  <c:v>sub1</c:v>
                </c:pt>
              </c:strCache>
            </c:strRef>
          </c:tx>
          <c:cat>
            <c:strRef>
              <c:f>'week-3'!$F$154:$F$163</c:f>
              <c:strCache>
                <c:ptCount val="10"/>
                <c:pt idx="0">
                  <c:v>nidhi</c:v>
                </c:pt>
                <c:pt idx="1">
                  <c:v>navin</c:v>
                </c:pt>
                <c:pt idx="2">
                  <c:v>shah</c:v>
                </c:pt>
                <c:pt idx="3">
                  <c:v>1</c:v>
                </c:pt>
                <c:pt idx="4">
                  <c:v>nidhi</c:v>
                </c:pt>
                <c:pt idx="5">
                  <c:v>navin</c:v>
                </c:pt>
                <c:pt idx="6">
                  <c:v>shah</c:v>
                </c:pt>
                <c:pt idx="7">
                  <c:v>2</c:v>
                </c:pt>
                <c:pt idx="8">
                  <c:v>nidhi</c:v>
                </c:pt>
                <c:pt idx="9">
                  <c:v>navin</c:v>
                </c:pt>
              </c:strCache>
            </c:strRef>
          </c:cat>
          <c:val>
            <c:numRef>
              <c:f>'week-3'!$G$154:$G$163</c:f>
              <c:numCache>
                <c:formatCode>General</c:formatCode>
                <c:ptCount val="10"/>
                <c:pt idx="0">
                  <c:v>50</c:v>
                </c:pt>
                <c:pt idx="1">
                  <c:v>100</c:v>
                </c:pt>
                <c:pt idx="2">
                  <c:v>60</c:v>
                </c:pt>
                <c:pt idx="3">
                  <c:v>70</c:v>
                </c:pt>
                <c:pt idx="4">
                  <c:v>90</c:v>
                </c:pt>
                <c:pt idx="5">
                  <c:v>65</c:v>
                </c:pt>
                <c:pt idx="6">
                  <c:v>54</c:v>
                </c:pt>
                <c:pt idx="7">
                  <c:v>69</c:v>
                </c:pt>
                <c:pt idx="8">
                  <c:v>96</c:v>
                </c:pt>
                <c:pt idx="9">
                  <c:v>99</c:v>
                </c:pt>
              </c:numCache>
            </c:numRef>
          </c:val>
          <c:extLst xmlns:c16r2="http://schemas.microsoft.com/office/drawing/2015/06/chart">
            <c:ext xmlns:c16="http://schemas.microsoft.com/office/drawing/2014/chart" uri="{C3380CC4-5D6E-409C-BE32-E72D297353CC}">
              <c16:uniqueId val="{00000000-FED2-4C6F-AA03-EF4840D9A68D}"/>
            </c:ext>
          </c:extLst>
        </c:ser>
        <c:ser>
          <c:idx val="1"/>
          <c:order val="1"/>
          <c:tx>
            <c:strRef>
              <c:f>'week-3'!$H$153</c:f>
              <c:strCache>
                <c:ptCount val="1"/>
                <c:pt idx="0">
                  <c:v>sub2</c:v>
                </c:pt>
              </c:strCache>
            </c:strRef>
          </c:tx>
          <c:cat>
            <c:strRef>
              <c:f>'week-3'!$F$154:$F$163</c:f>
              <c:strCache>
                <c:ptCount val="10"/>
                <c:pt idx="0">
                  <c:v>nidhi</c:v>
                </c:pt>
                <c:pt idx="1">
                  <c:v>navin</c:v>
                </c:pt>
                <c:pt idx="2">
                  <c:v>shah</c:v>
                </c:pt>
                <c:pt idx="3">
                  <c:v>1</c:v>
                </c:pt>
                <c:pt idx="4">
                  <c:v>nidhi</c:v>
                </c:pt>
                <c:pt idx="5">
                  <c:v>navin</c:v>
                </c:pt>
                <c:pt idx="6">
                  <c:v>shah</c:v>
                </c:pt>
                <c:pt idx="7">
                  <c:v>2</c:v>
                </c:pt>
                <c:pt idx="8">
                  <c:v>nidhi</c:v>
                </c:pt>
                <c:pt idx="9">
                  <c:v>navin</c:v>
                </c:pt>
              </c:strCache>
            </c:strRef>
          </c:cat>
          <c:val>
            <c:numRef>
              <c:f>'week-3'!$H$154:$H$163</c:f>
              <c:numCache>
                <c:formatCode>General</c:formatCode>
                <c:ptCount val="10"/>
                <c:pt idx="0">
                  <c:v>60</c:v>
                </c:pt>
                <c:pt idx="1">
                  <c:v>110</c:v>
                </c:pt>
                <c:pt idx="2">
                  <c:v>70</c:v>
                </c:pt>
                <c:pt idx="3">
                  <c:v>80</c:v>
                </c:pt>
                <c:pt idx="4">
                  <c:v>100</c:v>
                </c:pt>
                <c:pt idx="5">
                  <c:v>75</c:v>
                </c:pt>
                <c:pt idx="6">
                  <c:v>64</c:v>
                </c:pt>
                <c:pt idx="7">
                  <c:v>79</c:v>
                </c:pt>
                <c:pt idx="8">
                  <c:v>106</c:v>
                </c:pt>
                <c:pt idx="9">
                  <c:v>109</c:v>
                </c:pt>
              </c:numCache>
            </c:numRef>
          </c:val>
          <c:extLst xmlns:c16r2="http://schemas.microsoft.com/office/drawing/2015/06/chart">
            <c:ext xmlns:c16="http://schemas.microsoft.com/office/drawing/2014/chart" uri="{C3380CC4-5D6E-409C-BE32-E72D297353CC}">
              <c16:uniqueId val="{00000001-FED2-4C6F-AA03-EF4840D9A68D}"/>
            </c:ext>
          </c:extLst>
        </c:ser>
        <c:ser>
          <c:idx val="2"/>
          <c:order val="2"/>
          <c:tx>
            <c:strRef>
              <c:f>'week-3'!$I$153</c:f>
              <c:strCache>
                <c:ptCount val="1"/>
                <c:pt idx="0">
                  <c:v>sub3</c:v>
                </c:pt>
              </c:strCache>
            </c:strRef>
          </c:tx>
          <c:cat>
            <c:strRef>
              <c:f>'week-3'!$F$154:$F$163</c:f>
              <c:strCache>
                <c:ptCount val="10"/>
                <c:pt idx="0">
                  <c:v>nidhi</c:v>
                </c:pt>
                <c:pt idx="1">
                  <c:v>navin</c:v>
                </c:pt>
                <c:pt idx="2">
                  <c:v>shah</c:v>
                </c:pt>
                <c:pt idx="3">
                  <c:v>1</c:v>
                </c:pt>
                <c:pt idx="4">
                  <c:v>nidhi</c:v>
                </c:pt>
                <c:pt idx="5">
                  <c:v>navin</c:v>
                </c:pt>
                <c:pt idx="6">
                  <c:v>shah</c:v>
                </c:pt>
                <c:pt idx="7">
                  <c:v>2</c:v>
                </c:pt>
                <c:pt idx="8">
                  <c:v>nidhi</c:v>
                </c:pt>
                <c:pt idx="9">
                  <c:v>navin</c:v>
                </c:pt>
              </c:strCache>
            </c:strRef>
          </c:cat>
          <c:val>
            <c:numRef>
              <c:f>'week-3'!$I$154:$I$163</c:f>
              <c:numCache>
                <c:formatCode>General</c:formatCode>
                <c:ptCount val="10"/>
                <c:pt idx="0">
                  <c:v>100</c:v>
                </c:pt>
                <c:pt idx="1">
                  <c:v>200</c:v>
                </c:pt>
                <c:pt idx="2">
                  <c:v>300</c:v>
                </c:pt>
                <c:pt idx="3">
                  <c:v>400</c:v>
                </c:pt>
                <c:pt idx="4">
                  <c:v>500</c:v>
                </c:pt>
                <c:pt idx="5">
                  <c:v>600</c:v>
                </c:pt>
                <c:pt idx="6">
                  <c:v>700</c:v>
                </c:pt>
                <c:pt idx="7">
                  <c:v>800</c:v>
                </c:pt>
                <c:pt idx="8">
                  <c:v>900</c:v>
                </c:pt>
                <c:pt idx="9">
                  <c:v>1000</c:v>
                </c:pt>
              </c:numCache>
            </c:numRef>
          </c:val>
          <c:extLst xmlns:c16r2="http://schemas.microsoft.com/office/drawing/2015/06/chart">
            <c:ext xmlns:c16="http://schemas.microsoft.com/office/drawing/2014/chart" uri="{C3380CC4-5D6E-409C-BE32-E72D297353CC}">
              <c16:uniqueId val="{00000002-FED2-4C6F-AA03-EF4840D9A68D}"/>
            </c:ext>
          </c:extLst>
        </c:ser>
        <c:ser>
          <c:idx val="3"/>
          <c:order val="3"/>
          <c:tx>
            <c:strRef>
              <c:f>'week-3'!$J$153</c:f>
              <c:strCache>
                <c:ptCount val="1"/>
                <c:pt idx="0">
                  <c:v>total</c:v>
                </c:pt>
              </c:strCache>
            </c:strRef>
          </c:tx>
          <c:cat>
            <c:strRef>
              <c:f>'week-3'!$F$154:$F$163</c:f>
              <c:strCache>
                <c:ptCount val="10"/>
                <c:pt idx="0">
                  <c:v>nidhi</c:v>
                </c:pt>
                <c:pt idx="1">
                  <c:v>navin</c:v>
                </c:pt>
                <c:pt idx="2">
                  <c:v>shah</c:v>
                </c:pt>
                <c:pt idx="3">
                  <c:v>1</c:v>
                </c:pt>
                <c:pt idx="4">
                  <c:v>nidhi</c:v>
                </c:pt>
                <c:pt idx="5">
                  <c:v>navin</c:v>
                </c:pt>
                <c:pt idx="6">
                  <c:v>shah</c:v>
                </c:pt>
                <c:pt idx="7">
                  <c:v>2</c:v>
                </c:pt>
                <c:pt idx="8">
                  <c:v>nidhi</c:v>
                </c:pt>
                <c:pt idx="9">
                  <c:v>navin</c:v>
                </c:pt>
              </c:strCache>
            </c:strRef>
          </c:cat>
          <c:val>
            <c:numRef>
              <c:f>'week-3'!$J$154:$J$163</c:f>
              <c:numCache>
                <c:formatCode>General</c:formatCode>
                <c:ptCount val="10"/>
                <c:pt idx="0">
                  <c:v>210</c:v>
                </c:pt>
                <c:pt idx="1">
                  <c:v>410</c:v>
                </c:pt>
                <c:pt idx="2">
                  <c:v>430</c:v>
                </c:pt>
                <c:pt idx="3">
                  <c:v>550</c:v>
                </c:pt>
                <c:pt idx="4">
                  <c:v>690</c:v>
                </c:pt>
                <c:pt idx="5">
                  <c:v>740</c:v>
                </c:pt>
                <c:pt idx="6">
                  <c:v>818</c:v>
                </c:pt>
                <c:pt idx="7">
                  <c:v>948</c:v>
                </c:pt>
                <c:pt idx="8">
                  <c:v>1102</c:v>
                </c:pt>
                <c:pt idx="9">
                  <c:v>1208</c:v>
                </c:pt>
              </c:numCache>
            </c:numRef>
          </c:val>
          <c:extLst xmlns:c16r2="http://schemas.microsoft.com/office/drawing/2015/06/chart">
            <c:ext xmlns:c16="http://schemas.microsoft.com/office/drawing/2014/chart" uri="{C3380CC4-5D6E-409C-BE32-E72D297353CC}">
              <c16:uniqueId val="{00000003-FED2-4C6F-AA03-EF4840D9A68D}"/>
            </c:ext>
          </c:extLst>
        </c:ser>
        <c:marker val="1"/>
        <c:axId val="200702208"/>
        <c:axId val="200712192"/>
      </c:lineChart>
      <c:catAx>
        <c:axId val="200702208"/>
        <c:scaling>
          <c:orientation val="minMax"/>
        </c:scaling>
        <c:axPos val="b"/>
        <c:numFmt formatCode="General" sourceLinked="0"/>
        <c:tickLblPos val="nextTo"/>
        <c:crossAx val="200712192"/>
        <c:crosses val="autoZero"/>
        <c:auto val="1"/>
        <c:lblAlgn val="ctr"/>
        <c:lblOffset val="100"/>
      </c:catAx>
      <c:valAx>
        <c:axId val="200712192"/>
        <c:scaling>
          <c:orientation val="minMax"/>
        </c:scaling>
        <c:axPos val="l"/>
        <c:majorGridlines/>
        <c:numFmt formatCode="General" sourceLinked="1"/>
        <c:tickLblPos val="nextTo"/>
        <c:crossAx val="200702208"/>
        <c:crosses val="autoZero"/>
        <c:crossBetween val="between"/>
      </c:valAx>
    </c:plotArea>
    <c:legend>
      <c:legendPos val="r"/>
    </c:legend>
    <c:plotVisOnly val="1"/>
    <c:dispBlanksAs val="gap"/>
  </c:chart>
  <c:printSettings>
    <c:headerFooter/>
    <c:pageMargins b="0.75000000000000266" l="0.70000000000000062" r="0.70000000000000062" t="0.750000000000002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43"/>
  <c:pivotSource>
    <c:name>[Elective Seasions.xlsx]week-3!PivotTable2</c:name>
    <c:fmtId val="0"/>
  </c:pivotSource>
  <c:chart>
    <c:title>
      <c:tx>
        <c:rich>
          <a:bodyPr/>
          <a:lstStyle/>
          <a:p>
            <a:pPr>
              <a:defRPr/>
            </a:pPr>
            <a:r>
              <a:rPr lang="en-US"/>
              <a:t>Marks </a:t>
            </a:r>
          </a:p>
        </c:rich>
      </c:tx>
      <c:layout>
        <c:manualLayout>
          <c:xMode val="edge"/>
          <c:yMode val="edge"/>
          <c:x val="0.25182633420822398"/>
          <c:y val="6.4814814814815214E-2"/>
        </c:manualLayout>
      </c:layout>
      <c:overlay val="1"/>
    </c:title>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ser>
          <c:idx val="0"/>
          <c:order val="0"/>
          <c:tx>
            <c:strRef>
              <c:f>'week-3'!$G$187:$G$188</c:f>
              <c:strCache>
                <c:ptCount val="1"/>
                <c:pt idx="0">
                  <c:v>Sum of sub1</c:v>
                </c:pt>
              </c:strCache>
            </c:strRef>
          </c:tx>
          <c:cat>
            <c:strRef>
              <c:f>'week-3'!$F$189:$F$194</c:f>
              <c:strCache>
                <c:ptCount val="5"/>
                <c:pt idx="0">
                  <c:v>1</c:v>
                </c:pt>
                <c:pt idx="1">
                  <c:v>2</c:v>
                </c:pt>
                <c:pt idx="2">
                  <c:v>navin</c:v>
                </c:pt>
                <c:pt idx="3">
                  <c:v>nidhi</c:v>
                </c:pt>
                <c:pt idx="4">
                  <c:v>shah</c:v>
                </c:pt>
              </c:strCache>
            </c:strRef>
          </c:cat>
          <c:val>
            <c:numRef>
              <c:f>'week-3'!$G$189:$G$194</c:f>
              <c:numCache>
                <c:formatCode>General</c:formatCode>
                <c:ptCount val="5"/>
                <c:pt idx="0">
                  <c:v>70</c:v>
                </c:pt>
                <c:pt idx="1">
                  <c:v>69</c:v>
                </c:pt>
                <c:pt idx="2">
                  <c:v>264</c:v>
                </c:pt>
                <c:pt idx="3">
                  <c:v>236</c:v>
                </c:pt>
                <c:pt idx="4">
                  <c:v>114</c:v>
                </c:pt>
              </c:numCache>
            </c:numRef>
          </c:val>
          <c:extLst xmlns:c16r2="http://schemas.microsoft.com/office/drawing/2015/06/chart">
            <c:ext xmlns:c16="http://schemas.microsoft.com/office/drawing/2014/chart" uri="{C3380CC4-5D6E-409C-BE32-E72D297353CC}">
              <c16:uniqueId val="{00000000-AA11-473E-B44B-9AAA60AD3C6A}"/>
            </c:ext>
          </c:extLst>
        </c:ser>
        <c:ser>
          <c:idx val="1"/>
          <c:order val="1"/>
          <c:tx>
            <c:strRef>
              <c:f>'week-3'!$H$187:$H$188</c:f>
              <c:strCache>
                <c:ptCount val="1"/>
                <c:pt idx="0">
                  <c:v>Sum of sub2</c:v>
                </c:pt>
              </c:strCache>
            </c:strRef>
          </c:tx>
          <c:cat>
            <c:strRef>
              <c:f>'week-3'!$F$189:$F$194</c:f>
              <c:strCache>
                <c:ptCount val="5"/>
                <c:pt idx="0">
                  <c:v>1</c:v>
                </c:pt>
                <c:pt idx="1">
                  <c:v>2</c:v>
                </c:pt>
                <c:pt idx="2">
                  <c:v>navin</c:v>
                </c:pt>
                <c:pt idx="3">
                  <c:v>nidhi</c:v>
                </c:pt>
                <c:pt idx="4">
                  <c:v>shah</c:v>
                </c:pt>
              </c:strCache>
            </c:strRef>
          </c:cat>
          <c:val>
            <c:numRef>
              <c:f>'week-3'!$H$189:$H$194</c:f>
              <c:numCache>
                <c:formatCode>General</c:formatCode>
                <c:ptCount val="5"/>
                <c:pt idx="0">
                  <c:v>80</c:v>
                </c:pt>
                <c:pt idx="1">
                  <c:v>79</c:v>
                </c:pt>
                <c:pt idx="2">
                  <c:v>294</c:v>
                </c:pt>
                <c:pt idx="3">
                  <c:v>266</c:v>
                </c:pt>
                <c:pt idx="4">
                  <c:v>134</c:v>
                </c:pt>
              </c:numCache>
            </c:numRef>
          </c:val>
          <c:extLst xmlns:c16r2="http://schemas.microsoft.com/office/drawing/2015/06/chart">
            <c:ext xmlns:c16="http://schemas.microsoft.com/office/drawing/2014/chart" uri="{C3380CC4-5D6E-409C-BE32-E72D297353CC}">
              <c16:uniqueId val="{00000001-AA11-473E-B44B-9AAA60AD3C6A}"/>
            </c:ext>
          </c:extLst>
        </c:ser>
        <c:ser>
          <c:idx val="2"/>
          <c:order val="2"/>
          <c:tx>
            <c:strRef>
              <c:f>'week-3'!$I$187:$I$188</c:f>
              <c:strCache>
                <c:ptCount val="1"/>
                <c:pt idx="0">
                  <c:v>Sum of sub3</c:v>
                </c:pt>
              </c:strCache>
            </c:strRef>
          </c:tx>
          <c:cat>
            <c:strRef>
              <c:f>'week-3'!$F$189:$F$194</c:f>
              <c:strCache>
                <c:ptCount val="5"/>
                <c:pt idx="0">
                  <c:v>1</c:v>
                </c:pt>
                <c:pt idx="1">
                  <c:v>2</c:v>
                </c:pt>
                <c:pt idx="2">
                  <c:v>navin</c:v>
                </c:pt>
                <c:pt idx="3">
                  <c:v>nidhi</c:v>
                </c:pt>
                <c:pt idx="4">
                  <c:v>shah</c:v>
                </c:pt>
              </c:strCache>
            </c:strRef>
          </c:cat>
          <c:val>
            <c:numRef>
              <c:f>'week-3'!$I$189:$I$194</c:f>
              <c:numCache>
                <c:formatCode>General</c:formatCode>
                <c:ptCount val="5"/>
                <c:pt idx="0">
                  <c:v>400</c:v>
                </c:pt>
                <c:pt idx="1">
                  <c:v>800</c:v>
                </c:pt>
                <c:pt idx="2">
                  <c:v>1800</c:v>
                </c:pt>
                <c:pt idx="3">
                  <c:v>1500</c:v>
                </c:pt>
                <c:pt idx="4">
                  <c:v>1000</c:v>
                </c:pt>
              </c:numCache>
            </c:numRef>
          </c:val>
          <c:extLst xmlns:c16r2="http://schemas.microsoft.com/office/drawing/2015/06/chart">
            <c:ext xmlns:c16="http://schemas.microsoft.com/office/drawing/2014/chart" uri="{C3380CC4-5D6E-409C-BE32-E72D297353CC}">
              <c16:uniqueId val="{00000002-AA11-473E-B44B-9AAA60AD3C6A}"/>
            </c:ext>
          </c:extLst>
        </c:ser>
        <c:ser>
          <c:idx val="3"/>
          <c:order val="3"/>
          <c:tx>
            <c:strRef>
              <c:f>'week-3'!$J$187:$J$188</c:f>
              <c:strCache>
                <c:ptCount val="1"/>
                <c:pt idx="0">
                  <c:v>Sum of total</c:v>
                </c:pt>
              </c:strCache>
            </c:strRef>
          </c:tx>
          <c:cat>
            <c:strRef>
              <c:f>'week-3'!$F$189:$F$194</c:f>
              <c:strCache>
                <c:ptCount val="5"/>
                <c:pt idx="0">
                  <c:v>1</c:v>
                </c:pt>
                <c:pt idx="1">
                  <c:v>2</c:v>
                </c:pt>
                <c:pt idx="2">
                  <c:v>navin</c:v>
                </c:pt>
                <c:pt idx="3">
                  <c:v>nidhi</c:v>
                </c:pt>
                <c:pt idx="4">
                  <c:v>shah</c:v>
                </c:pt>
              </c:strCache>
            </c:strRef>
          </c:cat>
          <c:val>
            <c:numRef>
              <c:f>'week-3'!$J$189:$J$194</c:f>
              <c:numCache>
                <c:formatCode>General</c:formatCode>
                <c:ptCount val="5"/>
                <c:pt idx="0">
                  <c:v>550</c:v>
                </c:pt>
                <c:pt idx="1">
                  <c:v>948</c:v>
                </c:pt>
                <c:pt idx="2">
                  <c:v>2358</c:v>
                </c:pt>
                <c:pt idx="3">
                  <c:v>2002</c:v>
                </c:pt>
                <c:pt idx="4">
                  <c:v>1248</c:v>
                </c:pt>
              </c:numCache>
            </c:numRef>
          </c:val>
          <c:extLst xmlns:c16r2="http://schemas.microsoft.com/office/drawing/2015/06/chart">
            <c:ext xmlns:c16="http://schemas.microsoft.com/office/drawing/2014/chart" uri="{C3380CC4-5D6E-409C-BE32-E72D297353CC}">
              <c16:uniqueId val="{00000003-AA11-473E-B44B-9AAA60AD3C6A}"/>
            </c:ext>
          </c:extLst>
        </c:ser>
        <c:axId val="200824320"/>
        <c:axId val="200825856"/>
      </c:barChart>
      <c:catAx>
        <c:axId val="200824320"/>
        <c:scaling>
          <c:orientation val="minMax"/>
        </c:scaling>
        <c:axPos val="b"/>
        <c:numFmt formatCode="General" sourceLinked="0"/>
        <c:tickLblPos val="nextTo"/>
        <c:crossAx val="200825856"/>
        <c:crosses val="autoZero"/>
        <c:auto val="1"/>
        <c:lblAlgn val="ctr"/>
        <c:lblOffset val="100"/>
      </c:catAx>
      <c:valAx>
        <c:axId val="200825856"/>
        <c:scaling>
          <c:orientation val="minMax"/>
        </c:scaling>
        <c:axPos val="l"/>
        <c:majorGridlines/>
        <c:numFmt formatCode="General" sourceLinked="1"/>
        <c:tickLblPos val="nextTo"/>
        <c:crossAx val="200824320"/>
        <c:crosses val="autoZero"/>
        <c:crossBetween val="between"/>
      </c:valAx>
    </c:plotArea>
    <c:legend>
      <c:legendPos val="r"/>
    </c:legend>
    <c:plotVisOnly val="1"/>
    <c:dispBlanksAs val="gap"/>
  </c:chart>
  <c:printSettings>
    <c:headerFooter/>
    <c:pageMargins b="0.75000000000000266" l="0.70000000000000062" r="0.70000000000000062" t="0.750000000000002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[Elective Seasions.xlsx]Week-4!PivotTable2</c:name>
    <c:fmtId val="0"/>
  </c:pivotSource>
  <c:chart>
    <c:title/>
    <c:pivotFmts>
      <c:pivotFmt>
        <c:idx val="0"/>
        <c:marker>
          <c:symbol val="none"/>
        </c:marker>
        <c:dLbl>
          <c:idx val="0"/>
          <c:spPr/>
          <c:txPr>
            <a:bodyPr/>
            <a:lstStyle/>
            <a:p>
              <a:pPr>
                <a:defRPr/>
              </a:pPr>
              <a:endParaRPr lang="en-US"/>
            </a:p>
          </c:txPr>
          <c:showPercent val="1"/>
          <c:extLst xmlns:c16r2="http://schemas.microsoft.com/office/drawing/2015/06/chart">
            <c:ext xmlns:c15="http://schemas.microsoft.com/office/drawing/2012/chart" uri="{CE6537A1-D6FC-4f65-9D91-7224C49458BB}"/>
          </c:extLst>
        </c:dLbl>
      </c:pivotFmt>
    </c:pivotFmts>
    <c:plotArea>
      <c:layout/>
      <c:pieChart>
        <c:varyColors val="1"/>
        <c:ser>
          <c:idx val="0"/>
          <c:order val="0"/>
          <c:tx>
            <c:strRef>
              <c:f>'Week-4'!$H$45</c:f>
              <c:strCache>
                <c:ptCount val="1"/>
                <c:pt idx="0">
                  <c:v>Total</c:v>
                </c:pt>
              </c:strCache>
            </c:strRef>
          </c:tx>
          <c:dLbls>
            <c:spPr/>
            <c:txPr>
              <a:bodyPr/>
              <a:lstStyle/>
              <a:p>
                <a:pPr>
                  <a:defRPr/>
                </a:pPr>
                <a:endParaRPr lang="en-US"/>
              </a:p>
            </c:txPr>
            <c:showPercent val="1"/>
            <c:showLeaderLines val="1"/>
          </c:dLbls>
          <c:cat>
            <c:strRef>
              <c:f>'Week-4'!$G$46:$G$50</c:f>
              <c:strCache>
                <c:ptCount val="4"/>
                <c:pt idx="0">
                  <c:v>0-34</c:v>
                </c:pt>
                <c:pt idx="1">
                  <c:v>35-69</c:v>
                </c:pt>
                <c:pt idx="2">
                  <c:v>70-104</c:v>
                </c:pt>
                <c:pt idx="3">
                  <c:v>105-139</c:v>
                </c:pt>
              </c:strCache>
            </c:strRef>
          </c:cat>
          <c:val>
            <c:numRef>
              <c:f>'Week-4'!$H$46:$H$50</c:f>
              <c:numCache>
                <c:formatCode>General</c:formatCode>
                <c:ptCount val="4"/>
                <c:pt idx="0">
                  <c:v>498</c:v>
                </c:pt>
                <c:pt idx="1">
                  <c:v>1422</c:v>
                </c:pt>
                <c:pt idx="2">
                  <c:v>2232</c:v>
                </c:pt>
                <c:pt idx="3">
                  <c:v>606</c:v>
                </c:pt>
              </c:numCache>
            </c:numRef>
          </c:val>
          <c:extLst xmlns:c16r2="http://schemas.microsoft.com/office/drawing/2015/06/chart">
            <c:ext xmlns:c16="http://schemas.microsoft.com/office/drawing/2014/chart" uri="{C3380CC4-5D6E-409C-BE32-E72D297353CC}">
              <c16:uniqueId val="{00000000-E25F-422E-BCFF-D57445A7011A}"/>
            </c:ext>
          </c:extLst>
        </c:ser>
        <c:dLbls>
          <c:showPercent val="1"/>
        </c:dLbls>
        <c:firstSliceAng val="0"/>
      </c:pieChart>
    </c:plotArea>
    <c:legend>
      <c:legendPos val="r"/>
    </c:legend>
    <c:plotVisOnly val="1"/>
    <c:dispBlanksAs val="zero"/>
  </c:chart>
  <c:printSettings>
    <c:headerFooter/>
    <c:pageMargins b="0.75000000000000244" l="0.70000000000000062" r="0.70000000000000062" t="0.750000000000002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style val="42"/>
  <c:pivotSource>
    <c:name>[Elective Seasions.xlsx]Week-4!PivotTable3</c:name>
    <c:fmtId val="0"/>
  </c:pivotSource>
  <c:chart>
    <c:title>
      <c:tx>
        <c:rich>
          <a:bodyPr/>
          <a:lstStyle/>
          <a:p>
            <a:pPr>
              <a:defRPr/>
            </a:pPr>
            <a:r>
              <a:rPr lang="en-US"/>
              <a:t>customer wise</a:t>
            </a:r>
          </a:p>
        </c:rich>
      </c:tx>
    </c:title>
    <c:pivotFmts>
      <c:pivotFmt>
        <c:idx val="0"/>
        <c:marker>
          <c:symbol val="none"/>
        </c:marker>
      </c:pivotFmt>
    </c:pivotFmts>
    <c:view3D>
      <c:rAngAx val="1"/>
    </c:view3D>
    <c:plotArea>
      <c:layout/>
      <c:bar3DChart>
        <c:barDir val="col"/>
        <c:grouping val="clustered"/>
        <c:ser>
          <c:idx val="0"/>
          <c:order val="0"/>
          <c:tx>
            <c:strRef>
              <c:f>'Week-4'!$Q$117</c:f>
              <c:strCache>
                <c:ptCount val="1"/>
                <c:pt idx="0">
                  <c:v>Total</c:v>
                </c:pt>
              </c:strCache>
            </c:strRef>
          </c:tx>
          <c:cat>
            <c:strRef>
              <c:f>'Week-4'!$P$118:$P$121</c:f>
              <c:strCache>
                <c:ptCount val="3"/>
                <c:pt idx="0">
                  <c:v>1-10</c:v>
                </c:pt>
                <c:pt idx="1">
                  <c:v>11-20</c:v>
                </c:pt>
                <c:pt idx="2">
                  <c:v>21-30</c:v>
                </c:pt>
              </c:strCache>
            </c:strRef>
          </c:cat>
          <c:val>
            <c:numRef>
              <c:f>'Week-4'!$Q$118:$Q$121</c:f>
              <c:numCache>
                <c:formatCode>General</c:formatCode>
                <c:ptCount val="3"/>
                <c:pt idx="0">
                  <c:v>1030</c:v>
                </c:pt>
                <c:pt idx="1">
                  <c:v>2030</c:v>
                </c:pt>
                <c:pt idx="2">
                  <c:v>1698</c:v>
                </c:pt>
              </c:numCache>
            </c:numRef>
          </c:val>
          <c:extLst xmlns:c16r2="http://schemas.microsoft.com/office/drawing/2015/06/chart">
            <c:ext xmlns:c16="http://schemas.microsoft.com/office/drawing/2014/chart" uri="{C3380CC4-5D6E-409C-BE32-E72D297353CC}">
              <c16:uniqueId val="{00000000-C7C1-4349-AED8-9022631A8ADD}"/>
            </c:ext>
          </c:extLst>
        </c:ser>
        <c:shape val="cylinder"/>
        <c:axId val="201228288"/>
        <c:axId val="201229824"/>
        <c:axId val="0"/>
      </c:bar3DChart>
      <c:catAx>
        <c:axId val="201228288"/>
        <c:scaling>
          <c:orientation val="minMax"/>
        </c:scaling>
        <c:axPos val="b"/>
        <c:numFmt formatCode="General" sourceLinked="0"/>
        <c:tickLblPos val="nextTo"/>
        <c:crossAx val="201229824"/>
        <c:crosses val="autoZero"/>
        <c:auto val="1"/>
        <c:lblAlgn val="ctr"/>
        <c:lblOffset val="100"/>
      </c:catAx>
      <c:valAx>
        <c:axId val="201229824"/>
        <c:scaling>
          <c:orientation val="minMax"/>
        </c:scaling>
        <c:axPos val="l"/>
        <c:majorGridlines/>
        <c:numFmt formatCode="General" sourceLinked="1"/>
        <c:tickLblPos val="nextTo"/>
        <c:crossAx val="201228288"/>
        <c:crosses val="autoZero"/>
        <c:crossBetween val="between"/>
      </c:valAx>
    </c:plotArea>
    <c:legend>
      <c:legendPos val="r"/>
    </c:legend>
    <c:plotVisOnly val="1"/>
    <c:dispBlanksAs val="gap"/>
  </c:chart>
  <c:printSettings>
    <c:headerFooter/>
    <c:pageMargins b="0.75000000000000244" l="0.70000000000000062" r="0.70000000000000062" t="0.750000000000002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style val="44"/>
  <c:pivotSource>
    <c:name>[Elective Seasions.xlsx]Week-4!PivotTable4</c:name>
    <c:fmtId val="0"/>
  </c:pivotSource>
  <c:chart>
    <c:title>
      <c:tx>
        <c:rich>
          <a:bodyPr/>
          <a:lstStyle/>
          <a:p>
            <a:pPr>
              <a:defRPr/>
            </a:pPr>
            <a:r>
              <a:rPr lang="en-US"/>
              <a:t>month wise </a:t>
            </a:r>
          </a:p>
        </c:rich>
      </c:tx>
      <c:layout>
        <c:manualLayout>
          <c:xMode val="edge"/>
          <c:yMode val="edge"/>
          <c:x val="0.34299534492150729"/>
          <c:y val="5.1194539249147027E-2"/>
        </c:manualLayout>
      </c:layout>
    </c:title>
    <c:pivotFmts>
      <c:pivotFmt>
        <c:idx val="0"/>
        <c:marker>
          <c:symbol val="none"/>
        </c:marker>
        <c:dLbl>
          <c:idx val="0"/>
          <c:spPr/>
          <c:txPr>
            <a:bodyPr/>
            <a:lstStyle/>
            <a:p>
              <a:pPr>
                <a:defRPr/>
              </a:pPr>
              <a:endParaRPr lang="en-US"/>
            </a:p>
          </c:txPr>
          <c:showVal val="1"/>
          <c:extLst xmlns:c16r2="http://schemas.microsoft.com/office/drawing/2015/06/chart">
            <c:ext xmlns:c15="http://schemas.microsoft.com/office/drawing/2012/chart" uri="{CE6537A1-D6FC-4f65-9D91-7224C49458BB}"/>
          </c:extLst>
        </c:dLbl>
      </c:pivotFmt>
    </c:pivotFmts>
    <c:view3D>
      <c:rAngAx val="1"/>
    </c:view3D>
    <c:plotArea>
      <c:layout/>
      <c:bar3DChart>
        <c:barDir val="col"/>
        <c:grouping val="clustered"/>
        <c:ser>
          <c:idx val="0"/>
          <c:order val="0"/>
          <c:tx>
            <c:strRef>
              <c:f>'Week-4'!$T$117</c:f>
              <c:strCache>
                <c:ptCount val="1"/>
                <c:pt idx="0">
                  <c:v>Total</c:v>
                </c:pt>
              </c:strCache>
            </c:strRef>
          </c:tx>
          <c:dLbls>
            <c:spPr/>
            <c:txPr>
              <a:bodyPr/>
              <a:lstStyle/>
              <a:p>
                <a:pPr>
                  <a:defRPr/>
                </a:pPr>
                <a:endParaRPr lang="en-US"/>
              </a:p>
            </c:txPr>
            <c:showVal val="1"/>
          </c:dLbls>
          <c:cat>
            <c:multiLvlStrRef>
              <c:f>'Week-4'!$S$118:$S$135</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2018</c:v>
                  </c:pt>
                  <c:pt idx="12">
                    <c:v>2019</c:v>
                  </c:pt>
                </c:lvl>
              </c:multiLvlStrCache>
            </c:multiLvlStrRef>
          </c:cat>
          <c:val>
            <c:numRef>
              <c:f>'Week-4'!$T$118:$T$135</c:f>
              <c:numCache>
                <c:formatCode>General</c:formatCode>
                <c:ptCount val="15"/>
                <c:pt idx="0">
                  <c:v>126</c:v>
                </c:pt>
                <c:pt idx="1">
                  <c:v>166</c:v>
                </c:pt>
                <c:pt idx="2">
                  <c:v>98</c:v>
                </c:pt>
                <c:pt idx="3">
                  <c:v>226</c:v>
                </c:pt>
                <c:pt idx="4">
                  <c:v>266</c:v>
                </c:pt>
                <c:pt idx="5">
                  <c:v>306</c:v>
                </c:pt>
                <c:pt idx="6">
                  <c:v>346</c:v>
                </c:pt>
                <c:pt idx="7">
                  <c:v>188</c:v>
                </c:pt>
                <c:pt idx="8">
                  <c:v>406</c:v>
                </c:pt>
                <c:pt idx="9">
                  <c:v>446</c:v>
                </c:pt>
                <c:pt idx="10">
                  <c:v>486</c:v>
                </c:pt>
                <c:pt idx="11">
                  <c:v>526</c:v>
                </c:pt>
                <c:pt idx="12">
                  <c:v>278</c:v>
                </c:pt>
                <c:pt idx="13">
                  <c:v>586</c:v>
                </c:pt>
                <c:pt idx="14">
                  <c:v>308</c:v>
                </c:pt>
              </c:numCache>
            </c:numRef>
          </c:val>
          <c:extLst xmlns:c16r2="http://schemas.microsoft.com/office/drawing/2015/06/chart">
            <c:ext xmlns:c16="http://schemas.microsoft.com/office/drawing/2014/chart" uri="{C3380CC4-5D6E-409C-BE32-E72D297353CC}">
              <c16:uniqueId val="{00000000-CD18-4334-83D0-B8FF65CD0F39}"/>
            </c:ext>
          </c:extLst>
        </c:ser>
        <c:dLbls>
          <c:showVal val="1"/>
        </c:dLbls>
        <c:shape val="cylinder"/>
        <c:axId val="201396224"/>
        <c:axId val="201397760"/>
        <c:axId val="0"/>
      </c:bar3DChart>
      <c:catAx>
        <c:axId val="201396224"/>
        <c:scaling>
          <c:orientation val="minMax"/>
        </c:scaling>
        <c:axPos val="b"/>
        <c:numFmt formatCode="General" sourceLinked="0"/>
        <c:majorTickMark val="none"/>
        <c:tickLblPos val="nextTo"/>
        <c:crossAx val="201397760"/>
        <c:crosses val="autoZero"/>
        <c:auto val="1"/>
        <c:lblAlgn val="ctr"/>
        <c:lblOffset val="100"/>
      </c:catAx>
      <c:valAx>
        <c:axId val="201397760"/>
        <c:scaling>
          <c:orientation val="minMax"/>
        </c:scaling>
        <c:delete val="1"/>
        <c:axPos val="l"/>
        <c:numFmt formatCode="General" sourceLinked="1"/>
        <c:majorTickMark val="none"/>
        <c:tickLblPos val="nextTo"/>
        <c:crossAx val="201396224"/>
        <c:crosses val="autoZero"/>
        <c:crossBetween val="between"/>
      </c:valAx>
    </c:plotArea>
    <c:legend>
      <c:legendPos val="t"/>
    </c:legend>
    <c:plotVisOnly val="1"/>
    <c:dispBlanksAs val="gap"/>
  </c:chart>
  <c:printSettings>
    <c:headerFooter/>
    <c:pageMargins b="0.75000000000000244" l="0.70000000000000062" r="0.70000000000000062" t="0.750000000000002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45"/>
  <c:pivotSource>
    <c:name>[Elective Seasions.xlsx]Week-4!PivotTable5</c:name>
    <c:fmtId val="0"/>
  </c:pivotSource>
  <c:chart>
    <c:title>
      <c:tx>
        <c:rich>
          <a:bodyPr/>
          <a:lstStyle/>
          <a:p>
            <a:pPr>
              <a:defRPr/>
            </a:pPr>
            <a:r>
              <a:rPr lang="en-US"/>
              <a:t>range wise</a:t>
            </a:r>
          </a:p>
          <a:p>
            <a:pPr>
              <a:defRPr/>
            </a:pPr>
            <a:endParaRPr lang="en-US"/>
          </a:p>
        </c:rich>
      </c:tx>
    </c:title>
    <c:pivotFmts>
      <c:pivotFmt>
        <c:idx val="0"/>
        <c:marker>
          <c:symbol val="none"/>
        </c:marker>
      </c:pivotFmt>
    </c:pivotFmts>
    <c:view3D>
      <c:rAngAx val="1"/>
    </c:view3D>
    <c:plotArea>
      <c:layout/>
      <c:bar3DChart>
        <c:barDir val="col"/>
        <c:grouping val="clustered"/>
        <c:ser>
          <c:idx val="0"/>
          <c:order val="0"/>
          <c:tx>
            <c:strRef>
              <c:f>'Week-4'!$W$117</c:f>
              <c:strCache>
                <c:ptCount val="1"/>
                <c:pt idx="0">
                  <c:v>Total</c:v>
                </c:pt>
              </c:strCache>
            </c:strRef>
          </c:tx>
          <c:cat>
            <c:multiLvlStrRef>
              <c:f>'Week-4'!$V$118:$V$137</c:f>
              <c:multiLvlStrCache>
                <c:ptCount val="16"/>
                <c:lvl>
                  <c:pt idx="0">
                    <c:v>Jan</c:v>
                  </c:pt>
                  <c:pt idx="1">
                    <c:v>Feb</c:v>
                  </c:pt>
                  <c:pt idx="2">
                    <c:v>Mar</c:v>
                  </c:pt>
                  <c:pt idx="3">
                    <c:v>Apr</c:v>
                  </c:pt>
                  <c:pt idx="4">
                    <c:v>May</c:v>
                  </c:pt>
                  <c:pt idx="5">
                    <c:v>Jun</c:v>
                  </c:pt>
                  <c:pt idx="6">
                    <c:v>Jun</c:v>
                  </c:pt>
                  <c:pt idx="7">
                    <c:v>Jul</c:v>
                  </c:pt>
                  <c:pt idx="8">
                    <c:v>Aug</c:v>
                  </c:pt>
                  <c:pt idx="9">
                    <c:v>Sep</c:v>
                  </c:pt>
                  <c:pt idx="10">
                    <c:v>Oct</c:v>
                  </c:pt>
                  <c:pt idx="11">
                    <c:v>Nov</c:v>
                  </c:pt>
                  <c:pt idx="12">
                    <c:v>Jan</c:v>
                  </c:pt>
                  <c:pt idx="13">
                    <c:v>Feb</c:v>
                  </c:pt>
                  <c:pt idx="14">
                    <c:v>Mar</c:v>
                  </c:pt>
                  <c:pt idx="15">
                    <c:v>Dec</c:v>
                  </c:pt>
                </c:lvl>
                <c:lvl>
                  <c:pt idx="0">
                    <c:v>1-10</c:v>
                  </c:pt>
                  <c:pt idx="6">
                    <c:v>11-20</c:v>
                  </c:pt>
                  <c:pt idx="12">
                    <c:v>21-30</c:v>
                  </c:pt>
                </c:lvl>
              </c:multiLvlStrCache>
            </c:multiLvlStrRef>
          </c:cat>
          <c:val>
            <c:numRef>
              <c:f>'Week-4'!$W$118:$W$137</c:f>
              <c:numCache>
                <c:formatCode>General</c:formatCode>
                <c:ptCount val="16"/>
                <c:pt idx="0">
                  <c:v>126</c:v>
                </c:pt>
                <c:pt idx="1">
                  <c:v>166</c:v>
                </c:pt>
                <c:pt idx="2">
                  <c:v>98</c:v>
                </c:pt>
                <c:pt idx="3">
                  <c:v>226</c:v>
                </c:pt>
                <c:pt idx="4">
                  <c:v>266</c:v>
                </c:pt>
                <c:pt idx="5">
                  <c:v>148</c:v>
                </c:pt>
                <c:pt idx="6">
                  <c:v>158</c:v>
                </c:pt>
                <c:pt idx="7">
                  <c:v>346</c:v>
                </c:pt>
                <c:pt idx="8">
                  <c:v>188</c:v>
                </c:pt>
                <c:pt idx="9">
                  <c:v>406</c:v>
                </c:pt>
                <c:pt idx="10">
                  <c:v>446</c:v>
                </c:pt>
                <c:pt idx="11">
                  <c:v>486</c:v>
                </c:pt>
                <c:pt idx="12">
                  <c:v>278</c:v>
                </c:pt>
                <c:pt idx="13">
                  <c:v>586</c:v>
                </c:pt>
                <c:pt idx="14">
                  <c:v>308</c:v>
                </c:pt>
                <c:pt idx="15">
                  <c:v>526</c:v>
                </c:pt>
              </c:numCache>
            </c:numRef>
          </c:val>
          <c:extLst xmlns:c16r2="http://schemas.microsoft.com/office/drawing/2015/06/chart">
            <c:ext xmlns:c16="http://schemas.microsoft.com/office/drawing/2014/chart" uri="{C3380CC4-5D6E-409C-BE32-E72D297353CC}">
              <c16:uniqueId val="{00000000-231B-4B8A-99C7-6DF02CEAD9FC}"/>
            </c:ext>
          </c:extLst>
        </c:ser>
        <c:shape val="cylinder"/>
        <c:axId val="201429376"/>
        <c:axId val="201430912"/>
        <c:axId val="0"/>
      </c:bar3DChart>
      <c:catAx>
        <c:axId val="201429376"/>
        <c:scaling>
          <c:orientation val="minMax"/>
        </c:scaling>
        <c:axPos val="b"/>
        <c:numFmt formatCode="General" sourceLinked="0"/>
        <c:tickLblPos val="nextTo"/>
        <c:crossAx val="201430912"/>
        <c:crosses val="autoZero"/>
        <c:auto val="1"/>
        <c:lblAlgn val="ctr"/>
        <c:lblOffset val="100"/>
      </c:catAx>
      <c:valAx>
        <c:axId val="201430912"/>
        <c:scaling>
          <c:orientation val="minMax"/>
        </c:scaling>
        <c:axPos val="l"/>
        <c:majorGridlines/>
        <c:numFmt formatCode="General" sourceLinked="1"/>
        <c:tickLblPos val="nextTo"/>
        <c:crossAx val="201429376"/>
        <c:crosses val="autoZero"/>
        <c:crossBetween val="between"/>
      </c:valAx>
    </c:plotArea>
    <c:legend>
      <c:legendPos val="r"/>
    </c:legend>
    <c:plotVisOnly val="1"/>
    <c:dispBlanksAs val="gap"/>
  </c:chart>
  <c:printSettings>
    <c:headerFooter/>
    <c:pageMargins b="0.75000000000000244" l="0.70000000000000062" r="0.70000000000000062" t="0.7500000000000024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style val="48"/>
  <c:pivotSource>
    <c:name>[Elective Seasions.xlsx]Week-4!PivotTable6</c:name>
    <c:fmtId val="0"/>
  </c:pivotSource>
  <c:chart>
    <c:title>
      <c:tx>
        <c:rich>
          <a:bodyPr/>
          <a:lstStyle/>
          <a:p>
            <a:pPr>
              <a:defRPr/>
            </a:pPr>
            <a:r>
              <a:rPr lang="en-US"/>
              <a:t>rapresentative wise</a:t>
            </a:r>
          </a:p>
        </c:rich>
      </c:tx>
    </c:title>
    <c:pivotFmts>
      <c:pivotFmt>
        <c:idx val="0"/>
        <c:marker>
          <c:symbol val="none"/>
        </c:marker>
      </c:pivotFmt>
    </c:pivotFmts>
    <c:view3D>
      <c:rAngAx val="1"/>
    </c:view3D>
    <c:plotArea>
      <c:layout/>
      <c:bar3DChart>
        <c:barDir val="col"/>
        <c:grouping val="clustered"/>
        <c:ser>
          <c:idx val="0"/>
          <c:order val="0"/>
          <c:tx>
            <c:strRef>
              <c:f>'Week-4'!$Z$117</c:f>
              <c:strCache>
                <c:ptCount val="1"/>
                <c:pt idx="0">
                  <c:v>Total</c:v>
                </c:pt>
              </c:strCache>
            </c:strRef>
          </c:tx>
          <c:cat>
            <c:strRef>
              <c:f>'Week-4'!$Y$118:$Y$144</c:f>
              <c:strCache>
                <c:ptCount val="26"/>
                <c:pt idx="0">
                  <c:v>R01</c:v>
                </c:pt>
                <c:pt idx="1">
                  <c:v>R02</c:v>
                </c:pt>
                <c:pt idx="2">
                  <c:v>R03</c:v>
                </c:pt>
                <c:pt idx="3">
                  <c:v>R04</c:v>
                </c:pt>
                <c:pt idx="4">
                  <c:v>R05</c:v>
                </c:pt>
                <c:pt idx="5">
                  <c:v>R06</c:v>
                </c:pt>
                <c:pt idx="6">
                  <c:v>R07</c:v>
                </c:pt>
                <c:pt idx="7">
                  <c:v>R08</c:v>
                </c:pt>
                <c:pt idx="8">
                  <c:v>R09</c:v>
                </c:pt>
                <c:pt idx="9">
                  <c:v>R10</c:v>
                </c:pt>
                <c:pt idx="10">
                  <c:v>R11</c:v>
                </c:pt>
                <c:pt idx="11">
                  <c:v>R12</c:v>
                </c:pt>
                <c:pt idx="12">
                  <c:v>R13</c:v>
                </c:pt>
                <c:pt idx="13">
                  <c:v>R14</c:v>
                </c:pt>
                <c:pt idx="14">
                  <c:v>R15</c:v>
                </c:pt>
                <c:pt idx="15">
                  <c:v>R16</c:v>
                </c:pt>
                <c:pt idx="16">
                  <c:v>R17</c:v>
                </c:pt>
                <c:pt idx="17">
                  <c:v>R18</c:v>
                </c:pt>
                <c:pt idx="18">
                  <c:v>R19</c:v>
                </c:pt>
                <c:pt idx="19">
                  <c:v>R20</c:v>
                </c:pt>
                <c:pt idx="20">
                  <c:v>R21</c:v>
                </c:pt>
                <c:pt idx="21">
                  <c:v>R22</c:v>
                </c:pt>
                <c:pt idx="22">
                  <c:v>R23</c:v>
                </c:pt>
                <c:pt idx="23">
                  <c:v>R24</c:v>
                </c:pt>
                <c:pt idx="24">
                  <c:v>R25</c:v>
                </c:pt>
                <c:pt idx="25">
                  <c:v>R26</c:v>
                </c:pt>
              </c:strCache>
            </c:strRef>
          </c:cat>
          <c:val>
            <c:numRef>
              <c:f>'Week-4'!$Z$118:$Z$144</c:f>
              <c:numCache>
                <c:formatCode>General</c:formatCode>
                <c:ptCount val="26"/>
                <c:pt idx="0">
                  <c:v>58</c:v>
                </c:pt>
                <c:pt idx="1">
                  <c:v>68</c:v>
                </c:pt>
                <c:pt idx="2">
                  <c:v>78</c:v>
                </c:pt>
                <c:pt idx="3">
                  <c:v>88</c:v>
                </c:pt>
                <c:pt idx="4">
                  <c:v>98</c:v>
                </c:pt>
                <c:pt idx="5">
                  <c:v>108</c:v>
                </c:pt>
                <c:pt idx="6">
                  <c:v>118</c:v>
                </c:pt>
                <c:pt idx="7">
                  <c:v>128</c:v>
                </c:pt>
                <c:pt idx="8">
                  <c:v>138</c:v>
                </c:pt>
                <c:pt idx="9">
                  <c:v>148</c:v>
                </c:pt>
                <c:pt idx="10">
                  <c:v>158</c:v>
                </c:pt>
                <c:pt idx="11">
                  <c:v>168</c:v>
                </c:pt>
                <c:pt idx="12">
                  <c:v>178</c:v>
                </c:pt>
                <c:pt idx="13">
                  <c:v>188</c:v>
                </c:pt>
                <c:pt idx="14">
                  <c:v>198</c:v>
                </c:pt>
                <c:pt idx="15">
                  <c:v>208</c:v>
                </c:pt>
                <c:pt idx="16">
                  <c:v>218</c:v>
                </c:pt>
                <c:pt idx="17">
                  <c:v>228</c:v>
                </c:pt>
                <c:pt idx="18">
                  <c:v>238</c:v>
                </c:pt>
                <c:pt idx="19">
                  <c:v>248</c:v>
                </c:pt>
                <c:pt idx="20">
                  <c:v>258</c:v>
                </c:pt>
                <c:pt idx="21">
                  <c:v>268</c:v>
                </c:pt>
                <c:pt idx="22">
                  <c:v>278</c:v>
                </c:pt>
                <c:pt idx="23">
                  <c:v>288</c:v>
                </c:pt>
                <c:pt idx="24">
                  <c:v>298</c:v>
                </c:pt>
                <c:pt idx="25">
                  <c:v>308</c:v>
                </c:pt>
              </c:numCache>
            </c:numRef>
          </c:val>
          <c:extLst xmlns:c16r2="http://schemas.microsoft.com/office/drawing/2015/06/chart">
            <c:ext xmlns:c16="http://schemas.microsoft.com/office/drawing/2014/chart" uri="{C3380CC4-5D6E-409C-BE32-E72D297353CC}">
              <c16:uniqueId val="{00000000-8168-4180-BBA6-6FAA561DB213}"/>
            </c:ext>
          </c:extLst>
        </c:ser>
        <c:shape val="cylinder"/>
        <c:axId val="201336320"/>
        <c:axId val="201337856"/>
        <c:axId val="0"/>
      </c:bar3DChart>
      <c:catAx>
        <c:axId val="201336320"/>
        <c:scaling>
          <c:orientation val="minMax"/>
        </c:scaling>
        <c:axPos val="b"/>
        <c:numFmt formatCode="General" sourceLinked="0"/>
        <c:tickLblPos val="nextTo"/>
        <c:crossAx val="201337856"/>
        <c:crosses val="autoZero"/>
        <c:auto val="1"/>
        <c:lblAlgn val="ctr"/>
        <c:lblOffset val="100"/>
      </c:catAx>
      <c:valAx>
        <c:axId val="201337856"/>
        <c:scaling>
          <c:orientation val="minMax"/>
        </c:scaling>
        <c:axPos val="l"/>
        <c:majorGridlines/>
        <c:numFmt formatCode="General" sourceLinked="1"/>
        <c:tickLblPos val="nextTo"/>
        <c:crossAx val="201336320"/>
        <c:crosses val="autoZero"/>
        <c:crossBetween val="between"/>
      </c:valAx>
    </c:plotArea>
    <c:legend>
      <c:legendPos val="r"/>
    </c:legend>
    <c:plotVisOnly val="1"/>
    <c:dispBlanksAs val="gap"/>
  </c:chart>
  <c:printSettings>
    <c:headerFooter/>
    <c:pageMargins b="0.75000000000000244" l="0.70000000000000062" r="0.70000000000000062" t="0.75000000000000244" header="0.30000000000000032" footer="0.30000000000000032"/>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DE594D87-9B73-41CC-A3FA-084AA95CD3C8}" type="doc">
      <dgm:prSet loTypeId="urn:microsoft.com/office/officeart/2005/8/layout/venn2" loCatId="relationship" qsTypeId="urn:microsoft.com/office/officeart/2005/8/quickstyle/simple1" qsCatId="simple" csTypeId="urn:microsoft.com/office/officeart/2005/8/colors/accent1_2" csCatId="accent1" phldr="1"/>
      <dgm:spPr/>
      <dgm:t>
        <a:bodyPr/>
        <a:lstStyle/>
        <a:p>
          <a:endParaRPr lang="en-US"/>
        </a:p>
      </dgm:t>
    </dgm:pt>
    <dgm:pt modelId="{5DB12FB9-2CC9-44BB-97AB-95565D2BEAF8}">
      <dgm:prSet phldrT="[Text]"/>
      <dgm:spPr/>
      <dgm:t>
        <a:bodyPr/>
        <a:lstStyle/>
        <a:p>
          <a:r>
            <a:rPr lang="en-US"/>
            <a:t>Data Science</a:t>
          </a:r>
        </a:p>
      </dgm:t>
    </dgm:pt>
    <dgm:pt modelId="{D6958E9D-1EEB-47DE-AD97-F83F0270EB78}" type="parTrans" cxnId="{88A3FFC9-E5D6-4D30-8199-5BD5C501E175}">
      <dgm:prSet/>
      <dgm:spPr/>
      <dgm:t>
        <a:bodyPr/>
        <a:lstStyle/>
        <a:p>
          <a:endParaRPr lang="en-US"/>
        </a:p>
      </dgm:t>
    </dgm:pt>
    <dgm:pt modelId="{D02D8A94-BF80-4846-929F-8F0EFA130215}" type="sibTrans" cxnId="{88A3FFC9-E5D6-4D30-8199-5BD5C501E175}">
      <dgm:prSet/>
      <dgm:spPr/>
      <dgm:t>
        <a:bodyPr/>
        <a:lstStyle/>
        <a:p>
          <a:endParaRPr lang="en-US"/>
        </a:p>
      </dgm:t>
    </dgm:pt>
    <dgm:pt modelId="{7B1DF1FC-9069-4A73-8153-604055117E19}">
      <dgm:prSet phldrT="[Text]"/>
      <dgm:spPr/>
      <dgm:t>
        <a:bodyPr/>
        <a:lstStyle/>
        <a:p>
          <a:r>
            <a:rPr lang="en-US"/>
            <a:t>Python</a:t>
          </a:r>
        </a:p>
      </dgm:t>
    </dgm:pt>
    <dgm:pt modelId="{77B50E15-0959-423F-A964-9B2D7AC94286}" type="parTrans" cxnId="{611900AD-784A-457C-AC58-732C39F3D2DF}">
      <dgm:prSet/>
      <dgm:spPr/>
      <dgm:t>
        <a:bodyPr/>
        <a:lstStyle/>
        <a:p>
          <a:endParaRPr lang="en-US"/>
        </a:p>
      </dgm:t>
    </dgm:pt>
    <dgm:pt modelId="{4684BCFB-47F1-4B92-8FE8-8C96F024D068}" type="sibTrans" cxnId="{611900AD-784A-457C-AC58-732C39F3D2DF}">
      <dgm:prSet/>
      <dgm:spPr/>
      <dgm:t>
        <a:bodyPr/>
        <a:lstStyle/>
        <a:p>
          <a:endParaRPr lang="en-US"/>
        </a:p>
      </dgm:t>
    </dgm:pt>
    <dgm:pt modelId="{AB88203F-A508-4599-B808-1ABE1C9335B2}">
      <dgm:prSet phldrT="[Text]"/>
      <dgm:spPr/>
      <dgm:t>
        <a:bodyPr/>
        <a:lstStyle/>
        <a:p>
          <a:r>
            <a:rPr lang="en-US"/>
            <a:t>Machine Learning</a:t>
          </a:r>
        </a:p>
      </dgm:t>
    </dgm:pt>
    <dgm:pt modelId="{FDC761F4-6B4D-4A66-AB0F-197052BCD72C}" type="parTrans" cxnId="{35A96A4D-6D3F-439F-9F31-37E5FF131271}">
      <dgm:prSet/>
      <dgm:spPr/>
      <dgm:t>
        <a:bodyPr/>
        <a:lstStyle/>
        <a:p>
          <a:endParaRPr lang="en-US"/>
        </a:p>
      </dgm:t>
    </dgm:pt>
    <dgm:pt modelId="{89E0D6C8-68B8-4D7B-B3E4-2CA917A8D320}" type="sibTrans" cxnId="{35A96A4D-6D3F-439F-9F31-37E5FF131271}">
      <dgm:prSet/>
      <dgm:spPr/>
      <dgm:t>
        <a:bodyPr/>
        <a:lstStyle/>
        <a:p>
          <a:endParaRPr lang="en-US"/>
        </a:p>
      </dgm:t>
    </dgm:pt>
    <dgm:pt modelId="{7B063EC6-7BDF-4184-9469-B419B3B8CDD7}">
      <dgm:prSet phldrT="[Text]"/>
      <dgm:spPr/>
      <dgm:t>
        <a:bodyPr/>
        <a:lstStyle/>
        <a:p>
          <a:r>
            <a:rPr lang="en-US"/>
            <a:t>Excel</a:t>
          </a:r>
        </a:p>
      </dgm:t>
    </dgm:pt>
    <dgm:pt modelId="{CB22B3B8-1F36-45D8-9151-7EC1FE8F3DFD}" type="parTrans" cxnId="{144CD5AD-2788-4B8A-B0EA-F6939C426E8D}">
      <dgm:prSet/>
      <dgm:spPr/>
      <dgm:t>
        <a:bodyPr/>
        <a:lstStyle/>
        <a:p>
          <a:endParaRPr lang="en-US"/>
        </a:p>
      </dgm:t>
    </dgm:pt>
    <dgm:pt modelId="{D3A3D41F-D824-451B-83A2-0125A1621BF9}" type="sibTrans" cxnId="{144CD5AD-2788-4B8A-B0EA-F6939C426E8D}">
      <dgm:prSet/>
      <dgm:spPr/>
      <dgm:t>
        <a:bodyPr/>
        <a:lstStyle/>
        <a:p>
          <a:endParaRPr lang="en-US"/>
        </a:p>
      </dgm:t>
    </dgm:pt>
    <dgm:pt modelId="{B86F5F3B-B046-479D-9C28-8DD3191B64BB}" type="pres">
      <dgm:prSet presAssocID="{DE594D87-9B73-41CC-A3FA-084AA95CD3C8}" presName="Name0" presStyleCnt="0">
        <dgm:presLayoutVars>
          <dgm:chMax val="7"/>
          <dgm:resizeHandles val="exact"/>
        </dgm:presLayoutVars>
      </dgm:prSet>
      <dgm:spPr/>
      <dgm:t>
        <a:bodyPr/>
        <a:lstStyle/>
        <a:p>
          <a:endParaRPr lang="en-US"/>
        </a:p>
      </dgm:t>
    </dgm:pt>
    <dgm:pt modelId="{054E8378-ABBA-41E9-95DA-565599CB2487}" type="pres">
      <dgm:prSet presAssocID="{DE594D87-9B73-41CC-A3FA-084AA95CD3C8}" presName="comp1" presStyleCnt="0"/>
      <dgm:spPr/>
    </dgm:pt>
    <dgm:pt modelId="{912B27CA-BD4B-4108-973A-A6AA3A49E3B7}" type="pres">
      <dgm:prSet presAssocID="{DE594D87-9B73-41CC-A3FA-084AA95CD3C8}" presName="circle1" presStyleLbl="node1" presStyleIdx="0" presStyleCnt="4"/>
      <dgm:spPr/>
      <dgm:t>
        <a:bodyPr/>
        <a:lstStyle/>
        <a:p>
          <a:endParaRPr lang="en-US"/>
        </a:p>
      </dgm:t>
    </dgm:pt>
    <dgm:pt modelId="{452F66AD-2FFE-4362-8754-32F242DA02E8}" type="pres">
      <dgm:prSet presAssocID="{DE594D87-9B73-41CC-A3FA-084AA95CD3C8}" presName="c1text" presStyleLbl="node1" presStyleIdx="0" presStyleCnt="4">
        <dgm:presLayoutVars>
          <dgm:bulletEnabled val="1"/>
        </dgm:presLayoutVars>
      </dgm:prSet>
      <dgm:spPr/>
      <dgm:t>
        <a:bodyPr/>
        <a:lstStyle/>
        <a:p>
          <a:endParaRPr lang="en-US"/>
        </a:p>
      </dgm:t>
    </dgm:pt>
    <dgm:pt modelId="{9D522457-8E91-455F-A8AA-C006BF42BF31}" type="pres">
      <dgm:prSet presAssocID="{DE594D87-9B73-41CC-A3FA-084AA95CD3C8}" presName="comp2" presStyleCnt="0"/>
      <dgm:spPr/>
    </dgm:pt>
    <dgm:pt modelId="{972434FB-7A50-470B-BB24-68A78CE58A55}" type="pres">
      <dgm:prSet presAssocID="{DE594D87-9B73-41CC-A3FA-084AA95CD3C8}" presName="circle2" presStyleLbl="node1" presStyleIdx="1" presStyleCnt="4"/>
      <dgm:spPr/>
      <dgm:t>
        <a:bodyPr/>
        <a:lstStyle/>
        <a:p>
          <a:endParaRPr lang="en-US"/>
        </a:p>
      </dgm:t>
    </dgm:pt>
    <dgm:pt modelId="{D7801BC6-D7F2-46F8-A8F2-8570D9F4B7FA}" type="pres">
      <dgm:prSet presAssocID="{DE594D87-9B73-41CC-A3FA-084AA95CD3C8}" presName="c2text" presStyleLbl="node1" presStyleIdx="1" presStyleCnt="4">
        <dgm:presLayoutVars>
          <dgm:bulletEnabled val="1"/>
        </dgm:presLayoutVars>
      </dgm:prSet>
      <dgm:spPr/>
      <dgm:t>
        <a:bodyPr/>
        <a:lstStyle/>
        <a:p>
          <a:endParaRPr lang="en-US"/>
        </a:p>
      </dgm:t>
    </dgm:pt>
    <dgm:pt modelId="{59A8A910-D414-43D9-AAD2-782275006052}" type="pres">
      <dgm:prSet presAssocID="{DE594D87-9B73-41CC-A3FA-084AA95CD3C8}" presName="comp3" presStyleCnt="0"/>
      <dgm:spPr/>
    </dgm:pt>
    <dgm:pt modelId="{B38B4B58-68FC-4E31-AD7D-0ABA294D8C7C}" type="pres">
      <dgm:prSet presAssocID="{DE594D87-9B73-41CC-A3FA-084AA95CD3C8}" presName="circle3" presStyleLbl="node1" presStyleIdx="2" presStyleCnt="4"/>
      <dgm:spPr/>
      <dgm:t>
        <a:bodyPr/>
        <a:lstStyle/>
        <a:p>
          <a:endParaRPr lang="en-US"/>
        </a:p>
      </dgm:t>
    </dgm:pt>
    <dgm:pt modelId="{A93EBAA4-2762-4C88-B330-BB7E25E3EA3C}" type="pres">
      <dgm:prSet presAssocID="{DE594D87-9B73-41CC-A3FA-084AA95CD3C8}" presName="c3text" presStyleLbl="node1" presStyleIdx="2" presStyleCnt="4">
        <dgm:presLayoutVars>
          <dgm:bulletEnabled val="1"/>
        </dgm:presLayoutVars>
      </dgm:prSet>
      <dgm:spPr/>
      <dgm:t>
        <a:bodyPr/>
        <a:lstStyle/>
        <a:p>
          <a:endParaRPr lang="en-US"/>
        </a:p>
      </dgm:t>
    </dgm:pt>
    <dgm:pt modelId="{1A3A836D-124E-473B-89A5-01EE52A9D77B}" type="pres">
      <dgm:prSet presAssocID="{DE594D87-9B73-41CC-A3FA-084AA95CD3C8}" presName="comp4" presStyleCnt="0"/>
      <dgm:spPr/>
    </dgm:pt>
    <dgm:pt modelId="{DFFF273E-B454-43B6-8A60-405CA47C1E16}" type="pres">
      <dgm:prSet presAssocID="{DE594D87-9B73-41CC-A3FA-084AA95CD3C8}" presName="circle4" presStyleLbl="node1" presStyleIdx="3" presStyleCnt="4"/>
      <dgm:spPr/>
      <dgm:t>
        <a:bodyPr/>
        <a:lstStyle/>
        <a:p>
          <a:endParaRPr lang="en-US"/>
        </a:p>
      </dgm:t>
    </dgm:pt>
    <dgm:pt modelId="{7ED7AB2D-2C6F-4181-97A9-1C69E6F4CA6A}" type="pres">
      <dgm:prSet presAssocID="{DE594D87-9B73-41CC-A3FA-084AA95CD3C8}" presName="c4text" presStyleLbl="node1" presStyleIdx="3" presStyleCnt="4">
        <dgm:presLayoutVars>
          <dgm:bulletEnabled val="1"/>
        </dgm:presLayoutVars>
      </dgm:prSet>
      <dgm:spPr/>
      <dgm:t>
        <a:bodyPr/>
        <a:lstStyle/>
        <a:p>
          <a:endParaRPr lang="en-US"/>
        </a:p>
      </dgm:t>
    </dgm:pt>
  </dgm:ptLst>
  <dgm:cxnLst>
    <dgm:cxn modelId="{C71307D0-A66D-4A0A-B8F1-4CCA58947375}" type="presOf" srcId="{7B1DF1FC-9069-4A73-8153-604055117E19}" destId="{972434FB-7A50-470B-BB24-68A78CE58A55}" srcOrd="0" destOrd="0" presId="urn:microsoft.com/office/officeart/2005/8/layout/venn2"/>
    <dgm:cxn modelId="{8FEC0A39-1F5D-4F22-AECB-86CFEDB366BB}" type="presOf" srcId="{7B063EC6-7BDF-4184-9469-B419B3B8CDD7}" destId="{7ED7AB2D-2C6F-4181-97A9-1C69E6F4CA6A}" srcOrd="1" destOrd="0" presId="urn:microsoft.com/office/officeart/2005/8/layout/venn2"/>
    <dgm:cxn modelId="{611900AD-784A-457C-AC58-732C39F3D2DF}" srcId="{DE594D87-9B73-41CC-A3FA-084AA95CD3C8}" destId="{7B1DF1FC-9069-4A73-8153-604055117E19}" srcOrd="1" destOrd="0" parTransId="{77B50E15-0959-423F-A964-9B2D7AC94286}" sibTransId="{4684BCFB-47F1-4B92-8FE8-8C96F024D068}"/>
    <dgm:cxn modelId="{CB86D5F6-3266-45C3-B46E-CA436BFBA209}" type="presOf" srcId="{7B1DF1FC-9069-4A73-8153-604055117E19}" destId="{D7801BC6-D7F2-46F8-A8F2-8570D9F4B7FA}" srcOrd="1" destOrd="0" presId="urn:microsoft.com/office/officeart/2005/8/layout/venn2"/>
    <dgm:cxn modelId="{9099A850-8100-45BC-999C-92A93D50696D}" type="presOf" srcId="{5DB12FB9-2CC9-44BB-97AB-95565D2BEAF8}" destId="{452F66AD-2FFE-4362-8754-32F242DA02E8}" srcOrd="1" destOrd="0" presId="urn:microsoft.com/office/officeart/2005/8/layout/venn2"/>
    <dgm:cxn modelId="{88A3FFC9-E5D6-4D30-8199-5BD5C501E175}" srcId="{DE594D87-9B73-41CC-A3FA-084AA95CD3C8}" destId="{5DB12FB9-2CC9-44BB-97AB-95565D2BEAF8}" srcOrd="0" destOrd="0" parTransId="{D6958E9D-1EEB-47DE-AD97-F83F0270EB78}" sibTransId="{D02D8A94-BF80-4846-929F-8F0EFA130215}"/>
    <dgm:cxn modelId="{B43F934C-8B8B-47DE-8ABE-3C809E42AA7F}" type="presOf" srcId="{7B063EC6-7BDF-4184-9469-B419B3B8CDD7}" destId="{DFFF273E-B454-43B6-8A60-405CA47C1E16}" srcOrd="0" destOrd="0" presId="urn:microsoft.com/office/officeart/2005/8/layout/venn2"/>
    <dgm:cxn modelId="{B5F8DB09-6A19-4D42-B59E-325D57A5286D}" type="presOf" srcId="{DE594D87-9B73-41CC-A3FA-084AA95CD3C8}" destId="{B86F5F3B-B046-479D-9C28-8DD3191B64BB}" srcOrd="0" destOrd="0" presId="urn:microsoft.com/office/officeart/2005/8/layout/venn2"/>
    <dgm:cxn modelId="{144CD5AD-2788-4B8A-B0EA-F6939C426E8D}" srcId="{DE594D87-9B73-41CC-A3FA-084AA95CD3C8}" destId="{7B063EC6-7BDF-4184-9469-B419B3B8CDD7}" srcOrd="3" destOrd="0" parTransId="{CB22B3B8-1F36-45D8-9151-7EC1FE8F3DFD}" sibTransId="{D3A3D41F-D824-451B-83A2-0125A1621BF9}"/>
    <dgm:cxn modelId="{35A96A4D-6D3F-439F-9F31-37E5FF131271}" srcId="{DE594D87-9B73-41CC-A3FA-084AA95CD3C8}" destId="{AB88203F-A508-4599-B808-1ABE1C9335B2}" srcOrd="2" destOrd="0" parTransId="{FDC761F4-6B4D-4A66-AB0F-197052BCD72C}" sibTransId="{89E0D6C8-68B8-4D7B-B3E4-2CA917A8D320}"/>
    <dgm:cxn modelId="{B4B43E28-3FC1-4605-8D28-A7A358F86548}" type="presOf" srcId="{AB88203F-A508-4599-B808-1ABE1C9335B2}" destId="{B38B4B58-68FC-4E31-AD7D-0ABA294D8C7C}" srcOrd="0" destOrd="0" presId="urn:microsoft.com/office/officeart/2005/8/layout/venn2"/>
    <dgm:cxn modelId="{52D1B0F8-34A0-4A27-83E4-9E1368D78504}" type="presOf" srcId="{AB88203F-A508-4599-B808-1ABE1C9335B2}" destId="{A93EBAA4-2762-4C88-B330-BB7E25E3EA3C}" srcOrd="1" destOrd="0" presId="urn:microsoft.com/office/officeart/2005/8/layout/venn2"/>
    <dgm:cxn modelId="{8990AF2B-CDF6-4DEC-A5DE-18E9FEDBCE48}" type="presOf" srcId="{5DB12FB9-2CC9-44BB-97AB-95565D2BEAF8}" destId="{912B27CA-BD4B-4108-973A-A6AA3A49E3B7}" srcOrd="0" destOrd="0" presId="urn:microsoft.com/office/officeart/2005/8/layout/venn2"/>
    <dgm:cxn modelId="{EE769F72-7984-4C84-B87F-9F34946B6362}" type="presParOf" srcId="{B86F5F3B-B046-479D-9C28-8DD3191B64BB}" destId="{054E8378-ABBA-41E9-95DA-565599CB2487}" srcOrd="0" destOrd="0" presId="urn:microsoft.com/office/officeart/2005/8/layout/venn2"/>
    <dgm:cxn modelId="{0D03DD6A-4025-4036-84B7-3EA37685447C}" type="presParOf" srcId="{054E8378-ABBA-41E9-95DA-565599CB2487}" destId="{912B27CA-BD4B-4108-973A-A6AA3A49E3B7}" srcOrd="0" destOrd="0" presId="urn:microsoft.com/office/officeart/2005/8/layout/venn2"/>
    <dgm:cxn modelId="{3BCC1043-6B7B-449A-9C1C-86AEE6E67ED7}" type="presParOf" srcId="{054E8378-ABBA-41E9-95DA-565599CB2487}" destId="{452F66AD-2FFE-4362-8754-32F242DA02E8}" srcOrd="1" destOrd="0" presId="urn:microsoft.com/office/officeart/2005/8/layout/venn2"/>
    <dgm:cxn modelId="{813C627B-98E8-4AEC-AFB7-A28646C049C6}" type="presParOf" srcId="{B86F5F3B-B046-479D-9C28-8DD3191B64BB}" destId="{9D522457-8E91-455F-A8AA-C006BF42BF31}" srcOrd="1" destOrd="0" presId="urn:microsoft.com/office/officeart/2005/8/layout/venn2"/>
    <dgm:cxn modelId="{602CB60B-1529-4A5C-84EB-7B46A5A69EA2}" type="presParOf" srcId="{9D522457-8E91-455F-A8AA-C006BF42BF31}" destId="{972434FB-7A50-470B-BB24-68A78CE58A55}" srcOrd="0" destOrd="0" presId="urn:microsoft.com/office/officeart/2005/8/layout/venn2"/>
    <dgm:cxn modelId="{39B609E9-5435-4988-9C20-6A057F9EE05E}" type="presParOf" srcId="{9D522457-8E91-455F-A8AA-C006BF42BF31}" destId="{D7801BC6-D7F2-46F8-A8F2-8570D9F4B7FA}" srcOrd="1" destOrd="0" presId="urn:microsoft.com/office/officeart/2005/8/layout/venn2"/>
    <dgm:cxn modelId="{488E49C1-0E46-4C8B-8222-50EC3E70FF29}" type="presParOf" srcId="{B86F5F3B-B046-479D-9C28-8DD3191B64BB}" destId="{59A8A910-D414-43D9-AAD2-782275006052}" srcOrd="2" destOrd="0" presId="urn:microsoft.com/office/officeart/2005/8/layout/venn2"/>
    <dgm:cxn modelId="{EE09D42A-FE69-4E0D-9A6E-3A90406B6055}" type="presParOf" srcId="{59A8A910-D414-43D9-AAD2-782275006052}" destId="{B38B4B58-68FC-4E31-AD7D-0ABA294D8C7C}" srcOrd="0" destOrd="0" presId="urn:microsoft.com/office/officeart/2005/8/layout/venn2"/>
    <dgm:cxn modelId="{DC3A66D2-9540-466F-B0AC-FF66AC046F8F}" type="presParOf" srcId="{59A8A910-D414-43D9-AAD2-782275006052}" destId="{A93EBAA4-2762-4C88-B330-BB7E25E3EA3C}" srcOrd="1" destOrd="0" presId="urn:microsoft.com/office/officeart/2005/8/layout/venn2"/>
    <dgm:cxn modelId="{08CECE55-4BEC-4CD4-A649-9E63F669B9AB}" type="presParOf" srcId="{B86F5F3B-B046-479D-9C28-8DD3191B64BB}" destId="{1A3A836D-124E-473B-89A5-01EE52A9D77B}" srcOrd="3" destOrd="0" presId="urn:microsoft.com/office/officeart/2005/8/layout/venn2"/>
    <dgm:cxn modelId="{4959C190-E852-46B5-BBB5-F4F3A1C9334D}" type="presParOf" srcId="{1A3A836D-124E-473B-89A5-01EE52A9D77B}" destId="{DFFF273E-B454-43B6-8A60-405CA47C1E16}" srcOrd="0" destOrd="0" presId="urn:microsoft.com/office/officeart/2005/8/layout/venn2"/>
    <dgm:cxn modelId="{758EFEA7-6E31-40CB-925B-C51247605AEE}" type="presParOf" srcId="{1A3A836D-124E-473B-89A5-01EE52A9D77B}" destId="{7ED7AB2D-2C6F-4181-97A9-1C69E6F4CA6A}" srcOrd="1" destOrd="0" presId="urn:microsoft.com/office/officeart/2005/8/layout/venn2"/>
  </dgm:cxnLst>
  <dgm:bg/>
  <dgm:whole/>
  <dgm:extLst>
    <a:ext uri="http://schemas.microsoft.com/office/drawing/2008/diagram">
      <dsp:dataModelExt xmlns:dsp="http://schemas.microsoft.com/office/drawing/2008/diagram" xmlns="" relId="rId5" minVer="http://schemas.openxmlformats.org/drawingml/2006/diagram"/>
    </a:ext>
  </dgm:extLst>
</dgm:dataModel>
</file>

<file path=xl/diagrams/layout1.xml><?xml version="1.0" encoding="utf-8"?>
<dgm:layoutDef xmlns:dgm="http://schemas.openxmlformats.org/drawingml/2006/diagram" xmlns:a="http://schemas.openxmlformats.org/drawingml/2006/main" uniqueId="urn:microsoft.com/office/officeart/2005/8/layout/venn2">
  <dgm:title val=""/>
  <dgm:desc val=""/>
  <dgm:catLst>
    <dgm:cat type="relationship" pri="30000"/>
  </dgm:catLst>
  <dgm:samp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resizeHandles val="exact"/>
    </dgm:varLst>
    <dgm:alg type="composite">
      <dgm:param type="ar" val="1"/>
    </dgm:alg>
    <dgm:shape xmlns:r="http://schemas.openxmlformats.org/officeDocument/2006/relationships" r:blip="">
      <dgm:adjLst/>
    </dgm:shape>
    <dgm:presOf/>
    <dgm:choose name="Name1">
      <dgm:if name="Name2" axis="ch" ptType="node" func="cnt" op="lte" val="3">
        <dgm:constrLst>
          <dgm:constr type="w" for="ch" forName="comp1" refType="w"/>
          <dgm:constr type="h" for="ch" forName="comp1" refType="w" refFor="ch" refForName="comp1"/>
          <dgm:constr type="w" for="ch" forName="comp2" refType="w" fact="0.75"/>
          <dgm:constr type="h" for="ch" forName="comp2" refType="w" refFor="ch" refForName="comp2"/>
          <dgm:constr type="ctrX" for="ch" forName="comp2" refType="ctrX" refFor="ch" refForName="comp1"/>
          <dgm:constr type="b" for="ch" forName="comp2" refType="b" refFor="ch" refForName="comp1"/>
          <dgm:constr type="w" for="ch" forName="comp3" refType="w" fact="0.5"/>
          <dgm:constr type="h" for="ch" forName="comp3" refType="w" refFor="ch" refForName="comp3"/>
          <dgm:constr type="ctrX" for="ch" forName="comp3" refType="ctrX" refFor="ch" refForName="comp1"/>
          <dgm:constr type="b" for="ch" forName="comp3" refType="b" refFor="ch" refForName="comp1"/>
          <dgm:constr type="primFontSz" for="des" ptType="node" op="equ" val="65"/>
        </dgm:constrLst>
      </dgm:if>
      <dgm:if name="Name3" axis="ch" ptType="node" func="cnt" op="equ" val="4">
        <dgm:constrLst>
          <dgm:constr type="w" for="ch" forName="comp1" refType="w"/>
          <dgm:constr type="h" for="ch" forName="comp1" refType="w" refFor="ch" refForName="comp1"/>
          <dgm:constr type="w" for="ch" forName="comp2" refType="w" fact="0.8"/>
          <dgm:constr type="h" for="ch" forName="comp2" refType="w" refFor="ch" refForName="comp2"/>
          <dgm:constr type="ctrX" for="ch" forName="comp2" refType="ctrX" refFor="ch" refForName="comp1"/>
          <dgm:constr type="b" for="ch" forName="comp2" refType="b" refFor="ch" refForName="comp1"/>
          <dgm:constr type="w" for="ch" forName="comp3" refType="w" fact="0.6"/>
          <dgm:constr type="h" for="ch" forName="comp3" refType="w" refFor="ch" refForName="comp3"/>
          <dgm:constr type="ctrX" for="ch" forName="comp3" refType="ctrX" refFor="ch" refForName="comp1"/>
          <dgm:constr type="b" for="ch" forName="comp3" refType="b" refFor="ch" refForName="comp1"/>
          <dgm:constr type="w" for="ch" forName="comp4" refType="w" fact="0.4"/>
          <dgm:constr type="h" for="ch" forName="comp4" refType="w" refFor="ch" refForName="comp4"/>
          <dgm:constr type="ctrX" for="ch" forName="comp4" refType="ctrX" refFor="ch" refForName="comp1"/>
          <dgm:constr type="b" for="ch" forName="comp4" refType="b" refFor="ch" refForName="comp1"/>
          <dgm:constr type="primFontSz" for="des" ptType="node" op="equ" val="65"/>
        </dgm:constrLst>
      </dgm:if>
      <dgm:else name="Name4">
        <dgm:constrLst>
          <dgm:constr type="w" for="ch" forName="comp1" refType="w"/>
          <dgm:constr type="h" for="ch" forName="comp1" refType="w" refFor="ch" refForName="comp1"/>
          <dgm:constr type="w" for="ch" forName="comp2" refType="w" fact="0.85"/>
          <dgm:constr type="h" for="ch" forName="comp2" refType="w" refFor="ch" refForName="comp2"/>
          <dgm:constr type="ctrX" for="ch" forName="comp2" refType="ctrX" refFor="ch" refForName="comp1"/>
          <dgm:constr type="b" for="ch" forName="comp2" refType="b" refFor="ch" refForName="comp1"/>
          <dgm:constr type="w" for="ch" forName="comp3" refType="w" fact="0.7"/>
          <dgm:constr type="h" for="ch" forName="comp3" refType="w" refFor="ch" refForName="comp3"/>
          <dgm:constr type="ctrX" for="ch" forName="comp3" refType="ctrX" refFor="ch" refForName="comp1"/>
          <dgm:constr type="b" for="ch" forName="comp3" refType="b" refFor="ch" refForName="comp1"/>
          <dgm:constr type="w" for="ch" forName="comp4" refType="w" fact="0.55"/>
          <dgm:constr type="h" for="ch" forName="comp4" refType="w" refFor="ch" refForName="comp4"/>
          <dgm:constr type="ctrX" for="ch" forName="comp4" refType="ctrX" refFor="ch" refForName="comp1"/>
          <dgm:constr type="b" for="ch" forName="comp4" refType="b" refFor="ch" refForName="comp1"/>
          <dgm:constr type="w" for="ch" forName="comp5" refType="w" fact="0.4"/>
          <dgm:constr type="h" for="ch" forName="comp5" refType="w" refFor="ch" refForName="comp5"/>
          <dgm:constr type="ctrX" for="ch" forName="comp5" refType="ctrX" refFor="ch" refForName="comp1"/>
          <dgm:constr type="b" for="ch" forName="comp5" refType="b" refFor="ch" refForName="comp1"/>
          <dgm:constr type="w" for="ch" forName="comp6" refType="w" fact="0.25"/>
          <dgm:constr type="h" for="ch" forName="comp6" refType="w" refFor="ch" refForName="comp6"/>
          <dgm:constr type="ctrX" for="ch" forName="comp6" refType="ctrX" refFor="ch" refForName="comp1"/>
          <dgm:constr type="b" for="ch" forName="comp6" refType="b" refFor="ch" refForName="comp1"/>
          <dgm:constr type="w" for="ch" forName="comp7" refType="w" fact="0.15"/>
          <dgm:constr type="h" for="ch" forName="comp7" refType="w" refFor="ch" refForName="comp7"/>
          <dgm:constr type="ctrX" for="ch" forName="comp7" refType="ctrX" refFor="ch" refForName="comp1"/>
          <dgm:constr type="b" for="ch" forName="comp7" refType="b" refFor="ch" refForName="comp1"/>
          <dgm:constr type="primFontSz" for="des" ptType="node" op="equ" val="65"/>
        </dgm:constrLst>
      </dgm:else>
    </dgm:choose>
    <dgm:ruleLst/>
    <dgm:choose name="Name5">
      <dgm:if name="Name6" axis="ch" ptType="node" func="cnt" op="gte" val="1">
        <dgm:layoutNode name="comp1">
          <dgm:alg type="composite"/>
          <dgm:shape xmlns:r="http://schemas.openxmlformats.org/officeDocument/2006/relationships" r:blip="">
            <dgm:adjLst/>
          </dgm:shape>
          <dgm:presOf/>
          <dgm:choose name="Name7">
            <dgm:if name="Name8" axis="ch" ptType="node" func="cnt" op="equ" val="1">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5"/>
                <dgm:constr type="w" for="ch" forName="c1text" refType="w" refFor="ch" refForName="circle1" fact="0.70711"/>
                <dgm:constr type="h" for="ch" forName="c1text" refType="h" refFor="ch" refForName="circle1" fact="0.5"/>
              </dgm:constrLst>
            </dgm:if>
            <dgm:if name="Name9" axis="ch" ptType="node" func="cnt" op="equ" val="2">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6"/>
                <dgm:constr type="w" for="ch" forName="c1text" refType="w" refFor="ch" refForName="circle1" fact="0.525"/>
                <dgm:constr type="h" for="ch" forName="c1text" refType="h" refFor="ch" refForName="circle1" fact="0.17"/>
              </dgm:constrLst>
            </dgm:if>
            <dgm:if name="Name10" axis="ch" ptType="node" func="cnt" op="equ" val="3">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25"/>
                <dgm:constr type="w" for="ch" forName="c1text" refType="w" refFor="ch" refForName="circle1" fact="0.3495"/>
                <dgm:constr type="h" for="ch" forName="c1text" refType="h" refFor="ch" refForName="circle1" fact="0.15"/>
              </dgm:constrLst>
            </dgm:if>
            <dgm:if name="Name11" axis="ch" ptType="node" func="cnt" op="equ" val="4">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25"/>
                <dgm:constr type="w" for="ch" forName="c1text" refType="w" refFor="ch" refForName="circle1" fact="0.2796"/>
                <dgm:constr type="h" for="ch" forName="c1text" refType="h" refFor="ch" refForName="circle1" fact="0.15"/>
              </dgm:constrLst>
            </dgm:if>
            <dgm:if name="Name12" axis="ch" ptType="node" func="cnt" op="gte" val="5">
              <dgm:constrLst>
                <dgm:constr type="w" for="ch" forName="circle1" refType="w"/>
                <dgm:constr type="h" for="ch" forName="circle1" refType="h"/>
                <dgm:constr type="ctrX" for="ch" forName="circle1" refType="w" fact="0.5"/>
                <dgm:constr type="ctrY" for="ch" forName="circle1" refType="h" fact="0.5"/>
                <dgm:constr type="ctrX" for="ch" forName="c1text" refType="w" fact="0.5"/>
                <dgm:constr type="ctrY" for="ch" forName="c1text" refType="h" fact="0.1"/>
                <dgm:constr type="w" for="ch" forName="c1text" refType="w" refFor="ch" refForName="circle1" fact="0.375"/>
                <dgm:constr type="h" for="ch" forName="c1text" refType="h" refFor="ch" refForName="circle1" fact="0.1"/>
              </dgm:constrLst>
            </dgm:if>
            <dgm:else name="Name13"/>
          </dgm:choose>
          <dgm:ruleLst/>
          <dgm:layoutNode name="circle1" styleLbl="node1">
            <dgm:alg type="sp"/>
            <dgm:shape xmlns:r="http://schemas.openxmlformats.org/officeDocument/2006/relationships" type="ellipse" r:blip="">
              <dgm:adjLst/>
            </dgm:shape>
            <dgm:presOf axis="ch desOrSelf" ptType="node node" st="1 1" cnt="1 0"/>
            <dgm:constrLst>
              <dgm:constr type="h" refType="w"/>
            </dgm:constrLst>
            <dgm:ruleLst/>
          </dgm:layoutNode>
          <dgm:layoutNode name="c1text">
            <dgm:varLst>
              <dgm:bulletEnabled val="1"/>
            </dgm:varLst>
            <dgm:alg type="tx"/>
            <dgm:shape xmlns:r="http://schemas.openxmlformats.org/officeDocument/2006/relationships" type="rect" r:blip="" hideGeom="1">
              <dgm:adjLst/>
            </dgm:shape>
            <dgm:presOf axis="ch desOrSelf" ptType="node node" st="1 1" cnt="1 0"/>
            <dgm:constrLst/>
            <dgm:ruleLst>
              <dgm:rule type="primFontSz" val="5" fact="NaN" max="NaN"/>
            </dgm:ruleLst>
          </dgm:layoutNode>
        </dgm:layoutNode>
      </dgm:if>
      <dgm:else name="Name14"/>
    </dgm:choose>
    <dgm:choose name="Name15">
      <dgm:if name="Name16" axis="ch" ptType="node" func="cnt" op="gte" val="2">
        <dgm:layoutNode name="comp2">
          <dgm:alg type="composite"/>
          <dgm:shape xmlns:r="http://schemas.openxmlformats.org/officeDocument/2006/relationships" r:blip="">
            <dgm:adjLst/>
          </dgm:shape>
          <dgm:presOf/>
          <dgm:choose name="Name17">
            <dgm:if name="Name18" axis="ch" ptType="node" func="cnt" op="equ" val="2">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5"/>
                <dgm:constr type="w" for="ch" forName="c2text" refType="w" refFor="ch" refForName="circle2" fact="0.70711"/>
                <dgm:constr type="h" for="ch" forName="c2text" refType="h" refFor="ch" refForName="circle2" fact="0.5"/>
              </dgm:constrLst>
            </dgm:if>
            <dgm:if name="Name19" axis="ch" ptType="node" func="cnt" op="equ" val="3">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5625"/>
                <dgm:constr type="w" for="ch" forName="c2text" refType="w" refFor="ch" refForName="circle2" fact="0.466"/>
                <dgm:constr type="h" for="ch" forName="c2text" refType="h" refFor="ch" refForName="circle2" fact="0.1875"/>
              </dgm:constrLst>
            </dgm:if>
            <dgm:if name="Name20" axis="ch" ptType="node" func="cnt" op="equ" val="4">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5"/>
                <dgm:constr type="w" for="ch" forName="c2text" refType="w" refFor="ch" refForName="circle2" fact="0.3495"/>
                <dgm:constr type="h" for="ch" forName="c2text" refType="h" refFor="ch" refForName="circle2" fact="0.18"/>
              </dgm:constrLst>
            </dgm:if>
            <dgm:if name="Name21" axis="ch" ptType="node" func="cnt" op="gte" val="5">
              <dgm:constrLst>
                <dgm:constr type="w" for="ch" forName="circle2" refType="w"/>
                <dgm:constr type="h" for="ch" forName="circle2" refType="h"/>
                <dgm:constr type="ctrX" for="ch" forName="circle2" refType="w" fact="0.5"/>
                <dgm:constr type="ctrY" for="ch" forName="circle2" refType="h" fact="0.5"/>
                <dgm:constr type="ctrX" for="ch" forName="c2text" refType="w" fact="0.5"/>
                <dgm:constr type="ctrY" for="ch" forName="c2text" refType="h" fact="0.115"/>
                <dgm:constr type="w" for="ch" forName="c2text" refType="w" refFor="ch" refForName="circle2" fact="0.43125"/>
                <dgm:constr type="h" for="ch" forName="c2text" refType="h" refFor="ch" refForName="circle2" fact="0.115"/>
              </dgm:constrLst>
            </dgm:if>
            <dgm:else name="Name22"/>
          </dgm:choose>
          <dgm:ruleLst/>
          <dgm:layoutNode name="circle2" styleLbl="node1">
            <dgm:alg type="sp"/>
            <dgm:shape xmlns:r="http://schemas.openxmlformats.org/officeDocument/2006/relationships" type="ellipse" r:blip="">
              <dgm:adjLst/>
            </dgm:shape>
            <dgm:presOf axis="ch desOrSelf" ptType="node node" st="2 1" cnt="1 0"/>
            <dgm:constrLst>
              <dgm:constr type="h" refType="w"/>
            </dgm:constrLst>
            <dgm:ruleLst/>
          </dgm:layoutNode>
          <dgm:layoutNode name="c2text">
            <dgm:varLst>
              <dgm:bulletEnabled val="1"/>
            </dgm:varLst>
            <dgm:alg type="tx"/>
            <dgm:shape xmlns:r="http://schemas.openxmlformats.org/officeDocument/2006/relationships" type="rect" r:blip="" hideGeom="1">
              <dgm:adjLst/>
            </dgm:shape>
            <dgm:presOf axis="ch desOrSelf" ptType="node node" st="2 1" cnt="1 0"/>
            <dgm:constrLst/>
            <dgm:ruleLst>
              <dgm:rule type="primFontSz" val="5" fact="NaN" max="NaN"/>
            </dgm:ruleLst>
          </dgm:layoutNode>
        </dgm:layoutNode>
      </dgm:if>
      <dgm:else name="Name23"/>
    </dgm:choose>
    <dgm:choose name="Name24">
      <dgm:if name="Name25" axis="ch" ptType="node" func="cnt" op="gte" val="3">
        <dgm:layoutNode name="comp3">
          <dgm:alg type="composite"/>
          <dgm:shape xmlns:r="http://schemas.openxmlformats.org/officeDocument/2006/relationships" r:blip="">
            <dgm:adjLst/>
          </dgm:shape>
          <dgm:presOf/>
          <dgm:choose name="Name26">
            <dgm:if name="Name27" axis="ch" ptType="node" func="cnt" op="equ" val="3">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5"/>
                <dgm:constr type="w" for="ch" forName="c3text" refType="w" refFor="ch" refForName="circle3" fact="0.70711"/>
                <dgm:constr type="h" for="ch" forName="c3text" refType="h" refFor="ch" refForName="circle3" fact="0.5"/>
              </dgm:constrLst>
            </dgm:if>
            <dgm:if name="Name28" axis="ch" ptType="node" func="cnt" op="equ" val="4">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1875"/>
                <dgm:constr type="w" for="ch" forName="c3text" refType="w" refFor="ch" refForName="circle3" fact="0.466"/>
                <dgm:constr type="h" for="ch" forName="c3text" refType="h" refFor="ch" refForName="circle3" fact="0.225"/>
              </dgm:constrLst>
            </dgm:if>
            <dgm:if name="Name29" axis="ch" ptType="node" func="cnt" op="gte" val="5">
              <dgm:constrLst>
                <dgm:constr type="w" for="ch" forName="circle3" refType="w"/>
                <dgm:constr type="h" for="ch" forName="circle3" refType="h"/>
                <dgm:constr type="ctrX" for="ch" forName="circle3" refType="w" fact="0.5"/>
                <dgm:constr type="ctrY" for="ch" forName="circle3" refType="h" fact="0.5"/>
                <dgm:constr type="ctrX" for="ch" forName="c3text" refType="w" fact="0.5"/>
                <dgm:constr type="ctrY" for="ch" forName="c3text" refType="h" fact="0.138"/>
                <dgm:constr type="w" for="ch" forName="c3text" refType="w" refFor="ch" refForName="circle3" fact="0.5175"/>
                <dgm:constr type="h" for="ch" forName="c3text" refType="h" refFor="ch" refForName="circle3" fact="0.138"/>
              </dgm:constrLst>
            </dgm:if>
            <dgm:else name="Name30"/>
          </dgm:choose>
          <dgm:ruleLst/>
          <dgm:layoutNode name="circle3" styleLbl="node1">
            <dgm:alg type="sp"/>
            <dgm:shape xmlns:r="http://schemas.openxmlformats.org/officeDocument/2006/relationships" type="ellipse" r:blip="">
              <dgm:adjLst/>
            </dgm:shape>
            <dgm:presOf axis="ch desOrSelf" ptType="node node" st="3 1" cnt="1 0"/>
            <dgm:constrLst>
              <dgm:constr type="h" refType="w"/>
            </dgm:constrLst>
            <dgm:ruleLst/>
          </dgm:layoutNode>
          <dgm:layoutNode name="c3text">
            <dgm:varLst>
              <dgm:bulletEnabled val="1"/>
            </dgm:varLst>
            <dgm:alg type="tx"/>
            <dgm:shape xmlns:r="http://schemas.openxmlformats.org/officeDocument/2006/relationships" type="rect" r:blip="" hideGeom="1">
              <dgm:adjLst/>
            </dgm:shape>
            <dgm:presOf axis="ch desOrSelf" ptType="node node" st="3 1" cnt="1 0"/>
            <dgm:constrLst/>
            <dgm:ruleLst>
              <dgm:rule type="primFontSz" val="5" fact="NaN" max="NaN"/>
            </dgm:ruleLst>
          </dgm:layoutNode>
        </dgm:layoutNode>
      </dgm:if>
      <dgm:else name="Name31"/>
    </dgm:choose>
    <dgm:choose name="Name32">
      <dgm:if name="Name33" axis="ch" ptType="node" func="cnt" op="gte" val="4">
        <dgm:layoutNode name="comp4">
          <dgm:alg type="composite"/>
          <dgm:shape xmlns:r="http://schemas.openxmlformats.org/officeDocument/2006/relationships" r:blip="">
            <dgm:adjLst/>
          </dgm:shape>
          <dgm:presOf/>
          <dgm:choose name="Name34">
            <dgm:if name="Name35" axis="ch" ptType="node" func="cnt" op="equ" val="4">
              <dgm:constrLst>
                <dgm:constr type="w" for="ch" forName="circle4" refType="w"/>
                <dgm:constr type="h" for="ch" forName="circle4" refType="h"/>
                <dgm:constr type="ctrX" for="ch" forName="circle4" refType="w" fact="0.5"/>
                <dgm:constr type="ctrY" for="ch" forName="circle4" refType="h" fact="0.5"/>
                <dgm:constr type="ctrX" for="ch" forName="c4text" refType="w" fact="0.5"/>
                <dgm:constr type="ctrY" for="ch" forName="c4text" refType="h" fact="0.5"/>
                <dgm:constr type="w" for="ch" forName="c4text" refType="w" refFor="ch" refForName="circle4" fact="0.70711"/>
                <dgm:constr type="h" for="ch" forName="c4text" refType="h" refFor="ch" refForName="circle4" fact="0.5"/>
              </dgm:constrLst>
            </dgm:if>
            <dgm:if name="Name36" axis="ch" ptType="node" func="cnt" op="gte" val="5">
              <dgm:constrLst>
                <dgm:constr type="w" for="ch" forName="circle4" refType="w"/>
                <dgm:constr type="h" for="ch" forName="circle4" refType="h"/>
                <dgm:constr type="ctrX" for="ch" forName="circle4" refType="w" fact="0.5"/>
                <dgm:constr type="ctrY" for="ch" forName="circle4" refType="h" fact="0.5"/>
                <dgm:constr type="ctrX" for="ch" forName="c4text" refType="w" fact="0.5"/>
                <dgm:constr type="ctrY" for="ch" forName="c4text" refType="h" fact="0.18"/>
                <dgm:constr type="w" for="ch" forName="c4text" refType="w" refFor="ch" refForName="circle4" fact="0.54"/>
                <dgm:constr type="h" for="ch" forName="c4text" refType="h" refFor="ch" refForName="circle4" fact="0.18"/>
              </dgm:constrLst>
            </dgm:if>
            <dgm:else name="Name37"/>
          </dgm:choose>
          <dgm:ruleLst/>
          <dgm:layoutNode name="circle4" styleLbl="node1">
            <dgm:alg type="sp"/>
            <dgm:shape xmlns:r="http://schemas.openxmlformats.org/officeDocument/2006/relationships" type="ellipse" r:blip="">
              <dgm:adjLst/>
            </dgm:shape>
            <dgm:presOf axis="ch desOrSelf" ptType="node node" st="4 1" cnt="1 0"/>
            <dgm:constrLst>
              <dgm:constr type="h" refType="w"/>
            </dgm:constrLst>
            <dgm:ruleLst/>
          </dgm:layoutNode>
          <dgm:layoutNode name="c4text">
            <dgm:varLst>
              <dgm:bulletEnabled val="1"/>
            </dgm:varLst>
            <dgm:alg type="tx"/>
            <dgm:shape xmlns:r="http://schemas.openxmlformats.org/officeDocument/2006/relationships" type="rect" r:blip="" hideGeom="1">
              <dgm:adjLst/>
            </dgm:shape>
            <dgm:presOf axis="ch desOrSelf" ptType="node node" st="4 1" cnt="1 0"/>
            <dgm:constrLst/>
            <dgm:ruleLst>
              <dgm:rule type="primFontSz" val="5" fact="NaN" max="NaN"/>
            </dgm:ruleLst>
          </dgm:layoutNode>
        </dgm:layoutNode>
      </dgm:if>
      <dgm:else name="Name38"/>
    </dgm:choose>
    <dgm:choose name="Name39">
      <dgm:if name="Name40" axis="ch" ptType="node" func="cnt" op="gte" val="5">
        <dgm:layoutNode name="comp5">
          <dgm:alg type="composite"/>
          <dgm:shape xmlns:r="http://schemas.openxmlformats.org/officeDocument/2006/relationships" r:blip="">
            <dgm:adjLst/>
          </dgm:shape>
          <dgm:presOf/>
          <dgm:choose name="Name41">
            <dgm:if name="Name42" axis="ch" ptType="node" func="cnt" op="equ" val="5">
              <dgm:constrLst>
                <dgm:constr type="w" for="ch" forName="circle5" refType="w"/>
                <dgm:constr type="h" for="ch" forName="circle5" refType="h"/>
                <dgm:constr type="ctrX" for="ch" forName="circle5" refType="w" fact="0.5"/>
                <dgm:constr type="ctrY" for="ch" forName="circle5" refType="h" fact="0.5"/>
                <dgm:constr type="ctrX" for="ch" forName="c5text" refType="w" fact="0.5"/>
                <dgm:constr type="ctrY" for="ch" forName="c5text" refType="h" fact="0.5"/>
                <dgm:constr type="w" for="ch" forName="c5text" refType="w" refFor="ch" refForName="circle5" fact="0.70711"/>
                <dgm:constr type="h" for="ch" forName="c5text" refType="h" refFor="ch" refForName="circle5" fact="0.5"/>
              </dgm:constrLst>
            </dgm:if>
            <dgm:if name="Name43" axis="ch" ptType="node" func="cnt" op="gte" val="6">
              <dgm:constrLst>
                <dgm:constr type="w" for="ch" forName="circle5" refType="w"/>
                <dgm:constr type="h" for="ch" forName="circle5" refType="h"/>
                <dgm:constr type="ctrX" for="ch" forName="circle5" refType="w" fact="0.5"/>
                <dgm:constr type="ctrY" for="ch" forName="circle5" refType="h" fact="0.5"/>
                <dgm:constr type="ctrX" for="ch" forName="c5text" refType="w" fact="0.5"/>
                <dgm:constr type="ctrY" for="ch" forName="c5text" refType="h" fact="0.25"/>
                <dgm:constr type="w" for="ch" forName="c5text" refType="w" refFor="ch" refForName="circle5" fact="0.65"/>
                <dgm:constr type="h" for="ch" forName="c5text" refType="h" refFor="ch" refForName="circle5" fact="0.25"/>
              </dgm:constrLst>
            </dgm:if>
            <dgm:else name="Name44"/>
          </dgm:choose>
          <dgm:ruleLst/>
          <dgm:layoutNode name="circle5" styleLbl="node1">
            <dgm:alg type="sp"/>
            <dgm:shape xmlns:r="http://schemas.openxmlformats.org/officeDocument/2006/relationships" type="ellipse" r:blip="">
              <dgm:adjLst/>
            </dgm:shape>
            <dgm:presOf axis="ch desOrSelf" ptType="node node" st="5 1" cnt="1 0"/>
            <dgm:constrLst>
              <dgm:constr type="h" refType="w"/>
            </dgm:constrLst>
            <dgm:ruleLst/>
          </dgm:layoutNode>
          <dgm:layoutNode name="c5text">
            <dgm:varLst>
              <dgm:bulletEnabled val="1"/>
            </dgm:varLst>
            <dgm:alg type="tx"/>
            <dgm:shape xmlns:r="http://schemas.openxmlformats.org/officeDocument/2006/relationships" type="rect" r:blip="" hideGeom="1">
              <dgm:adjLst/>
            </dgm:shape>
            <dgm:presOf axis="ch desOrSelf" ptType="node node" st="5 1" cnt="1 0"/>
            <dgm:constrLst/>
            <dgm:ruleLst>
              <dgm:rule type="primFontSz" val="5" fact="NaN" max="NaN"/>
            </dgm:ruleLst>
          </dgm:layoutNode>
        </dgm:layoutNode>
      </dgm:if>
      <dgm:else name="Name45"/>
    </dgm:choose>
    <dgm:choose name="Name46">
      <dgm:if name="Name47" axis="ch" ptType="node" func="cnt" op="gte" val="6">
        <dgm:layoutNode name="comp6">
          <dgm:alg type="composite"/>
          <dgm:shape xmlns:r="http://schemas.openxmlformats.org/officeDocument/2006/relationships" r:blip="">
            <dgm:adjLst/>
          </dgm:shape>
          <dgm:presOf/>
          <dgm:choose name="Name48">
            <dgm:if name="Name49" axis="ch" ptType="node" func="cnt" op="equ" val="6">
              <dgm:constrLst>
                <dgm:constr type="w" for="ch" forName="circle6" refType="w"/>
                <dgm:constr type="h" for="ch" forName="circle6" refType="h"/>
                <dgm:constr type="ctrX" for="ch" forName="circle6" refType="w" fact="0.5"/>
                <dgm:constr type="ctrY" for="ch" forName="circle6" refType="h" fact="0.5"/>
                <dgm:constr type="ctrX" for="ch" forName="c6text" refType="w" fact="0.5"/>
                <dgm:constr type="ctrY" for="ch" forName="c6text" refType="h" fact="0.5"/>
                <dgm:constr type="w" for="ch" forName="c6text" refType="w" refFor="ch" refForName="circle6" fact="0.70711"/>
                <dgm:constr type="h" for="ch" forName="c6text" refType="h" refFor="ch" refForName="circle6" fact="0.5"/>
              </dgm:constrLst>
            </dgm:if>
            <dgm:if name="Name50" axis="ch" ptType="node" func="cnt" op="gte" val="7">
              <dgm:constrLst>
                <dgm:constr type="w" for="ch" forName="circle6" refType="w"/>
                <dgm:constr type="h" for="ch" forName="circle6" refType="h"/>
                <dgm:constr type="ctrX" for="ch" forName="circle6" refType="w" fact="0.5"/>
                <dgm:constr type="ctrY" for="ch" forName="circle6" refType="h" fact="0.5"/>
                <dgm:constr type="ctrX" for="ch" forName="c6text" refType="w" fact="0.5"/>
                <dgm:constr type="ctrY" for="ch" forName="c6text" refType="h" fact="0.27"/>
                <dgm:constr type="w" for="ch" forName="c6text" refType="w" refFor="ch" refForName="circle6" fact="0.68"/>
                <dgm:constr type="h" for="ch" forName="c6text" refType="h" refFor="ch" refForName="circle6" fact="0.241"/>
              </dgm:constrLst>
            </dgm:if>
            <dgm:else name="Name51"/>
          </dgm:choose>
          <dgm:ruleLst/>
          <dgm:layoutNode name="circle6" styleLbl="node1">
            <dgm:alg type="sp"/>
            <dgm:shape xmlns:r="http://schemas.openxmlformats.org/officeDocument/2006/relationships" type="ellipse" r:blip="">
              <dgm:adjLst/>
            </dgm:shape>
            <dgm:presOf axis="ch desOrSelf" ptType="node node" st="6 1" cnt="1 0"/>
            <dgm:constrLst>
              <dgm:constr type="h" refType="w"/>
            </dgm:constrLst>
            <dgm:ruleLst/>
          </dgm:layoutNode>
          <dgm:layoutNode name="c6text">
            <dgm:varLst>
              <dgm:bulletEnabled val="1"/>
            </dgm:varLst>
            <dgm:alg type="tx"/>
            <dgm:shape xmlns:r="http://schemas.openxmlformats.org/officeDocument/2006/relationships" type="rect" r:blip="" hideGeom="1">
              <dgm:adjLst/>
            </dgm:shape>
            <dgm:presOf axis="ch desOrSelf" ptType="node node" st="6 1" cnt="1 0"/>
            <dgm:constrLst/>
            <dgm:ruleLst>
              <dgm:rule type="primFontSz" val="5" fact="NaN" max="NaN"/>
            </dgm:ruleLst>
          </dgm:layoutNode>
        </dgm:layoutNode>
      </dgm:if>
      <dgm:else name="Name52"/>
    </dgm:choose>
    <dgm:choose name="Name53">
      <dgm:if name="Name54" axis="ch" ptType="node" func="cnt" op="gte" val="7">
        <dgm:layoutNode name="comp7">
          <dgm:alg type="composite"/>
          <dgm:shape xmlns:r="http://schemas.openxmlformats.org/officeDocument/2006/relationships" r:blip="">
            <dgm:adjLst/>
          </dgm:shape>
          <dgm:presOf/>
          <dgm:constrLst>
            <dgm:constr type="w" for="ch" forName="circle7" refType="w"/>
            <dgm:constr type="h" for="ch" forName="circle7" refType="h"/>
            <dgm:constr type="ctrX" for="ch" forName="circle7" refType="w" fact="0.5"/>
            <dgm:constr type="ctrY" for="ch" forName="circle7" refType="h" fact="0.5"/>
            <dgm:constr type="ctrX" for="ch" forName="c7text" refType="w" fact="0.5"/>
            <dgm:constr type="ctrY" for="ch" forName="c7text" refType="h" fact="0.5"/>
            <dgm:constr type="w" for="ch" forName="c7text" refType="w" refFor="ch" refForName="circle7" fact="0.70711"/>
            <dgm:constr type="h" for="ch" forName="c7text" refType="h" refFor="ch" refForName="circle7" fact="0.5"/>
          </dgm:constrLst>
          <dgm:ruleLst/>
          <dgm:layoutNode name="circle7" styleLbl="node1">
            <dgm:alg type="sp"/>
            <dgm:shape xmlns:r="http://schemas.openxmlformats.org/officeDocument/2006/relationships" type="ellipse" r:blip="">
              <dgm:adjLst/>
            </dgm:shape>
            <dgm:presOf axis="ch desOrSelf" ptType="node node" st="7 1" cnt="1 0"/>
            <dgm:constrLst>
              <dgm:constr type="h" refType="w"/>
            </dgm:constrLst>
            <dgm:ruleLst/>
          </dgm:layoutNode>
          <dgm:layoutNode name="c7text">
            <dgm:varLst>
              <dgm:bulletEnabled val="1"/>
            </dgm:varLst>
            <dgm:alg type="tx"/>
            <dgm:shape xmlns:r="http://schemas.openxmlformats.org/officeDocument/2006/relationships" type="rect" r:blip="" hideGeom="1">
              <dgm:adjLst/>
            </dgm:shape>
            <dgm:presOf axis="ch desOrSelf" ptType="node node" st="7 1" cnt="1 0"/>
            <dgm:constrLst/>
            <dgm:ruleLst>
              <dgm:rule type="primFontSz" val="5" fact="NaN" max="NaN"/>
            </dgm:ruleLst>
          </dgm:layoutNode>
        </dgm:layoutNode>
      </dgm:if>
      <dgm:else name="Name55"/>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 Id="rId4" Type="http://schemas.openxmlformats.org/officeDocument/2006/relationships/image" Target="../media/image7.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502920</xdr:colOff>
      <xdr:row>45</xdr:row>
      <xdr:rowOff>167640</xdr:rowOff>
    </xdr:from>
    <xdr:to>
      <xdr:col>6</xdr:col>
      <xdr:colOff>175260</xdr:colOff>
      <xdr:row>60</xdr:row>
      <xdr:rowOff>167640</xdr:rowOff>
    </xdr:to>
    <xdr:graphicFrame macro="">
      <xdr:nvGraphicFramePr>
        <xdr:cNvPr id="2" name="Diagram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0</xdr:colOff>
      <xdr:row>31</xdr:row>
      <xdr:rowOff>0</xdr:rowOff>
    </xdr:from>
    <xdr:to>
      <xdr:col>27</xdr:col>
      <xdr:colOff>259080</xdr:colOff>
      <xdr:row>47</xdr:row>
      <xdr:rowOff>103781</xdr:rowOff>
    </xdr:to>
    <xdr:pic>
      <xdr:nvPicPr>
        <xdr:cNvPr id="3073" name="Picture 1">
          <a:extLst>
            <a:ext uri="{FF2B5EF4-FFF2-40B4-BE49-F238E27FC236}">
              <a16:creationId xmlns:a16="http://schemas.microsoft.com/office/drawing/2014/main" xmlns="" id="{00000000-0008-0000-0200-0000010C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1049000" y="5951220"/>
          <a:ext cx="7917180" cy="3235601"/>
        </a:xfrm>
        <a:prstGeom prst="rect">
          <a:avLst/>
        </a:prstGeom>
        <a:noFill/>
      </xdr:spPr>
    </xdr:pic>
    <xdr:clientData/>
  </xdr:twoCellAnchor>
  <xdr:twoCellAnchor>
    <xdr:from>
      <xdr:col>10</xdr:col>
      <xdr:colOff>510540</xdr:colOff>
      <xdr:row>154</xdr:row>
      <xdr:rowOff>22860</xdr:rowOff>
    </xdr:from>
    <xdr:to>
      <xdr:col>16</xdr:col>
      <xdr:colOff>243840</xdr:colOff>
      <xdr:row>166</xdr:row>
      <xdr:rowOff>76200</xdr:rowOff>
    </xdr:to>
    <xdr:graphicFrame macro="">
      <xdr:nvGraphicFramePr>
        <xdr:cNvPr id="10" name="Chart 9">
          <a:extLst>
            <a:ext uri="{FF2B5EF4-FFF2-40B4-BE49-F238E27FC236}">
              <a16:creationId xmlns:a16="http://schemas.microsoft.com/office/drawing/2014/main" xmlns=""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579120</xdr:colOff>
      <xdr:row>183</xdr:row>
      <xdr:rowOff>68580</xdr:rowOff>
    </xdr:from>
    <xdr:to>
      <xdr:col>16</xdr:col>
      <xdr:colOff>586740</xdr:colOff>
      <xdr:row>198</xdr:row>
      <xdr:rowOff>68580</xdr:rowOff>
    </xdr:to>
    <xdr:graphicFrame macro="">
      <xdr:nvGraphicFramePr>
        <xdr:cNvPr id="11" name="Chart 10">
          <a:extLst>
            <a:ext uri="{FF2B5EF4-FFF2-40B4-BE49-F238E27FC236}">
              <a16:creationId xmlns:a16="http://schemas.microsoft.com/office/drawing/2014/main" xmlns=""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213360</xdr:colOff>
      <xdr:row>54</xdr:row>
      <xdr:rowOff>91440</xdr:rowOff>
    </xdr:from>
    <xdr:to>
      <xdr:col>12</xdr:col>
      <xdr:colOff>510540</xdr:colOff>
      <xdr:row>63</xdr:row>
      <xdr:rowOff>167640</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297180</xdr:colOff>
      <xdr:row>138</xdr:row>
      <xdr:rowOff>137160</xdr:rowOff>
    </xdr:from>
    <xdr:to>
      <xdr:col>12</xdr:col>
      <xdr:colOff>228600</xdr:colOff>
      <xdr:row>151</xdr:row>
      <xdr:rowOff>60960</xdr:rowOff>
    </xdr:to>
    <xdr:graphicFrame macro="">
      <xdr:nvGraphicFramePr>
        <xdr:cNvPr id="3" name="Chart 2">
          <a:extLst>
            <a:ext uri="{FF2B5EF4-FFF2-40B4-BE49-F238E27FC236}">
              <a16:creationId xmlns:a16="http://schemas.microsoft.com/office/drawing/2014/main" xmlns=""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655320</xdr:colOff>
      <xdr:row>139</xdr:row>
      <xdr:rowOff>30480</xdr:rowOff>
    </xdr:from>
    <xdr:to>
      <xdr:col>16</xdr:col>
      <xdr:colOff>1455420</xdr:colOff>
      <xdr:row>151</xdr:row>
      <xdr:rowOff>68580</xdr:rowOff>
    </xdr:to>
    <xdr:graphicFrame macro="">
      <xdr:nvGraphicFramePr>
        <xdr:cNvPr id="4" name="Chart 3">
          <a:extLst>
            <a:ext uri="{FF2B5EF4-FFF2-40B4-BE49-F238E27FC236}">
              <a16:creationId xmlns:a16="http://schemas.microsoft.com/office/drawing/2014/main" xmlns=""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297180</xdr:colOff>
      <xdr:row>152</xdr:row>
      <xdr:rowOff>38100</xdr:rowOff>
    </xdr:from>
    <xdr:to>
      <xdr:col>12</xdr:col>
      <xdr:colOff>274320</xdr:colOff>
      <xdr:row>166</xdr:row>
      <xdr:rowOff>121920</xdr:rowOff>
    </xdr:to>
    <xdr:graphicFrame macro="">
      <xdr:nvGraphicFramePr>
        <xdr:cNvPr id="5" name="Chart 4">
          <a:extLst>
            <a:ext uri="{FF2B5EF4-FFF2-40B4-BE49-F238E27FC236}">
              <a16:creationId xmlns:a16="http://schemas.microsoft.com/office/drawing/2014/main" xmlns=""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693420</xdr:colOff>
      <xdr:row>152</xdr:row>
      <xdr:rowOff>83820</xdr:rowOff>
    </xdr:from>
    <xdr:to>
      <xdr:col>16</xdr:col>
      <xdr:colOff>1463040</xdr:colOff>
      <xdr:row>166</xdr:row>
      <xdr:rowOff>137160</xdr:rowOff>
    </xdr:to>
    <xdr:graphicFrame macro="">
      <xdr:nvGraphicFramePr>
        <xdr:cNvPr id="6" name="Chart 5">
          <a:extLst>
            <a:ext uri="{FF2B5EF4-FFF2-40B4-BE49-F238E27FC236}">
              <a16:creationId xmlns:a16="http://schemas.microsoft.com/office/drawing/2014/main" xmlns=""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960120</xdr:colOff>
      <xdr:row>271</xdr:row>
      <xdr:rowOff>68580</xdr:rowOff>
    </xdr:from>
    <xdr:to>
      <xdr:col>13</xdr:col>
      <xdr:colOff>243840</xdr:colOff>
      <xdr:row>284</xdr:row>
      <xdr:rowOff>158115</xdr:rowOff>
    </xdr:to>
    <xdr:sp macro="" textlink="">
      <xdr:nvSpPr>
        <xdr:cNvPr id="7" name="Rectangle 6"/>
        <xdr:cNvSpPr>
          <a:spLocks noTextEdit="1"/>
        </xdr:cNvSpPr>
      </xdr:nvSpPr>
      <xdr:spPr>
        <a:xfrm>
          <a:off x="9227820" y="49796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525780</xdr:colOff>
      <xdr:row>118</xdr:row>
      <xdr:rowOff>53340</xdr:rowOff>
    </xdr:from>
    <xdr:to>
      <xdr:col>15</xdr:col>
      <xdr:colOff>83820</xdr:colOff>
      <xdr:row>134</xdr:row>
      <xdr:rowOff>152400</xdr:rowOff>
    </xdr:to>
    <xdr:sp macro="" textlink="">
      <xdr:nvSpPr>
        <xdr:cNvPr id="5" name="Rounded Rectangle 4"/>
        <xdr:cNvSpPr/>
      </xdr:nvSpPr>
      <xdr:spPr>
        <a:xfrm>
          <a:off x="6835140" y="21983700"/>
          <a:ext cx="2606040" cy="3025140"/>
        </a:xfrm>
        <a:prstGeom prst="roundRect">
          <a:avLst/>
        </a:prstGeom>
        <a:blipFill>
          <a:blip xmlns:r="http://schemas.openxmlformats.org/officeDocument/2006/relationships" r:embed="rId1" cstate="print"/>
          <a:stretch>
            <a:fillRect/>
          </a:stretch>
        </a:blipFill>
        <a:ln>
          <a:prstDash val="sysDot"/>
        </a:ln>
        <a:effectLst>
          <a:outerShdw blurRad="1270000" sx="99000" sy="99000" algn="ctr" rotWithShape="0">
            <a:srgbClr val="000000"/>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editAs="oneCell">
    <xdr:from>
      <xdr:col>8</xdr:col>
      <xdr:colOff>60960</xdr:colOff>
      <xdr:row>62</xdr:row>
      <xdr:rowOff>129540</xdr:rowOff>
    </xdr:from>
    <xdr:to>
      <xdr:col>15</xdr:col>
      <xdr:colOff>480525</xdr:colOff>
      <xdr:row>81</xdr:row>
      <xdr:rowOff>176552</xdr:rowOff>
    </xdr:to>
    <xdr:pic>
      <xdr:nvPicPr>
        <xdr:cNvPr id="2" name="Picture 1"/>
        <xdr:cNvPicPr>
          <a:picLocks noChangeAspect="1"/>
        </xdr:cNvPicPr>
      </xdr:nvPicPr>
      <xdr:blipFill>
        <a:blip xmlns:r="http://schemas.openxmlformats.org/officeDocument/2006/relationships" r:embed="rId2"/>
        <a:stretch>
          <a:fillRect/>
        </a:stretch>
      </xdr:blipFill>
      <xdr:spPr>
        <a:xfrm>
          <a:off x="5151120" y="11689080"/>
          <a:ext cx="4686765" cy="3521732"/>
        </a:xfrm>
        <a:prstGeom prst="rect">
          <a:avLst/>
        </a:prstGeom>
      </xdr:spPr>
    </xdr:pic>
    <xdr:clientData/>
  </xdr:twoCellAnchor>
  <xdr:twoCellAnchor editAs="oneCell">
    <xdr:from>
      <xdr:col>15</xdr:col>
      <xdr:colOff>491366</xdr:colOff>
      <xdr:row>61</xdr:row>
      <xdr:rowOff>106680</xdr:rowOff>
    </xdr:from>
    <xdr:to>
      <xdr:col>22</xdr:col>
      <xdr:colOff>587173</xdr:colOff>
      <xdr:row>77</xdr:row>
      <xdr:rowOff>144780</xdr:rowOff>
    </xdr:to>
    <xdr:pic>
      <xdr:nvPicPr>
        <xdr:cNvPr id="4" name="Picture 3"/>
        <xdr:cNvPicPr>
          <a:picLocks noChangeAspect="1"/>
        </xdr:cNvPicPr>
      </xdr:nvPicPr>
      <xdr:blipFill>
        <a:blip xmlns:r="http://schemas.openxmlformats.org/officeDocument/2006/relationships" r:embed="rId3"/>
        <a:stretch>
          <a:fillRect/>
        </a:stretch>
      </xdr:blipFill>
      <xdr:spPr>
        <a:xfrm>
          <a:off x="9848726" y="11612880"/>
          <a:ext cx="4363007" cy="2964180"/>
        </a:xfrm>
        <a:prstGeom prst="rect">
          <a:avLst/>
        </a:prstGeom>
      </xdr:spPr>
    </xdr:pic>
    <xdr:clientData/>
  </xdr:twoCellAnchor>
  <xdr:twoCellAnchor editAs="oneCell">
    <xdr:from>
      <xdr:col>14</xdr:col>
      <xdr:colOff>160020</xdr:colOff>
      <xdr:row>101</xdr:row>
      <xdr:rowOff>129540</xdr:rowOff>
    </xdr:from>
    <xdr:to>
      <xdr:col>18</xdr:col>
      <xdr:colOff>502920</xdr:colOff>
      <xdr:row>116</xdr:row>
      <xdr:rowOff>167640</xdr:rowOff>
    </xdr:to>
    <xdr:pic>
      <xdr:nvPicPr>
        <xdr:cNvPr id="6158" name="Picture 14"/>
        <xdr:cNvPicPr>
          <a:picLocks noChangeAspect="1" noChangeArrowheads="1"/>
        </xdr:cNvPicPr>
      </xdr:nvPicPr>
      <xdr:blipFill>
        <a:blip xmlns:r="http://schemas.openxmlformats.org/officeDocument/2006/relationships" r:embed="rId4"/>
        <a:srcRect/>
        <a:stretch>
          <a:fillRect/>
        </a:stretch>
      </xdr:blipFill>
      <xdr:spPr bwMode="auto">
        <a:xfrm>
          <a:off x="8907780" y="18950940"/>
          <a:ext cx="2781300" cy="2781300"/>
        </a:xfrm>
        <a:prstGeom prst="rect">
          <a:avLst/>
        </a:prstGeom>
        <a:no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r:id="rId1" refreshedBy="Author" refreshedDate="45293.704123958334" createdVersion="3" refreshedVersion="3" minRefreshableVersion="3" recordCount="43">
  <cacheSource type="worksheet">
    <worksheetSource name="Table7"/>
  </cacheSource>
  <cacheFields count="8">
    <cacheField name="OrderDate" numFmtId="170">
      <sharedItems containsSemiMixedTypes="0" containsNonDate="0" containsDate="1" containsString="0" minDate="2018-01-06T00:00:00" maxDate="2019-12-22T00:00:00"/>
    </cacheField>
    <cacheField name="Region" numFmtId="0">
      <sharedItems/>
    </cacheField>
    <cacheField name="Manager" numFmtId="0">
      <sharedItems count="4">
        <s v="Martha"/>
        <s v="Hermann"/>
        <s v="Timothy"/>
        <s v="Douglas"/>
      </sharedItems>
    </cacheField>
    <cacheField name="SalesMan" numFmtId="0">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acheField>
    <cacheField name="Unit_price" numFmtId="169">
      <sharedItems containsSemiMixedTypes="0" containsString="0" containsNumber="1" minValue="58.5" maxValue="1198"/>
    </cacheField>
    <cacheField name="Sale_amt" numFmtId="169">
      <sharedItems containsSemiMixedTypes="0" containsString="0" containsNumber="1" minValue="250" maxValue="1138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5297.773685879627" createdVersion="3" refreshedVersion="3" minRefreshableVersion="3" recordCount="111">
  <cacheSource type="worksheet">
    <worksheetSource name="Table4"/>
  </cacheSource>
  <cacheFields count="21">
    <cacheField name="Row ID" numFmtId="0">
      <sharedItems containsSemiMixedTypes="0" containsString="0" containsNumber="1" containsInteger="1" minValue="1" maxValue="111"/>
    </cacheField>
    <cacheField name="Order ID" numFmtId="0">
      <sharedItems/>
    </cacheField>
    <cacheField name="Order Date" numFmtId="14">
      <sharedItems containsSemiMixedTypes="0" containsNonDate="0" containsDate="1" containsString="0" minDate="2014-05-13T00:00:00" maxDate="2017-12-10T00:00:00"/>
    </cacheField>
    <cacheField name="Ship Date" numFmtId="14">
      <sharedItems containsSemiMixedTypes="0" containsNonDate="0" containsDate="1" containsString="0" minDate="2014-05-15T00:00:00" maxDate="2017-12-12T00:00:00"/>
    </cacheField>
    <cacheField name="Ship Mode" numFmtId="0">
      <sharedItems/>
    </cacheField>
    <cacheField name="Customer ID" numFmtId="0">
      <sharedItems/>
    </cacheField>
    <cacheField name="Customer Name" numFmtId="0">
      <sharedItems/>
    </cacheField>
    <cacheField name="Segment" numFmtId="0">
      <sharedItems/>
    </cacheField>
    <cacheField name="Country" numFmtId="0">
      <sharedItems count="1">
        <s v="United States"/>
      </sharedItems>
    </cacheField>
    <cacheField name="City" numFmtId="0">
      <sharedItems count="37">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haredItems>
    </cacheField>
    <cacheField name="State" numFmtId="0">
      <sharedItems count="23">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haredItems>
    </cacheField>
    <cacheField name="Postal Code" numFmtId="0">
      <sharedItems containsSemiMixedTypes="0" containsString="0" containsNumber="1" containsInteger="1" minValue="10009" maxValue="98103"/>
    </cacheField>
    <cacheField name="Region" numFmtId="0">
      <sharedItems count="4">
        <s v="South"/>
        <s v="West"/>
        <s v="Central"/>
        <s v="East"/>
      </sharedItems>
    </cacheField>
    <cacheField name="Product ID" numFmtId="0">
      <sharedItems/>
    </cacheField>
    <cacheField name="Category" numFmtId="0">
      <sharedItems/>
    </cacheField>
    <cacheField name="Sub-Category" numFmtId="0">
      <sharedItems/>
    </cacheField>
    <cacheField name="Product Name" numFmtId="0">
      <sharedItems/>
    </cacheField>
    <cacheField name="Sales" numFmtId="0">
      <sharedItems containsSemiMixedTypes="0" containsString="0" containsNumber="1" minValue="1.248" maxValue="3083.43"/>
    </cacheField>
    <cacheField name="Quantity" numFmtId="0">
      <sharedItems containsSemiMixedTypes="0" containsString="0" containsNumber="1" containsInteger="1" minValue="1" maxValue="9"/>
    </cacheField>
    <cacheField name="Discount" numFmtId="0">
      <sharedItems containsSemiMixedTypes="0" containsString="0" containsNumber="1" minValue="0" maxValue="0.8"/>
    </cacheField>
    <cacheField name="Profit" numFmtId="0">
      <sharedItems containsSemiMixedTypes="0" containsString="0" containsNumber="1" minValue="-1665.0522000000001" maxValue="298.6854999999999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5297.992894791663" createdVersion="3" refreshedVersion="3" minRefreshableVersion="3" recordCount="10">
  <cacheSource type="worksheet">
    <worksheetSource name="Table5"/>
  </cacheSource>
  <cacheFields count="6">
    <cacheField name="roll no" numFmtId="0">
      <sharedItems containsSemiMixedTypes="0" containsString="0" containsNumber="1" containsInteger="1" minValue="1" maxValue="10"/>
    </cacheField>
    <cacheField name="name" numFmtId="0">
      <sharedItems containsMixedTypes="1" containsNumber="1" containsInteger="1" minValue="1" maxValue="2" count="5">
        <s v="nidhi"/>
        <s v="navin"/>
        <s v="shah"/>
        <n v="1"/>
        <n v="2"/>
      </sharedItems>
    </cacheField>
    <cacheField name="sub1" numFmtId="0">
      <sharedItems containsSemiMixedTypes="0" containsString="0" containsNumber="1" containsInteger="1" minValue="50" maxValue="100"/>
    </cacheField>
    <cacheField name="sub2" numFmtId="0">
      <sharedItems containsSemiMixedTypes="0" containsString="0" containsNumber="1" containsInteger="1" minValue="60" maxValue="110"/>
    </cacheField>
    <cacheField name="sub3" numFmtId="0">
      <sharedItems containsSemiMixedTypes="0" containsString="0" containsNumber="1" containsInteger="1" minValue="100" maxValue="1000"/>
    </cacheField>
    <cacheField name="total" numFmtId="0">
      <sharedItems containsSemiMixedTypes="0" containsString="0" containsNumber="1" containsInteger="1" minValue="210" maxValue="1208"/>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uthor" refreshedDate="45299.854437615744" createdVersion="3" refreshedVersion="3" minRefreshableVersion="3" recordCount="26">
  <cacheSource type="worksheet">
    <worksheetSource name="Table6"/>
  </cacheSource>
  <cacheFields count="8">
    <cacheField name="id" numFmtId="0">
      <sharedItems containsSemiMixedTypes="0" containsString="0" containsNumber="1" containsInteger="1" minValue="1" maxValue="26"/>
    </cacheField>
    <cacheField name="duration" numFmtId="0">
      <sharedItems containsSemiMixedTypes="0" containsString="0" containsNumber="1" containsInteger="1" minValue="12" maxValue="112" count="26">
        <n v="12"/>
        <n v="16"/>
        <n v="20"/>
        <n v="24"/>
        <n v="28"/>
        <n v="32"/>
        <n v="36"/>
        <n v="40"/>
        <n v="44"/>
        <n v="48"/>
        <n v="52"/>
        <n v="56"/>
        <n v="60"/>
        <n v="64"/>
        <n v="68"/>
        <n v="72"/>
        <n v="76"/>
        <n v="80"/>
        <n v="84"/>
        <n v="88"/>
        <n v="92"/>
        <n v="96"/>
        <n v="100"/>
        <n v="104"/>
        <n v="108"/>
        <n v="112"/>
      </sharedItems>
      <fieldGroup base="1">
        <rangePr autoStart="0" startNum="0" endNum="112" groupInterval="35"/>
        <groupItems count="6">
          <s v="&lt;0"/>
          <s v="0-34"/>
          <s v="35-69"/>
          <s v="70-104"/>
          <s v="105-139"/>
          <s v="&gt;140"/>
        </groupItems>
      </fieldGroup>
    </cacheField>
    <cacheField name="amount" numFmtId="0">
      <sharedItems containsSemiMixedTypes="0" containsString="0" containsNumber="1" containsInteger="1" minValue="58" maxValue="308"/>
    </cacheField>
    <cacheField name="code" numFmtId="0">
      <sharedItems count="26">
        <s v="R01"/>
        <s v="R02"/>
        <s v="R03"/>
        <s v="R04"/>
        <s v="R05"/>
        <s v="R06"/>
        <s v="R07"/>
        <s v="R08"/>
        <s v="R09"/>
        <s v="R10"/>
        <s v="R11"/>
        <s v="R12"/>
        <s v="R13"/>
        <s v="R14"/>
        <s v="R15"/>
        <s v="R16"/>
        <s v="R17"/>
        <s v="R18"/>
        <s v="R19"/>
        <s v="R20"/>
        <s v="R21"/>
        <s v="R22"/>
        <s v="R23"/>
        <s v="R24"/>
        <s v="R25"/>
        <s v="R26"/>
      </sharedItems>
    </cacheField>
    <cacheField name="date" numFmtId="170">
      <sharedItems containsSemiMixedTypes="0" containsNonDate="0" containsDate="1" containsString="0" minDate="2018-01-06T00:00:00" maxDate="2019-03-08T00:00:00"/>
    </cacheField>
    <cacheField name="month" numFmtId="0">
      <sharedItems count="12">
        <s v="January"/>
        <s v="February"/>
        <s v="March"/>
        <s v="April"/>
        <s v="May"/>
        <s v="June"/>
        <s v="July"/>
        <s v="August"/>
        <s v="September"/>
        <s v="October"/>
        <s v="November"/>
        <s v="December"/>
      </sharedItems>
    </cacheField>
    <cacheField name="day" numFmtId="0">
      <sharedItems/>
    </cacheField>
    <cacheField name="year"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Author" refreshedDate="45299.999639583337" createdVersion="3" refreshedVersion="3" minRefreshableVersion="3" recordCount="26">
  <cacheSource type="worksheet">
    <worksheetSource name="Table611"/>
  </cacheSource>
  <cacheFields count="9">
    <cacheField name="customer id" numFmtId="0">
      <sharedItems containsSemiMixedTypes="0" containsString="0" containsNumber="1" containsInteger="1" minValue="1" maxValue="26" count="26">
        <n v="1"/>
        <n v="2"/>
        <n v="3"/>
        <n v="4"/>
        <n v="5"/>
        <n v="6"/>
        <n v="7"/>
        <n v="8"/>
        <n v="9"/>
        <n v="10"/>
        <n v="11"/>
        <n v="12"/>
        <n v="13"/>
        <n v="14"/>
        <n v="15"/>
        <n v="16"/>
        <n v="17"/>
        <n v="18"/>
        <n v="19"/>
        <n v="20"/>
        <n v="21"/>
        <n v="22"/>
        <n v="23"/>
        <n v="24"/>
        <n v="25"/>
        <n v="26"/>
      </sharedItems>
      <fieldGroup base="0">
        <rangePr startNum="1" endNum="26" groupInterval="10"/>
        <groupItems count="5">
          <s v="&lt;1"/>
          <s v="1-10"/>
          <s v="11-20"/>
          <s v="21-30"/>
          <s v="&gt;31"/>
        </groupItems>
      </fieldGroup>
    </cacheField>
    <cacheField name="duration" numFmtId="0">
      <sharedItems containsSemiMixedTypes="0" containsString="0" containsNumber="1" containsInteger="1" minValue="12" maxValue="112"/>
    </cacheField>
    <cacheField name="purchase amount" numFmtId="0">
      <sharedItems containsSemiMixedTypes="0" containsString="0" containsNumber="1" containsInteger="1" minValue="58" maxValue="308"/>
    </cacheField>
    <cacheField name="representative" numFmtId="0">
      <sharedItems count="26">
        <s v="R01"/>
        <s v="R02"/>
        <s v="R03"/>
        <s v="R04"/>
        <s v="R05"/>
        <s v="R06"/>
        <s v="R07"/>
        <s v="R08"/>
        <s v="R09"/>
        <s v="R10"/>
        <s v="R11"/>
        <s v="R12"/>
        <s v="R13"/>
        <s v="R14"/>
        <s v="R15"/>
        <s v="R16"/>
        <s v="R17"/>
        <s v="R18"/>
        <s v="R19"/>
        <s v="R20"/>
        <s v="R21"/>
        <s v="R22"/>
        <s v="R23"/>
        <s v="R24"/>
        <s v="R25"/>
        <s v="R26"/>
      </sharedItems>
    </cacheField>
    <cacheField name="date" numFmtId="170">
      <sharedItems containsSemiMixedTypes="0" containsNonDate="0" containsDate="1" containsString="0" minDate="2018-01-06T00:00:00" maxDate="2019-03-08T00:00:00" count="26">
        <d v="2018-01-06T00:00:00"/>
        <d v="2018-01-23T00:00:00"/>
        <d v="2018-02-09T00:00:00"/>
        <d v="2018-02-26T00:00:00"/>
        <d v="2018-03-15T00:00:00"/>
        <d v="2018-04-01T00:00:00"/>
        <d v="2018-04-18T00:00:00"/>
        <d v="2018-05-05T00:00:00"/>
        <d v="2018-05-22T00:00:00"/>
        <d v="2018-06-08T00:00:00"/>
        <d v="2018-06-25T00:00:00"/>
        <d v="2018-07-12T00:00:00"/>
        <d v="2018-07-29T00:00:00"/>
        <d v="2018-08-15T00:00:00"/>
        <d v="2018-09-01T00:00:00"/>
        <d v="2018-09-18T00:00:00"/>
        <d v="2018-10-05T00:00:00"/>
        <d v="2018-10-22T00:00:00"/>
        <d v="2018-11-08T00:00:00"/>
        <d v="2018-11-25T00:00:00"/>
        <d v="2018-12-12T00:00:00"/>
        <d v="2018-12-29T00:00:00"/>
        <d v="2019-01-15T00:00:00"/>
        <d v="2019-02-01T00:00:00"/>
        <d v="2019-02-18T00:00:00"/>
        <d v="2019-03-07T00:00:00"/>
      </sharedItems>
      <fieldGroup par="8" base="4">
        <rangePr groupBy="months" startDate="2018-01-06T00:00:00" endDate="2019-03-08T00:00:00"/>
        <groupItems count="14">
          <s v="&lt;06-01-2018"/>
          <s v="Jan"/>
          <s v="Feb"/>
          <s v="Mar"/>
          <s v="Apr"/>
          <s v="May"/>
          <s v="Jun"/>
          <s v="Jul"/>
          <s v="Aug"/>
          <s v="Sep"/>
          <s v="Oct"/>
          <s v="Nov"/>
          <s v="Dec"/>
          <s v="&gt;08-03-2019"/>
        </groupItems>
      </fieldGroup>
    </cacheField>
    <cacheField name="month" numFmtId="0">
      <sharedItems/>
    </cacheField>
    <cacheField name="day" numFmtId="0">
      <sharedItems/>
    </cacheField>
    <cacheField name="year" numFmtId="0">
      <sharedItems/>
    </cacheField>
    <cacheField name="Years" numFmtId="0" databaseField="0">
      <fieldGroup base="4">
        <rangePr groupBy="years" startDate="2018-01-06T00:00:00" endDate="2019-03-08T00:00:00"/>
        <groupItems count="4">
          <s v="&lt;06-01-2018"/>
          <s v="2018"/>
          <s v="2019"/>
          <s v="&gt;08-03-2019"/>
        </groupItems>
      </fieldGroup>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Author" refreshedDate="45301.482937731482" createdVersion="3" refreshedVersion="3" minRefreshableVersion="3" recordCount="15">
  <cacheSource type="external" connectionId="1"/>
  <cacheFields count="5">
    <cacheField name="customer id" numFmtId="0">
      <sharedItems containsSemiMixedTypes="0" containsString="0" containsNumber="1" containsInteger="1" minValue="1" maxValue="15" count="15">
        <n v="1"/>
        <n v="2"/>
        <n v="3"/>
        <n v="4"/>
        <n v="5"/>
        <n v="6"/>
        <n v="7"/>
        <n v="8"/>
        <n v="9"/>
        <n v="10"/>
        <n v="11"/>
        <n v="12"/>
        <n v="13"/>
        <n v="14"/>
        <n v="15"/>
      </sharedItems>
    </cacheField>
    <cacheField name="duration" numFmtId="0">
      <sharedItems containsSemiMixedTypes="0" containsString="0" containsNumber="1" containsInteger="1" minValue="12" maxValue="68" count="15">
        <n v="12"/>
        <n v="16"/>
        <n v="20"/>
        <n v="24"/>
        <n v="28"/>
        <n v="32"/>
        <n v="36"/>
        <n v="40"/>
        <n v="44"/>
        <n v="48"/>
        <n v="52"/>
        <n v="56"/>
        <n v="60"/>
        <n v="64"/>
        <n v="68"/>
      </sharedItems>
    </cacheField>
    <cacheField name="purchase amount" numFmtId="0">
      <sharedItems containsSemiMixedTypes="0" containsString="0" containsNumber="1" containsInteger="1" minValue="58" maxValue="198" count="15">
        <n v="58"/>
        <n v="68"/>
        <n v="78"/>
        <n v="88"/>
        <n v="98"/>
        <n v="108"/>
        <n v="118"/>
        <n v="128"/>
        <n v="138"/>
        <n v="148"/>
        <n v="158"/>
        <n v="168"/>
        <n v="178"/>
        <n v="188"/>
        <n v="198"/>
      </sharedItems>
    </cacheField>
    <cacheField name="representative" numFmtId="0">
      <sharedItems count="15">
        <s v="R01"/>
        <s v="R02"/>
        <s v="R03"/>
        <s v="R04"/>
        <s v="R05"/>
        <s v="R06"/>
        <s v="R07"/>
        <s v="R08"/>
        <s v="R09"/>
        <s v="R10"/>
        <s v="R11"/>
        <s v="R12"/>
        <s v="R13"/>
        <s v="R14"/>
        <s v="R15"/>
      </sharedItems>
    </cacheField>
    <cacheField name="date" numFmtId="0">
      <sharedItems containsSemiMixedTypes="0" containsString="0" containsNumber="1" containsInteger="1" minValue="43106" maxValue="43344" count="15">
        <n v="43106"/>
        <n v="43123"/>
        <n v="43140"/>
        <n v="43157"/>
        <n v="43174"/>
        <n v="43191"/>
        <n v="43208"/>
        <n v="43225"/>
        <n v="43242"/>
        <n v="43259"/>
        <n v="43276"/>
        <n v="43293"/>
        <n v="43310"/>
        <n v="43327"/>
        <n v="43344"/>
      </sharedItems>
    </cacheField>
  </cacheFields>
  <extLst>
    <ext xmlns:x14="http://schemas.microsoft.com/office/spreadsheetml/2009/9/main" uri="{725AE2AE-9491-48be-B2B4-4EB974FC3084}">
      <x14:pivotCacheDefinition pivotCacheId="1872785341"/>
    </ext>
  </extLst>
</pivotCacheDefinition>
</file>

<file path=xl/pivotCache/pivotCacheDefinition7.xml><?xml version="1.0" encoding="utf-8"?>
<pivotCacheDefinition xmlns="http://schemas.openxmlformats.org/spreadsheetml/2006/main" xmlns:r="http://schemas.openxmlformats.org/officeDocument/2006/relationships" r:id="rId1" refreshOnLoad="1" refreshedBy="Author" refreshedDate="45306.641926620374" createdVersion="3" refreshedVersion="3" minRefreshableVersion="3" recordCount="10">
  <cacheSource type="worksheet">
    <worksheetSource name="Table8[#All]"/>
  </cacheSource>
  <cacheFields count="3">
    <cacheField name="date" numFmtId="16">
      <sharedItems containsSemiMixedTypes="0" containsNonDate="0" containsDate="1" containsString="0" minDate="2024-01-02T00:00:00" maxDate="2024-01-12T00:00:00" count="10">
        <d v="2024-01-02T00:00:00"/>
        <d v="2024-01-03T00:00:00"/>
        <d v="2024-01-04T00:00:00"/>
        <d v="2024-01-05T00:00:00"/>
        <d v="2024-01-06T00:00:00"/>
        <d v="2024-01-07T00:00:00"/>
        <d v="2024-01-08T00:00:00"/>
        <d v="2024-01-09T00:00:00"/>
        <d v="2024-01-10T00:00:00"/>
        <d v="2024-01-11T00:00:00"/>
      </sharedItems>
    </cacheField>
    <cacheField name="regions" numFmtId="0">
      <sharedItems count="1">
        <s v="cetral"/>
      </sharedItems>
    </cacheField>
    <cacheField name="value" numFmtId="0">
      <sharedItems containsSemiMixedTypes="0" containsString="0" containsNumber="1" containsInteger="1" minValue="12" maxValue="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
  <r>
    <d v="2018-01-06T00:00:00"/>
    <s v="East"/>
    <x v="0"/>
    <s v="Alexander"/>
    <x v="0"/>
    <n v="95"/>
    <n v="1198"/>
    <n v="113810"/>
  </r>
  <r>
    <d v="2018-01-23T00:00:00"/>
    <s v="Central"/>
    <x v="1"/>
    <s v="Shelli"/>
    <x v="1"/>
    <n v="50"/>
    <n v="500"/>
    <n v="25000"/>
  </r>
  <r>
    <d v="2018-02-09T00:00:00"/>
    <s v="Central"/>
    <x v="1"/>
    <s v="Luis"/>
    <x v="0"/>
    <n v="36"/>
    <n v="1198"/>
    <n v="43128"/>
  </r>
  <r>
    <d v="2018-02-26T00:00:00"/>
    <s v="Central"/>
    <x v="2"/>
    <s v="David"/>
    <x v="2"/>
    <n v="27"/>
    <n v="225"/>
    <n v="6075"/>
  </r>
  <r>
    <d v="2018-03-15T00:00:00"/>
    <s v="West"/>
    <x v="2"/>
    <s v="Stephen"/>
    <x v="0"/>
    <n v="56"/>
    <n v="1198"/>
    <n v="67088"/>
  </r>
  <r>
    <d v="2018-04-01T00:00:00"/>
    <s v="East"/>
    <x v="0"/>
    <s v="Alexander"/>
    <x v="1"/>
    <n v="60"/>
    <n v="500"/>
    <n v="30000"/>
  </r>
  <r>
    <d v="2018-04-18T00:00:00"/>
    <s v="Central"/>
    <x v="0"/>
    <s v="Steven"/>
    <x v="0"/>
    <n v="75"/>
    <n v="1198"/>
    <n v="89850"/>
  </r>
  <r>
    <d v="2018-05-05T00:00:00"/>
    <s v="Central"/>
    <x v="1"/>
    <s v="Luis"/>
    <x v="0"/>
    <n v="90"/>
    <n v="1198"/>
    <n v="107820"/>
  </r>
  <r>
    <d v="2018-05-22T00:00:00"/>
    <s v="West"/>
    <x v="3"/>
    <s v="Michael"/>
    <x v="0"/>
    <n v="32"/>
    <n v="1198"/>
    <n v="38336"/>
  </r>
  <r>
    <d v="2018-06-08T00:00:00"/>
    <s v="East"/>
    <x v="0"/>
    <s v="Alexander"/>
    <x v="1"/>
    <n v="60"/>
    <n v="500"/>
    <n v="30000"/>
  </r>
  <r>
    <d v="2018-06-25T00:00:00"/>
    <s v="Central"/>
    <x v="1"/>
    <s v="Sigal"/>
    <x v="0"/>
    <n v="90"/>
    <n v="1198"/>
    <n v="107820"/>
  </r>
  <r>
    <d v="2018-07-12T00:00:00"/>
    <s v="East"/>
    <x v="0"/>
    <s v="Diana"/>
    <x v="1"/>
    <n v="29"/>
    <n v="500"/>
    <n v="14500"/>
  </r>
  <r>
    <d v="2018-07-29T00:00:00"/>
    <s v="East"/>
    <x v="3"/>
    <s v="Karen"/>
    <x v="1"/>
    <n v="81"/>
    <n v="500"/>
    <n v="40500"/>
  </r>
  <r>
    <d v="2018-08-15T00:00:00"/>
    <s v="East"/>
    <x v="0"/>
    <s v="Alexander"/>
    <x v="0"/>
    <n v="35"/>
    <n v="1198"/>
    <n v="41930"/>
  </r>
  <r>
    <d v="2018-09-01T00:00:00"/>
    <s v="Central"/>
    <x v="3"/>
    <s v="John"/>
    <x v="3"/>
    <n v="2"/>
    <n v="125"/>
    <n v="250"/>
  </r>
  <r>
    <d v="2018-09-18T00:00:00"/>
    <s v="East"/>
    <x v="0"/>
    <s v="Alexander"/>
    <x v="4"/>
    <n v="16"/>
    <n v="58.5"/>
    <n v="936"/>
  </r>
  <r>
    <d v="2018-10-05T00:00:00"/>
    <s v="Central"/>
    <x v="1"/>
    <s v="Sigal"/>
    <x v="1"/>
    <n v="28"/>
    <n v="500"/>
    <n v="14000"/>
  </r>
  <r>
    <d v="2018-10-22T00:00:00"/>
    <s v="East"/>
    <x v="0"/>
    <s v="Alexander"/>
    <x v="2"/>
    <n v="64"/>
    <n v="225"/>
    <n v="14400"/>
  </r>
  <r>
    <d v="2018-11-08T00:00:00"/>
    <s v="East"/>
    <x v="3"/>
    <s v="Karen"/>
    <x v="2"/>
    <n v="15"/>
    <n v="225"/>
    <n v="3375"/>
  </r>
  <r>
    <d v="2018-11-25T00:00:00"/>
    <s v="Central"/>
    <x v="1"/>
    <s v="Shelli"/>
    <x v="4"/>
    <n v="96"/>
    <n v="58.5"/>
    <n v="5616"/>
  </r>
  <r>
    <d v="2018-12-12T00:00:00"/>
    <s v="Central"/>
    <x v="3"/>
    <s v="John"/>
    <x v="0"/>
    <n v="67"/>
    <n v="1198"/>
    <n v="80266"/>
  </r>
  <r>
    <d v="2018-12-29T00:00:00"/>
    <s v="East"/>
    <x v="3"/>
    <s v="Karen"/>
    <x v="4"/>
    <n v="74"/>
    <n v="58.5"/>
    <n v="4329"/>
  </r>
  <r>
    <d v="2019-01-15T00:00:00"/>
    <s v="Central"/>
    <x v="2"/>
    <s v="David"/>
    <x v="1"/>
    <n v="46"/>
    <n v="500"/>
    <n v="23000"/>
  </r>
  <r>
    <d v="2019-02-01T00:00:00"/>
    <s v="Central"/>
    <x v="3"/>
    <s v="John"/>
    <x v="1"/>
    <n v="87"/>
    <n v="500"/>
    <n v="43500"/>
  </r>
  <r>
    <d v="2019-02-18T00:00:00"/>
    <s v="East"/>
    <x v="0"/>
    <s v="Alexander"/>
    <x v="1"/>
    <n v="4"/>
    <n v="500"/>
    <n v="2000"/>
  </r>
  <r>
    <d v="2019-03-07T00:00:00"/>
    <s v="West"/>
    <x v="2"/>
    <s v="Stephen"/>
    <x v="1"/>
    <n v="7"/>
    <n v="500"/>
    <n v="3500"/>
  </r>
  <r>
    <d v="2019-03-24T00:00:00"/>
    <s v="Central"/>
    <x v="1"/>
    <s v="Luis"/>
    <x v="4"/>
    <n v="50"/>
    <n v="58.5"/>
    <n v="2925"/>
  </r>
  <r>
    <d v="2019-04-10T00:00:00"/>
    <s v="Central"/>
    <x v="0"/>
    <s v="Steven"/>
    <x v="0"/>
    <n v="66"/>
    <n v="1198"/>
    <n v="79068"/>
  </r>
  <r>
    <d v="2019-04-27T00:00:00"/>
    <s v="East"/>
    <x v="0"/>
    <s v="Diana"/>
    <x v="2"/>
    <n v="96"/>
    <n v="225"/>
    <n v="21600"/>
  </r>
  <r>
    <d v="2019-05-14T00:00:00"/>
    <s v="Central"/>
    <x v="2"/>
    <s v="David"/>
    <x v="0"/>
    <n v="53"/>
    <n v="1198"/>
    <n v="63494"/>
  </r>
  <r>
    <d v="2019-05-31T00:00:00"/>
    <s v="Central"/>
    <x v="2"/>
    <s v="David"/>
    <x v="1"/>
    <n v="80"/>
    <n v="500"/>
    <n v="40000"/>
  </r>
  <r>
    <d v="2019-06-17T00:00:00"/>
    <s v="Central"/>
    <x v="1"/>
    <s v="Shelli"/>
    <x v="3"/>
    <n v="5"/>
    <n v="125"/>
    <n v="625"/>
  </r>
  <r>
    <d v="2019-07-04T00:00:00"/>
    <s v="East"/>
    <x v="0"/>
    <s v="Alexander"/>
    <x v="4"/>
    <n v="62"/>
    <n v="58.5"/>
    <n v="3627"/>
  </r>
  <r>
    <d v="2019-07-21T00:00:00"/>
    <s v="Central"/>
    <x v="1"/>
    <s v="Sigal"/>
    <x v="4"/>
    <n v="55"/>
    <n v="58.5"/>
    <n v="3217.5"/>
  </r>
  <r>
    <d v="2019-08-07T00:00:00"/>
    <s v="Central"/>
    <x v="1"/>
    <s v="Shelli"/>
    <x v="4"/>
    <n v="42"/>
    <n v="58.5"/>
    <n v="2457"/>
  </r>
  <r>
    <d v="2019-08-24T00:00:00"/>
    <s v="West"/>
    <x v="2"/>
    <s v="Stephen"/>
    <x v="3"/>
    <n v="3"/>
    <n v="125"/>
    <n v="375"/>
  </r>
  <r>
    <d v="2019-09-10T00:00:00"/>
    <s v="Central"/>
    <x v="2"/>
    <s v="David"/>
    <x v="0"/>
    <n v="7"/>
    <n v="1198"/>
    <n v="8386"/>
  </r>
  <r>
    <d v="2019-09-27T00:00:00"/>
    <s v="West"/>
    <x v="2"/>
    <s v="Stephen"/>
    <x v="2"/>
    <n v="76"/>
    <n v="225"/>
    <n v="17100"/>
  </r>
  <r>
    <d v="2019-10-14T00:00:00"/>
    <s v="West"/>
    <x v="3"/>
    <s v="Michael"/>
    <x v="1"/>
    <n v="57"/>
    <n v="500"/>
    <n v="28500"/>
  </r>
  <r>
    <d v="2019-10-31T00:00:00"/>
    <s v="Central"/>
    <x v="0"/>
    <s v="Steven"/>
    <x v="0"/>
    <n v="14"/>
    <n v="1198"/>
    <n v="16772"/>
  </r>
  <r>
    <d v="2019-11-17T00:00:00"/>
    <s v="Central"/>
    <x v="1"/>
    <s v="Luis"/>
    <x v="1"/>
    <n v="11"/>
    <n v="500"/>
    <n v="5500"/>
  </r>
  <r>
    <d v="2019-12-04T00:00:00"/>
    <s v="Central"/>
    <x v="1"/>
    <s v="Luis"/>
    <x v="1"/>
    <n v="94"/>
    <n v="500"/>
    <n v="47000"/>
  </r>
  <r>
    <d v="2019-12-21T00:00:00"/>
    <s v="Central"/>
    <x v="0"/>
    <s v="Steven"/>
    <x v="1"/>
    <n v="28"/>
    <n v="500"/>
    <n v="14000"/>
  </r>
</pivotCacheRecords>
</file>

<file path=xl/pivotCache/pivotCacheRecords2.xml><?xml version="1.0" encoding="utf-8"?>
<pivotCacheRecords xmlns="http://schemas.openxmlformats.org/spreadsheetml/2006/main" xmlns:r="http://schemas.openxmlformats.org/officeDocument/2006/relationships" count="111">
  <r>
    <n v="1"/>
    <s v="CA-2016-152156"/>
    <d v="2016-11-08T00:00:00"/>
    <d v="2016-11-11T00:00:00"/>
    <s v="Second Class"/>
    <s v="CG-12520"/>
    <s v="Claire Gute"/>
    <s v="Consumer"/>
    <x v="0"/>
    <x v="0"/>
    <x v="0"/>
    <n v="42420"/>
    <x v="0"/>
    <s v="FUR-BO-10001798"/>
    <s v="Furniture"/>
    <s v="Bookcases"/>
    <s v="Bush Somerset Collection Bookcase"/>
    <n v="261.95999999999998"/>
    <n v="2"/>
    <n v="0"/>
    <n v="41.913600000000002"/>
  </r>
  <r>
    <n v="2"/>
    <s v="CA-2016-152156"/>
    <d v="2016-11-08T00:00:00"/>
    <d v="2016-11-11T00:00:00"/>
    <s v="Second Class"/>
    <s v="CG-12520"/>
    <s v="Claire Gute"/>
    <s v="Consumer"/>
    <x v="0"/>
    <x v="0"/>
    <x v="0"/>
    <n v="42420"/>
    <x v="0"/>
    <s v="FUR-CH-10000454"/>
    <s v="Furniture"/>
    <s v="Chairs"/>
    <s v="Hon Deluxe Fabric Upholstered Stacking Chairs, Rounded Back"/>
    <n v="731.94"/>
    <n v="3"/>
    <n v="0"/>
    <n v="219.58199999999999"/>
  </r>
  <r>
    <n v="3"/>
    <s v="CA-2016-138688"/>
    <d v="2016-06-12T00:00:00"/>
    <d v="2016-06-16T00:00:00"/>
    <s v="Second Class"/>
    <s v="DV-13045"/>
    <s v="Darrin Van Huff"/>
    <s v="Corporate"/>
    <x v="0"/>
    <x v="1"/>
    <x v="1"/>
    <n v="90036"/>
    <x v="1"/>
    <s v="OFF-LA-10000240"/>
    <s v="Office Supplies"/>
    <s v="Labels"/>
    <s v="Self-Adhesive Address Labels for Typewriters by Universal"/>
    <n v="14.62"/>
    <n v="2"/>
    <n v="0"/>
    <n v="6.8714000000000004"/>
  </r>
  <r>
    <n v="4"/>
    <s v="US-2015-108966"/>
    <d v="2015-10-11T00:00:00"/>
    <d v="2015-10-18T00:00:00"/>
    <s v="Standard Class"/>
    <s v="SO-20335"/>
    <s v="Sean O'Donnell"/>
    <s v="Consumer"/>
    <x v="0"/>
    <x v="2"/>
    <x v="2"/>
    <n v="33311"/>
    <x v="0"/>
    <s v="FUR-TA-10000577"/>
    <s v="Furniture"/>
    <s v="Tables"/>
    <s v="Bretford CR4500 Series Slim Rectangular Table"/>
    <n v="957.57749999999999"/>
    <n v="5"/>
    <n v="0.45"/>
    <n v="-383.03100000000001"/>
  </r>
  <r>
    <n v="5"/>
    <s v="US-2015-108966"/>
    <d v="2015-10-11T00:00:00"/>
    <d v="2015-10-18T00:00:00"/>
    <s v="Standard Class"/>
    <s v="SO-20335"/>
    <s v="Sean O'Donnell"/>
    <s v="Consumer"/>
    <x v="0"/>
    <x v="2"/>
    <x v="2"/>
    <n v="33311"/>
    <x v="0"/>
    <s v="OFF-ST-10000760"/>
    <s v="Office Supplies"/>
    <s v="Storage"/>
    <s v="Eldon Fold 'N Roll Cart System"/>
    <n v="22.367999999999999"/>
    <n v="2"/>
    <n v="0.2"/>
    <n v="2.5164"/>
  </r>
  <r>
    <n v="6"/>
    <s v="CA-2014-115812"/>
    <d v="2014-06-09T00:00:00"/>
    <d v="2014-06-14T00:00:00"/>
    <s v="Standard Class"/>
    <s v="BH-11710"/>
    <s v="Brosina Hoffman"/>
    <s v="Consumer"/>
    <x v="0"/>
    <x v="1"/>
    <x v="1"/>
    <n v="90032"/>
    <x v="1"/>
    <s v="FUR-FU-10001487"/>
    <s v="Furniture"/>
    <s v="Furnishings"/>
    <s v="Eldon Expressions Wood and Plastic Desk Accessories, Cherry Wood"/>
    <n v="48.86"/>
    <n v="7"/>
    <n v="0"/>
    <n v="14.1694"/>
  </r>
  <r>
    <n v="7"/>
    <s v="CA-2014-115812"/>
    <d v="2014-06-09T00:00:00"/>
    <d v="2014-06-14T00:00:00"/>
    <s v="Standard Class"/>
    <s v="BH-11710"/>
    <s v="Brosina Hoffman"/>
    <s v="Consumer"/>
    <x v="0"/>
    <x v="1"/>
    <x v="1"/>
    <n v="90032"/>
    <x v="1"/>
    <s v="OFF-AR-10002833"/>
    <s v="Office Supplies"/>
    <s v="Art"/>
    <s v="Newell 322"/>
    <n v="7.28"/>
    <n v="4"/>
    <n v="0"/>
    <n v="1.9656"/>
  </r>
  <r>
    <n v="8"/>
    <s v="CA-2014-115812"/>
    <d v="2014-06-09T00:00:00"/>
    <d v="2014-06-14T00:00:00"/>
    <s v="Standard Class"/>
    <s v="BH-11710"/>
    <s v="Brosina Hoffman"/>
    <s v="Consumer"/>
    <x v="0"/>
    <x v="1"/>
    <x v="1"/>
    <n v="90032"/>
    <x v="1"/>
    <s v="TEC-PH-10002275"/>
    <s v="Technology"/>
    <s v="Phones"/>
    <s v="Mitel 5320 IP Phone VoIP phone"/>
    <n v="907.15200000000004"/>
    <n v="6"/>
    <n v="0.2"/>
    <n v="90.715199999999996"/>
  </r>
  <r>
    <n v="9"/>
    <s v="CA-2014-115812"/>
    <d v="2014-06-09T00:00:00"/>
    <d v="2014-06-14T00:00:00"/>
    <s v="Standard Class"/>
    <s v="BH-11710"/>
    <s v="Brosina Hoffman"/>
    <s v="Consumer"/>
    <x v="0"/>
    <x v="1"/>
    <x v="1"/>
    <n v="90032"/>
    <x v="1"/>
    <s v="OFF-BI-10003910"/>
    <s v="Office Supplies"/>
    <s v="Binders"/>
    <s v="DXL Angle-View Binders with Locking Rings by Samsill"/>
    <n v="18.504000000000001"/>
    <n v="3"/>
    <n v="0.2"/>
    <n v="5.7824999999999998"/>
  </r>
  <r>
    <n v="10"/>
    <s v="CA-2014-115812"/>
    <d v="2014-06-09T00:00:00"/>
    <d v="2014-06-14T00:00:00"/>
    <s v="Standard Class"/>
    <s v="BH-11710"/>
    <s v="Brosina Hoffman"/>
    <s v="Consumer"/>
    <x v="0"/>
    <x v="1"/>
    <x v="1"/>
    <n v="90032"/>
    <x v="1"/>
    <s v="OFF-AP-10002892"/>
    <s v="Office Supplies"/>
    <s v="Appliances"/>
    <s v="Belkin F5C206VTEL 6 Outlet Surge"/>
    <n v="114.9"/>
    <n v="5"/>
    <n v="0"/>
    <n v="34.47"/>
  </r>
  <r>
    <n v="11"/>
    <s v="CA-2014-115812"/>
    <d v="2014-06-09T00:00:00"/>
    <d v="2014-06-14T00:00:00"/>
    <s v="Standard Class"/>
    <s v="BH-11710"/>
    <s v="Brosina Hoffman"/>
    <s v="Consumer"/>
    <x v="0"/>
    <x v="1"/>
    <x v="1"/>
    <n v="90032"/>
    <x v="1"/>
    <s v="FUR-TA-10001539"/>
    <s v="Furniture"/>
    <s v="Tables"/>
    <s v="Chromcraft Rectangular Conference Tables"/>
    <n v="1706.184"/>
    <n v="9"/>
    <n v="0.2"/>
    <n v="85.309200000000004"/>
  </r>
  <r>
    <n v="12"/>
    <s v="CA-2014-115812"/>
    <d v="2014-06-09T00:00:00"/>
    <d v="2014-06-14T00:00:00"/>
    <s v="Standard Class"/>
    <s v="BH-11710"/>
    <s v="Brosina Hoffman"/>
    <s v="Consumer"/>
    <x v="0"/>
    <x v="1"/>
    <x v="1"/>
    <n v="90032"/>
    <x v="1"/>
    <s v="TEC-PH-10002033"/>
    <s v="Technology"/>
    <s v="Phones"/>
    <s v="Konftel 250 Conference phone - Charcoal black"/>
    <n v="911.42399999999998"/>
    <n v="4"/>
    <n v="0.2"/>
    <n v="68.356800000000007"/>
  </r>
  <r>
    <n v="13"/>
    <s v="CA-2017-114412"/>
    <d v="2017-04-15T00:00:00"/>
    <d v="2017-04-20T00:00:00"/>
    <s v="Standard Class"/>
    <s v="AA-10480"/>
    <s v="Andrew Allen"/>
    <s v="Consumer"/>
    <x v="0"/>
    <x v="3"/>
    <x v="3"/>
    <n v="28027"/>
    <x v="0"/>
    <s v="OFF-PA-10002365"/>
    <s v="Office Supplies"/>
    <s v="Paper"/>
    <s v="Xerox 1967"/>
    <n v="15.552"/>
    <n v="3"/>
    <n v="0.2"/>
    <n v="5.4432"/>
  </r>
  <r>
    <n v="14"/>
    <s v="CA-2016-161389"/>
    <d v="2016-12-05T00:00:00"/>
    <d v="2016-12-10T00:00:00"/>
    <s v="Standard Class"/>
    <s v="IM-15070"/>
    <s v="Irene Maddox"/>
    <s v="Consumer"/>
    <x v="0"/>
    <x v="4"/>
    <x v="4"/>
    <n v="98103"/>
    <x v="1"/>
    <s v="OFF-BI-10003656"/>
    <s v="Office Supplies"/>
    <s v="Binders"/>
    <s v="Fellowes PB200 Plastic Comb Binding Machine"/>
    <n v="407.976"/>
    <n v="3"/>
    <n v="0.2"/>
    <n v="132.59219999999999"/>
  </r>
  <r>
    <n v="15"/>
    <s v="US-2015-118983"/>
    <d v="2015-11-22T00:00:00"/>
    <d v="2015-11-26T00:00:00"/>
    <s v="Standard Class"/>
    <s v="HP-14815"/>
    <s v="Harold Pawlan"/>
    <s v="Home Office"/>
    <x v="0"/>
    <x v="5"/>
    <x v="5"/>
    <n v="76106"/>
    <x v="2"/>
    <s v="OFF-AP-10002311"/>
    <s v="Office Supplies"/>
    <s v="Appliances"/>
    <s v="Holmes Replacement Filter for HEPA Air Cleaner, Very Large Room, HEPA Filter"/>
    <n v="68.81"/>
    <n v="5"/>
    <n v="0.8"/>
    <n v="-123.858"/>
  </r>
  <r>
    <n v="16"/>
    <s v="US-2015-118983"/>
    <d v="2015-11-22T00:00:00"/>
    <d v="2015-11-26T00:00:00"/>
    <s v="Standard Class"/>
    <s v="HP-14815"/>
    <s v="Harold Pawlan"/>
    <s v="Home Office"/>
    <x v="0"/>
    <x v="5"/>
    <x v="5"/>
    <n v="76106"/>
    <x v="2"/>
    <s v="OFF-BI-10000756"/>
    <s v="Office Supplies"/>
    <s v="Binders"/>
    <s v="Storex DuraTech Recycled Plastic Frosted Binders"/>
    <n v="2.544"/>
    <n v="3"/>
    <n v="0.8"/>
    <n v="-3.8159999999999998"/>
  </r>
  <r>
    <n v="17"/>
    <s v="CA-2014-105893"/>
    <d v="2014-11-11T00:00:00"/>
    <d v="2014-11-18T00:00:00"/>
    <s v="Standard Class"/>
    <s v="PK-19075"/>
    <s v="Pete Kriz"/>
    <s v="Consumer"/>
    <x v="0"/>
    <x v="6"/>
    <x v="6"/>
    <n v="53711"/>
    <x v="2"/>
    <s v="OFF-ST-10004186"/>
    <s v="Office Supplies"/>
    <s v="Storage"/>
    <s v="Stur-D-Stor Shelving, Vertical 5-Shelf: 72&quot;H x 36&quot;W x 18 1/2&quot;D"/>
    <n v="665.88"/>
    <n v="6"/>
    <n v="0"/>
    <n v="13.317600000000001"/>
  </r>
  <r>
    <n v="18"/>
    <s v="CA-2014-167164"/>
    <d v="2014-05-13T00:00:00"/>
    <d v="2014-05-15T00:00:00"/>
    <s v="Second Class"/>
    <s v="AG-10270"/>
    <s v="Alejandro Grove"/>
    <s v="Consumer"/>
    <x v="0"/>
    <x v="7"/>
    <x v="7"/>
    <n v="84084"/>
    <x v="1"/>
    <s v="OFF-ST-10000107"/>
    <s v="Office Supplies"/>
    <s v="Storage"/>
    <s v="Fellowes Super Stor/Drawer"/>
    <n v="55.5"/>
    <n v="2"/>
    <n v="0"/>
    <n v="9.99"/>
  </r>
  <r>
    <n v="19"/>
    <s v="CA-2014-143336"/>
    <d v="2014-08-27T00:00:00"/>
    <d v="2014-09-01T00:00:00"/>
    <s v="Second Class"/>
    <s v="ZD-21925"/>
    <s v="Zuschuss Donatelli"/>
    <s v="Consumer"/>
    <x v="0"/>
    <x v="8"/>
    <x v="1"/>
    <n v="94109"/>
    <x v="1"/>
    <s v="OFF-AR-10003056"/>
    <s v="Office Supplies"/>
    <s v="Art"/>
    <s v="Newell 341"/>
    <n v="8.56"/>
    <n v="2"/>
    <n v="0"/>
    <n v="2.4824000000000002"/>
  </r>
  <r>
    <n v="20"/>
    <s v="CA-2014-143336"/>
    <d v="2014-08-27T00:00:00"/>
    <d v="2014-09-01T00:00:00"/>
    <s v="Second Class"/>
    <s v="ZD-21925"/>
    <s v="Zuschuss Donatelli"/>
    <s v="Consumer"/>
    <x v="0"/>
    <x v="8"/>
    <x v="1"/>
    <n v="94109"/>
    <x v="1"/>
    <s v="TEC-PH-10001949"/>
    <s v="Technology"/>
    <s v="Phones"/>
    <s v="Cisco SPA 501G IP Phone"/>
    <n v="213.48"/>
    <n v="3"/>
    <n v="0.2"/>
    <n v="16.010999999999999"/>
  </r>
  <r>
    <n v="21"/>
    <s v="CA-2014-143336"/>
    <d v="2014-08-27T00:00:00"/>
    <d v="2014-09-01T00:00:00"/>
    <s v="Second Class"/>
    <s v="ZD-21925"/>
    <s v="Zuschuss Donatelli"/>
    <s v="Consumer"/>
    <x v="0"/>
    <x v="8"/>
    <x v="1"/>
    <n v="94109"/>
    <x v="1"/>
    <s v="OFF-BI-10002215"/>
    <s v="Office Supplies"/>
    <s v="Binders"/>
    <s v="Wilson Jones Hanging View Binder, White, 1&quot;"/>
    <n v="22.72"/>
    <n v="4"/>
    <n v="0.2"/>
    <n v="7.3840000000000003"/>
  </r>
  <r>
    <n v="22"/>
    <s v="CA-2016-137330"/>
    <d v="2016-12-09T00:00:00"/>
    <d v="2016-12-13T00:00:00"/>
    <s v="Standard Class"/>
    <s v="KB-16585"/>
    <s v="Ken Black"/>
    <s v="Corporate"/>
    <x v="0"/>
    <x v="9"/>
    <x v="8"/>
    <n v="68025"/>
    <x v="2"/>
    <s v="OFF-AR-10000246"/>
    <s v="Office Supplies"/>
    <s v="Art"/>
    <s v="Newell 318"/>
    <n v="19.46"/>
    <n v="7"/>
    <n v="0"/>
    <n v="5.0595999999999997"/>
  </r>
  <r>
    <n v="23"/>
    <s v="CA-2016-137330"/>
    <d v="2016-12-09T00:00:00"/>
    <d v="2016-12-13T00:00:00"/>
    <s v="Standard Class"/>
    <s v="KB-16585"/>
    <s v="Ken Black"/>
    <s v="Corporate"/>
    <x v="0"/>
    <x v="9"/>
    <x v="8"/>
    <n v="68025"/>
    <x v="2"/>
    <s v="OFF-AP-10001492"/>
    <s v="Office Supplies"/>
    <s v="Appliances"/>
    <s v="Acco Six-Outlet Power Strip, 4' Cord Length"/>
    <n v="60.34"/>
    <n v="7"/>
    <n v="0"/>
    <n v="15.6884"/>
  </r>
  <r>
    <n v="24"/>
    <s v="US-2017-156909"/>
    <d v="2017-07-16T00:00:00"/>
    <d v="2017-07-18T00:00:00"/>
    <s v="Second Class"/>
    <s v="SF-20065"/>
    <s v="Sandra Flanagan"/>
    <s v="Consumer"/>
    <x v="0"/>
    <x v="10"/>
    <x v="9"/>
    <n v="19140"/>
    <x v="3"/>
    <s v="FUR-CH-10002774"/>
    <s v="Furniture"/>
    <s v="Chairs"/>
    <s v="Global Deluxe Stacking Chair, Gray"/>
    <n v="71.372"/>
    <n v="2"/>
    <n v="0.3"/>
    <n v="-1.0196000000000001"/>
  </r>
  <r>
    <n v="25"/>
    <s v="CA-2015-106320"/>
    <d v="2015-09-25T00:00:00"/>
    <d v="2015-09-30T00:00:00"/>
    <s v="Standard Class"/>
    <s v="EB-13870"/>
    <s v="Emily Burns"/>
    <s v="Consumer"/>
    <x v="0"/>
    <x v="11"/>
    <x v="7"/>
    <n v="84057"/>
    <x v="1"/>
    <s v="FUR-TA-10000577"/>
    <s v="Furniture"/>
    <s v="Tables"/>
    <s v="Bretford CR4500 Series Slim Rectangular Table"/>
    <n v="1044.6300000000001"/>
    <n v="3"/>
    <n v="0"/>
    <n v="240.26490000000001"/>
  </r>
  <r>
    <n v="26"/>
    <s v="CA-2016-121755"/>
    <d v="2016-01-16T00:00:00"/>
    <d v="2016-01-20T00:00:00"/>
    <s v="Second Class"/>
    <s v="EH-13945"/>
    <s v="Eric Hoffmann"/>
    <s v="Consumer"/>
    <x v="0"/>
    <x v="1"/>
    <x v="1"/>
    <n v="90049"/>
    <x v="1"/>
    <s v="OFF-BI-10001634"/>
    <s v="Office Supplies"/>
    <s v="Binders"/>
    <s v="Wilson Jones Active Use Binders"/>
    <n v="11.648"/>
    <n v="2"/>
    <n v="0.2"/>
    <n v="4.2224000000000004"/>
  </r>
  <r>
    <n v="27"/>
    <s v="CA-2016-121755"/>
    <d v="2016-01-16T00:00:00"/>
    <d v="2016-01-20T00:00:00"/>
    <s v="Second Class"/>
    <s v="EH-13945"/>
    <s v="Eric Hoffmann"/>
    <s v="Consumer"/>
    <x v="0"/>
    <x v="1"/>
    <x v="1"/>
    <n v="90049"/>
    <x v="1"/>
    <s v="TEC-AC-10003027"/>
    <s v="Technology"/>
    <s v="Accessories"/>
    <s v="Imation 8GB Mini TravelDrive USB 2.0 Flash Drive"/>
    <n v="90.57"/>
    <n v="3"/>
    <n v="0"/>
    <n v="11.774100000000001"/>
  </r>
  <r>
    <n v="28"/>
    <s v="US-2015-150630"/>
    <d v="2015-09-17T00:00:00"/>
    <d v="2015-09-21T00:00:00"/>
    <s v="Standard Class"/>
    <s v="TB-21520"/>
    <s v="Tracy Blumstein"/>
    <s v="Consumer"/>
    <x v="0"/>
    <x v="10"/>
    <x v="9"/>
    <n v="19140"/>
    <x v="3"/>
    <s v="FUR-BO-10004834"/>
    <s v="Furniture"/>
    <s v="Bookcases"/>
    <s v="Riverside Palais Royal Lawyers Bookcase, Royale Cherry Finish"/>
    <n v="3083.43"/>
    <n v="7"/>
    <n v="0.5"/>
    <n v="-1665.0522000000001"/>
  </r>
  <r>
    <n v="29"/>
    <s v="US-2015-150630"/>
    <d v="2015-09-17T00:00:00"/>
    <d v="2015-09-21T00:00:00"/>
    <s v="Standard Class"/>
    <s v="TB-21520"/>
    <s v="Tracy Blumstein"/>
    <s v="Consumer"/>
    <x v="0"/>
    <x v="10"/>
    <x v="9"/>
    <n v="19140"/>
    <x v="3"/>
    <s v="OFF-BI-10000474"/>
    <s v="Office Supplies"/>
    <s v="Binders"/>
    <s v="Avery Recycled Flexi-View Covers for Binding Systems"/>
    <n v="9.6180000000000003"/>
    <n v="2"/>
    <n v="0.7"/>
    <n v="-7.0532000000000004"/>
  </r>
  <r>
    <n v="30"/>
    <s v="US-2015-150630"/>
    <d v="2015-09-17T00:00:00"/>
    <d v="2015-09-21T00:00:00"/>
    <s v="Standard Class"/>
    <s v="TB-21520"/>
    <s v="Tracy Blumstein"/>
    <s v="Consumer"/>
    <x v="0"/>
    <x v="10"/>
    <x v="9"/>
    <n v="19140"/>
    <x v="3"/>
    <s v="FUR-FU-10004848"/>
    <s v="Furniture"/>
    <s v="Furnishings"/>
    <s v="Howard Miller 13-3/4&quot; Diameter Brushed Chrome Round Wall Clock"/>
    <n v="124.2"/>
    <n v="3"/>
    <n v="0.2"/>
    <n v="15.525"/>
  </r>
  <r>
    <n v="31"/>
    <s v="US-2015-150630"/>
    <d v="2015-09-17T00:00:00"/>
    <d v="2015-09-21T00:00:00"/>
    <s v="Standard Class"/>
    <s v="TB-21520"/>
    <s v="Tracy Blumstein"/>
    <s v="Consumer"/>
    <x v="0"/>
    <x v="10"/>
    <x v="9"/>
    <n v="19140"/>
    <x v="3"/>
    <s v="OFF-EN-10001509"/>
    <s v="Office Supplies"/>
    <s v="Envelopes"/>
    <s v="Poly String Tie Envelopes"/>
    <n v="3.2639999999999998"/>
    <n v="2"/>
    <n v="0.2"/>
    <n v="1.1015999999999999"/>
  </r>
  <r>
    <n v="32"/>
    <s v="US-2015-150630"/>
    <d v="2015-09-17T00:00:00"/>
    <d v="2015-09-21T00:00:00"/>
    <s v="Standard Class"/>
    <s v="TB-21520"/>
    <s v="Tracy Blumstein"/>
    <s v="Consumer"/>
    <x v="0"/>
    <x v="10"/>
    <x v="9"/>
    <n v="19140"/>
    <x v="3"/>
    <s v="OFF-AR-10004042"/>
    <s v="Office Supplies"/>
    <s v="Art"/>
    <s v="BOSTON Model 1800 Electric Pencil Sharpeners, Putty/Woodgrain"/>
    <n v="86.304000000000002"/>
    <n v="6"/>
    <n v="0.2"/>
    <n v="9.7091999999999992"/>
  </r>
  <r>
    <n v="33"/>
    <s v="US-2015-150630"/>
    <d v="2015-09-17T00:00:00"/>
    <d v="2015-09-21T00:00:00"/>
    <s v="Standard Class"/>
    <s v="TB-21520"/>
    <s v="Tracy Blumstein"/>
    <s v="Consumer"/>
    <x v="0"/>
    <x v="10"/>
    <x v="9"/>
    <n v="19140"/>
    <x v="3"/>
    <s v="OFF-BI-10001525"/>
    <s v="Office Supplies"/>
    <s v="Binders"/>
    <s v="Acco Pressboard Covers with Storage Hooks, 14 7/8&quot; x 11&quot;, Executive Red"/>
    <n v="6.8579999999999997"/>
    <n v="6"/>
    <n v="0.7"/>
    <n v="-5.7149999999999999"/>
  </r>
  <r>
    <n v="34"/>
    <s v="US-2015-150630"/>
    <d v="2015-09-17T00:00:00"/>
    <d v="2015-09-21T00:00:00"/>
    <s v="Standard Class"/>
    <s v="TB-21520"/>
    <s v="Tracy Blumstein"/>
    <s v="Consumer"/>
    <x v="0"/>
    <x v="10"/>
    <x v="9"/>
    <n v="19140"/>
    <x v="3"/>
    <s v="OFF-AR-10001683"/>
    <s v="Office Supplies"/>
    <s v="Art"/>
    <s v="Lumber Crayons"/>
    <n v="15.76"/>
    <n v="2"/>
    <n v="0.2"/>
    <n v="3.5459999999999998"/>
  </r>
  <r>
    <n v="35"/>
    <s v="CA-2017-107727"/>
    <d v="2017-10-19T00:00:00"/>
    <d v="2017-10-23T00:00:00"/>
    <s v="Second Class"/>
    <s v="MA-17560"/>
    <s v="Matt Abelman"/>
    <s v="Home Office"/>
    <x v="0"/>
    <x v="12"/>
    <x v="5"/>
    <n v="77095"/>
    <x v="2"/>
    <s v="OFF-PA-10000249"/>
    <s v="Office Supplies"/>
    <s v="Paper"/>
    <s v="Easy-staple paper"/>
    <n v="29.472000000000001"/>
    <n v="3"/>
    <n v="0.2"/>
    <n v="9.9467999999999996"/>
  </r>
  <r>
    <n v="36"/>
    <s v="CA-2016-117590"/>
    <d v="2016-12-08T00:00:00"/>
    <d v="2016-12-10T00:00:00"/>
    <s v="First Class"/>
    <s v="GH-14485"/>
    <s v="Gene Hale"/>
    <s v="Corporate"/>
    <x v="0"/>
    <x v="13"/>
    <x v="5"/>
    <n v="75080"/>
    <x v="2"/>
    <s v="TEC-PH-10004977"/>
    <s v="Technology"/>
    <s v="Phones"/>
    <s v="GE 30524EE4"/>
    <n v="1097.5440000000001"/>
    <n v="7"/>
    <n v="0.2"/>
    <n v="123.47369999999999"/>
  </r>
  <r>
    <n v="37"/>
    <s v="CA-2016-117590"/>
    <d v="2016-12-08T00:00:00"/>
    <d v="2016-12-10T00:00:00"/>
    <s v="First Class"/>
    <s v="GH-14485"/>
    <s v="Gene Hale"/>
    <s v="Corporate"/>
    <x v="0"/>
    <x v="13"/>
    <x v="5"/>
    <n v="75080"/>
    <x v="2"/>
    <s v="FUR-FU-10003664"/>
    <s v="Furniture"/>
    <s v="Furnishings"/>
    <s v="Electrix Architect's Clamp-On Swing Arm Lamp, Black"/>
    <n v="190.92"/>
    <n v="5"/>
    <n v="0.6"/>
    <n v="-147.96299999999999"/>
  </r>
  <r>
    <n v="38"/>
    <s v="CA-2015-117415"/>
    <d v="2015-12-27T00:00:00"/>
    <d v="2015-12-31T00:00:00"/>
    <s v="Standard Class"/>
    <s v="SN-20710"/>
    <s v="Steve Nguyen"/>
    <s v="Home Office"/>
    <x v="0"/>
    <x v="12"/>
    <x v="5"/>
    <n v="77041"/>
    <x v="2"/>
    <s v="OFF-EN-10002986"/>
    <s v="Office Supplies"/>
    <s v="Envelopes"/>
    <s v="#10-4 1/8&quot; x 9 1/2&quot; Premium Diagonal Seam Envelopes"/>
    <n v="113.328"/>
    <n v="9"/>
    <n v="0.2"/>
    <n v="35.414999999999999"/>
  </r>
  <r>
    <n v="39"/>
    <s v="CA-2015-117415"/>
    <d v="2015-12-27T00:00:00"/>
    <d v="2015-12-31T00:00:00"/>
    <s v="Standard Class"/>
    <s v="SN-20710"/>
    <s v="Steve Nguyen"/>
    <s v="Home Office"/>
    <x v="0"/>
    <x v="12"/>
    <x v="5"/>
    <n v="77041"/>
    <x v="2"/>
    <s v="FUR-BO-10002545"/>
    <s v="Furniture"/>
    <s v="Bookcases"/>
    <s v="Atlantic Metals Mobile 3-Shelf Bookcases, Custom Colors"/>
    <n v="532.39919999999995"/>
    <n v="3"/>
    <n v="0.32"/>
    <n v="-46.976399999999998"/>
  </r>
  <r>
    <n v="40"/>
    <s v="CA-2015-117415"/>
    <d v="2015-12-27T00:00:00"/>
    <d v="2015-12-31T00:00:00"/>
    <s v="Standard Class"/>
    <s v="SN-20710"/>
    <s v="Steve Nguyen"/>
    <s v="Home Office"/>
    <x v="0"/>
    <x v="12"/>
    <x v="5"/>
    <n v="77041"/>
    <x v="2"/>
    <s v="FUR-CH-10004218"/>
    <s v="Furniture"/>
    <s v="Chairs"/>
    <s v="Global Fabric Manager's Chair, Dark Gray"/>
    <n v="212.05799999999999"/>
    <n v="3"/>
    <n v="0.3"/>
    <n v="-15.147"/>
  </r>
  <r>
    <n v="41"/>
    <s v="CA-2015-117415"/>
    <d v="2015-12-27T00:00:00"/>
    <d v="2015-12-31T00:00:00"/>
    <s v="Standard Class"/>
    <s v="SN-20710"/>
    <s v="Steve Nguyen"/>
    <s v="Home Office"/>
    <x v="0"/>
    <x v="12"/>
    <x v="5"/>
    <n v="77041"/>
    <x v="2"/>
    <s v="TEC-PH-10000486"/>
    <s v="Technology"/>
    <s v="Phones"/>
    <s v="Plantronics HL10 Handset Lifter"/>
    <n v="371.16800000000001"/>
    <n v="4"/>
    <n v="0.2"/>
    <n v="41.756399999999999"/>
  </r>
  <r>
    <n v="42"/>
    <s v="CA-2017-120999"/>
    <d v="2017-09-10T00:00:00"/>
    <d v="2017-09-15T00:00:00"/>
    <s v="Standard Class"/>
    <s v="LC-16930"/>
    <s v="Linda Cazamias"/>
    <s v="Corporate"/>
    <x v="0"/>
    <x v="14"/>
    <x v="10"/>
    <n v="60540"/>
    <x v="2"/>
    <s v="TEC-PH-10004093"/>
    <s v="Technology"/>
    <s v="Phones"/>
    <s v="Panasonic Kx-TS550"/>
    <n v="147.16800000000001"/>
    <n v="4"/>
    <n v="0.2"/>
    <n v="16.5564"/>
  </r>
  <r>
    <n v="43"/>
    <s v="CA-2016-101343"/>
    <d v="2016-07-17T00:00:00"/>
    <d v="2016-07-22T00:00:00"/>
    <s v="Standard Class"/>
    <s v="RA-19885"/>
    <s v="Ruben Ausman"/>
    <s v="Corporate"/>
    <x v="0"/>
    <x v="1"/>
    <x v="1"/>
    <n v="90049"/>
    <x v="1"/>
    <s v="OFF-ST-10003479"/>
    <s v="Office Supplies"/>
    <s v="Storage"/>
    <s v="Eldon Base for stackable storage shelf, platinum"/>
    <n v="77.88"/>
    <n v="2"/>
    <n v="0"/>
    <n v="3.8940000000000001"/>
  </r>
  <r>
    <n v="44"/>
    <s v="CA-2017-139619"/>
    <d v="2017-09-19T00:00:00"/>
    <d v="2017-09-23T00:00:00"/>
    <s v="Standard Class"/>
    <s v="ES-14080"/>
    <s v="Erin Smith"/>
    <s v="Corporate"/>
    <x v="0"/>
    <x v="15"/>
    <x v="2"/>
    <n v="32935"/>
    <x v="0"/>
    <s v="OFF-ST-10003282"/>
    <s v="Office Supplies"/>
    <s v="Storage"/>
    <s v="Advantus 10-Drawer Portable Organizer, Chrome Metal Frame, Smoke Drawers"/>
    <n v="95.616"/>
    <n v="2"/>
    <n v="0.2"/>
    <n v="9.5616000000000003"/>
  </r>
  <r>
    <n v="45"/>
    <s v="CA-2016-118255"/>
    <d v="2016-03-11T00:00:00"/>
    <d v="2016-03-13T00:00:00"/>
    <s v="First Class"/>
    <s v="ON-18715"/>
    <s v="Odella Nelson"/>
    <s v="Corporate"/>
    <x v="0"/>
    <x v="16"/>
    <x v="11"/>
    <n v="55122"/>
    <x v="2"/>
    <s v="TEC-AC-10000171"/>
    <s v="Technology"/>
    <s v="Accessories"/>
    <s v="Verbatim 25 GB 6x Blu-ray Single Layer Recordable Disc, 25/Pack"/>
    <n v="45.98"/>
    <n v="2"/>
    <n v="0"/>
    <n v="19.7714"/>
  </r>
  <r>
    <n v="46"/>
    <s v="CA-2016-118255"/>
    <d v="2016-03-11T00:00:00"/>
    <d v="2016-03-13T00:00:00"/>
    <s v="First Class"/>
    <s v="ON-18715"/>
    <s v="Odella Nelson"/>
    <s v="Corporate"/>
    <x v="0"/>
    <x v="16"/>
    <x v="11"/>
    <n v="55122"/>
    <x v="2"/>
    <s v="OFF-BI-10003291"/>
    <s v="Office Supplies"/>
    <s v="Binders"/>
    <s v="Wilson Jones Leather-Like Binders with DublLock Round Rings"/>
    <n v="17.46"/>
    <n v="2"/>
    <n v="0"/>
    <n v="8.2062000000000008"/>
  </r>
  <r>
    <n v="47"/>
    <s v="CA-2014-146703"/>
    <d v="2014-10-20T00:00:00"/>
    <d v="2014-10-25T00:00:00"/>
    <s v="Second Class"/>
    <s v="PO-18865"/>
    <s v="Patrick O'Donnell"/>
    <s v="Consumer"/>
    <x v="0"/>
    <x v="17"/>
    <x v="12"/>
    <n v="48185"/>
    <x v="2"/>
    <s v="OFF-ST-10001713"/>
    <s v="Office Supplies"/>
    <s v="Storage"/>
    <s v="Gould Plastics 9-Pocket Panel Bin, 18-3/8w x 5-1/4d x 20-1/2h, Black"/>
    <n v="211.96"/>
    <n v="4"/>
    <n v="0"/>
    <n v="8.4784000000000006"/>
  </r>
  <r>
    <n v="48"/>
    <s v="CA-2016-169194"/>
    <d v="2016-06-20T00:00:00"/>
    <d v="2016-06-25T00:00:00"/>
    <s v="Standard Class"/>
    <s v="LH-16900"/>
    <s v="Lena Hernandez"/>
    <s v="Consumer"/>
    <x v="0"/>
    <x v="18"/>
    <x v="13"/>
    <n v="19901"/>
    <x v="3"/>
    <s v="TEC-AC-10002167"/>
    <s v="Technology"/>
    <s v="Accessories"/>
    <s v="Imation 8gb Micro Traveldrive Usb 2.0 Flash Drive"/>
    <n v="45"/>
    <n v="3"/>
    <n v="0"/>
    <n v="4.95"/>
  </r>
  <r>
    <n v="49"/>
    <s v="CA-2016-169194"/>
    <d v="2016-06-20T00:00:00"/>
    <d v="2016-06-25T00:00:00"/>
    <s v="Standard Class"/>
    <s v="LH-16900"/>
    <s v="Lena Hernandez"/>
    <s v="Consumer"/>
    <x v="0"/>
    <x v="18"/>
    <x v="13"/>
    <n v="19901"/>
    <x v="3"/>
    <s v="TEC-PH-10003988"/>
    <s v="Technology"/>
    <s v="Phones"/>
    <s v="LF Elite 3D Dazzle Designer Hard Case Cover, Lf Stylus Pen and Wiper For Apple Iphone 5c Mini Lite"/>
    <n v="21.8"/>
    <n v="2"/>
    <n v="0"/>
    <n v="6.1040000000000001"/>
  </r>
  <r>
    <n v="50"/>
    <s v="CA-2015-115742"/>
    <d v="2015-04-18T00:00:00"/>
    <d v="2015-04-22T00:00:00"/>
    <s v="Standard Class"/>
    <s v="DP-13000"/>
    <s v="Darren Powers"/>
    <s v="Consumer"/>
    <x v="0"/>
    <x v="19"/>
    <x v="14"/>
    <n v="47150"/>
    <x v="2"/>
    <s v="OFF-BI-10004410"/>
    <s v="Office Supplies"/>
    <s v="Binders"/>
    <s v="C-Line Peel &amp; Stick Add-On Filing Pockets, 8-3/4 x 5-1/8, 10/Pack"/>
    <n v="38.22"/>
    <n v="6"/>
    <n v="0"/>
    <n v="17.9634"/>
  </r>
  <r>
    <n v="51"/>
    <s v="CA-2015-115742"/>
    <d v="2015-04-18T00:00:00"/>
    <d v="2015-04-22T00:00:00"/>
    <s v="Standard Class"/>
    <s v="DP-13000"/>
    <s v="Darren Powers"/>
    <s v="Consumer"/>
    <x v="0"/>
    <x v="19"/>
    <x v="14"/>
    <n v="47150"/>
    <x v="2"/>
    <s v="OFF-LA-10002762"/>
    <s v="Office Supplies"/>
    <s v="Labels"/>
    <s v="Avery 485"/>
    <n v="75.180000000000007"/>
    <n v="6"/>
    <n v="0"/>
    <n v="35.334600000000002"/>
  </r>
  <r>
    <n v="52"/>
    <s v="CA-2015-115742"/>
    <d v="2015-04-18T00:00:00"/>
    <d v="2015-04-22T00:00:00"/>
    <s v="Standard Class"/>
    <s v="DP-13000"/>
    <s v="Darren Powers"/>
    <s v="Consumer"/>
    <x v="0"/>
    <x v="19"/>
    <x v="14"/>
    <n v="47150"/>
    <x v="2"/>
    <s v="FUR-FU-10001706"/>
    <s v="Furniture"/>
    <s v="Furnishings"/>
    <s v="Longer-Life Soft White Bulbs"/>
    <n v="6.16"/>
    <n v="2"/>
    <n v="0"/>
    <n v="2.9567999999999999"/>
  </r>
  <r>
    <n v="53"/>
    <s v="CA-2015-115742"/>
    <d v="2015-04-18T00:00:00"/>
    <d v="2015-04-22T00:00:00"/>
    <s v="Standard Class"/>
    <s v="DP-13000"/>
    <s v="Darren Powers"/>
    <s v="Consumer"/>
    <x v="0"/>
    <x v="19"/>
    <x v="14"/>
    <n v="47150"/>
    <x v="2"/>
    <s v="FUR-CH-10003061"/>
    <s v="Furniture"/>
    <s v="Chairs"/>
    <s v="Global Leather Task Chair, Black"/>
    <n v="89.99"/>
    <n v="1"/>
    <n v="0"/>
    <n v="17.098099999999999"/>
  </r>
  <r>
    <n v="54"/>
    <s v="CA-2016-105816"/>
    <d v="2016-12-11T00:00:00"/>
    <d v="2016-12-17T00:00:00"/>
    <s v="Standard Class"/>
    <s v="JM-15265"/>
    <s v="Janet Molinari"/>
    <s v="Corporate"/>
    <x v="0"/>
    <x v="20"/>
    <x v="15"/>
    <n v="10024"/>
    <x v="3"/>
    <s v="OFF-FA-10000304"/>
    <s v="Office Supplies"/>
    <s v="Fasteners"/>
    <s v="Advantus Push Pins"/>
    <n v="15.26"/>
    <n v="7"/>
    <n v="0"/>
    <n v="6.2565999999999997"/>
  </r>
  <r>
    <n v="55"/>
    <s v="CA-2016-105816"/>
    <d v="2016-12-11T00:00:00"/>
    <d v="2016-12-17T00:00:00"/>
    <s v="Standard Class"/>
    <s v="JM-15265"/>
    <s v="Janet Molinari"/>
    <s v="Corporate"/>
    <x v="0"/>
    <x v="20"/>
    <x v="15"/>
    <n v="10024"/>
    <x v="3"/>
    <s v="TEC-PH-10002447"/>
    <s v="Technology"/>
    <s v="Phones"/>
    <s v="AT&amp;T CL83451 4-Handset Telephone"/>
    <n v="1029.95"/>
    <n v="5"/>
    <n v="0"/>
    <n v="298.68549999999999"/>
  </r>
  <r>
    <n v="56"/>
    <s v="CA-2016-111682"/>
    <d v="2016-06-17T00:00:00"/>
    <d v="2016-06-18T00:00:00"/>
    <s v="First Class"/>
    <s v="TB-21055"/>
    <s v="Ted Butterfield"/>
    <s v="Consumer"/>
    <x v="0"/>
    <x v="21"/>
    <x v="15"/>
    <n v="12180"/>
    <x v="3"/>
    <s v="OFF-ST-10000604"/>
    <s v="Office Supplies"/>
    <s v="Storage"/>
    <s v="Home/Office Personal File Carts"/>
    <n v="208.56"/>
    <n v="6"/>
    <n v="0"/>
    <n v="52.14"/>
  </r>
  <r>
    <n v="57"/>
    <s v="CA-2016-111682"/>
    <d v="2016-06-17T00:00:00"/>
    <d v="2016-06-18T00:00:00"/>
    <s v="First Class"/>
    <s v="TB-21055"/>
    <s v="Ted Butterfield"/>
    <s v="Consumer"/>
    <x v="0"/>
    <x v="21"/>
    <x v="15"/>
    <n v="12180"/>
    <x v="3"/>
    <s v="OFF-PA-10001569"/>
    <s v="Office Supplies"/>
    <s v="Paper"/>
    <s v="Xerox 232"/>
    <n v="32.4"/>
    <n v="5"/>
    <n v="0"/>
    <n v="15.552"/>
  </r>
  <r>
    <n v="58"/>
    <s v="CA-2016-111682"/>
    <d v="2016-06-17T00:00:00"/>
    <d v="2016-06-18T00:00:00"/>
    <s v="First Class"/>
    <s v="TB-21055"/>
    <s v="Ted Butterfield"/>
    <s v="Consumer"/>
    <x v="0"/>
    <x v="21"/>
    <x v="15"/>
    <n v="12180"/>
    <x v="3"/>
    <s v="FUR-CH-10003968"/>
    <s v="Furniture"/>
    <s v="Chairs"/>
    <s v="Novimex Turbo Task Chair"/>
    <n v="319.41000000000003"/>
    <n v="5"/>
    <n v="0.1"/>
    <n v="7.0979999999999999"/>
  </r>
  <r>
    <n v="59"/>
    <s v="CA-2016-111682"/>
    <d v="2016-06-17T00:00:00"/>
    <d v="2016-06-18T00:00:00"/>
    <s v="First Class"/>
    <s v="TB-21055"/>
    <s v="Ted Butterfield"/>
    <s v="Consumer"/>
    <x v="0"/>
    <x v="21"/>
    <x v="15"/>
    <n v="12180"/>
    <x v="3"/>
    <s v="OFF-PA-10000587"/>
    <s v="Office Supplies"/>
    <s v="Paper"/>
    <s v="Array Parchment Paper, Assorted Colors"/>
    <n v="14.56"/>
    <n v="2"/>
    <n v="0"/>
    <n v="6.9888000000000003"/>
  </r>
  <r>
    <n v="60"/>
    <s v="CA-2016-111682"/>
    <d v="2016-06-17T00:00:00"/>
    <d v="2016-06-18T00:00:00"/>
    <s v="First Class"/>
    <s v="TB-21055"/>
    <s v="Ted Butterfield"/>
    <s v="Consumer"/>
    <x v="0"/>
    <x v="21"/>
    <x v="15"/>
    <n v="12180"/>
    <x v="3"/>
    <s v="TEC-AC-10002167"/>
    <s v="Technology"/>
    <s v="Accessories"/>
    <s v="Imation 8gb Micro Traveldrive Usb 2.0 Flash Drive"/>
    <n v="30"/>
    <n v="2"/>
    <n v="0"/>
    <n v="3.3"/>
  </r>
  <r>
    <n v="61"/>
    <s v="CA-2016-111682"/>
    <d v="2016-06-17T00:00:00"/>
    <d v="2016-06-18T00:00:00"/>
    <s v="First Class"/>
    <s v="TB-21055"/>
    <s v="Ted Butterfield"/>
    <s v="Consumer"/>
    <x v="0"/>
    <x v="21"/>
    <x v="15"/>
    <n v="12180"/>
    <x v="3"/>
    <s v="OFF-BI-10001460"/>
    <s v="Office Supplies"/>
    <s v="Binders"/>
    <s v="Plastic Binding Combs"/>
    <n v="48.48"/>
    <n v="4"/>
    <n v="0.2"/>
    <n v="16.361999999999998"/>
  </r>
  <r>
    <n v="62"/>
    <s v="CA-2016-111682"/>
    <d v="2016-06-17T00:00:00"/>
    <d v="2016-06-18T00:00:00"/>
    <s v="First Class"/>
    <s v="TB-21055"/>
    <s v="Ted Butterfield"/>
    <s v="Consumer"/>
    <x v="0"/>
    <x v="21"/>
    <x v="15"/>
    <n v="12180"/>
    <x v="3"/>
    <s v="OFF-AR-10001868"/>
    <s v="Office Supplies"/>
    <s v="Art"/>
    <s v="Prang Dustless Chalk Sticks"/>
    <n v="1.68"/>
    <n v="1"/>
    <n v="0"/>
    <n v="0.84"/>
  </r>
  <r>
    <n v="63"/>
    <s v="CA-2015-135545"/>
    <d v="2015-11-24T00:00:00"/>
    <d v="2015-11-30T00:00:00"/>
    <s v="Standard Class"/>
    <s v="KM-16720"/>
    <s v="Kunst Miller"/>
    <s v="Consumer"/>
    <x v="0"/>
    <x v="1"/>
    <x v="1"/>
    <n v="90004"/>
    <x v="1"/>
    <s v="TEC-AC-10004633"/>
    <s v="Technology"/>
    <s v="Accessories"/>
    <s v="Verbatim 25 GB 6x Blu-ray Single Layer Recordable Disc, 3/Pack"/>
    <n v="13.98"/>
    <n v="2"/>
    <n v="0"/>
    <n v="6.1512000000000002"/>
  </r>
  <r>
    <n v="64"/>
    <s v="CA-2015-135545"/>
    <d v="2015-11-24T00:00:00"/>
    <d v="2015-11-30T00:00:00"/>
    <s v="Standard Class"/>
    <s v="KM-16720"/>
    <s v="Kunst Miller"/>
    <s v="Consumer"/>
    <x v="0"/>
    <x v="1"/>
    <x v="1"/>
    <n v="90004"/>
    <x v="1"/>
    <s v="OFF-BI-10001078"/>
    <s v="Office Supplies"/>
    <s v="Binders"/>
    <s v="Acco PRESSTEX Data Binder with Storage Hooks, Dark Blue, 14 7/8&quot; X 11&quot;"/>
    <n v="25.824000000000002"/>
    <n v="6"/>
    <n v="0.2"/>
    <n v="9.3612000000000002"/>
  </r>
  <r>
    <n v="65"/>
    <s v="CA-2015-135545"/>
    <d v="2015-11-24T00:00:00"/>
    <d v="2015-11-30T00:00:00"/>
    <s v="Standard Class"/>
    <s v="KM-16720"/>
    <s v="Kunst Miller"/>
    <s v="Consumer"/>
    <x v="0"/>
    <x v="1"/>
    <x v="1"/>
    <n v="90004"/>
    <x v="1"/>
    <s v="OFF-PA-10003892"/>
    <s v="Office Supplies"/>
    <s v="Paper"/>
    <s v="Xerox 1943"/>
    <n v="146.72999999999999"/>
    <n v="3"/>
    <n v="0"/>
    <n v="68.963099999999997"/>
  </r>
  <r>
    <n v="66"/>
    <s v="CA-2015-135545"/>
    <d v="2015-11-24T00:00:00"/>
    <d v="2015-11-30T00:00:00"/>
    <s v="Standard Class"/>
    <s v="KM-16720"/>
    <s v="Kunst Miller"/>
    <s v="Consumer"/>
    <x v="0"/>
    <x v="1"/>
    <x v="1"/>
    <n v="90004"/>
    <x v="1"/>
    <s v="FUR-FU-10000397"/>
    <s v="Furniture"/>
    <s v="Furnishings"/>
    <s v="Luxo Economy Swing Arm Lamp"/>
    <n v="79.760000000000005"/>
    <n v="4"/>
    <n v="0"/>
    <n v="22.332799999999999"/>
  </r>
  <r>
    <n v="67"/>
    <s v="US-2015-164175"/>
    <d v="2015-04-30T00:00:00"/>
    <d v="2015-05-05T00:00:00"/>
    <s v="Standard Class"/>
    <s v="PS-18970"/>
    <s v="Paul Stevenson"/>
    <s v="Home Office"/>
    <x v="0"/>
    <x v="22"/>
    <x v="10"/>
    <n v="60610"/>
    <x v="2"/>
    <s v="FUR-CH-10001146"/>
    <s v="Furniture"/>
    <s v="Chairs"/>
    <s v="Global Value Mid-Back Manager's Chair, Gray"/>
    <n v="213.11500000000001"/>
    <n v="5"/>
    <n v="0.3"/>
    <n v="-15.2225"/>
  </r>
  <r>
    <n v="68"/>
    <s v="CA-2014-106376"/>
    <d v="2014-12-05T00:00:00"/>
    <d v="2014-12-10T00:00:00"/>
    <s v="Standard Class"/>
    <s v="BS-11590"/>
    <s v="Brendan Sweed"/>
    <s v="Corporate"/>
    <x v="0"/>
    <x v="23"/>
    <x v="16"/>
    <n v="85234"/>
    <x v="1"/>
    <s v="OFF-AR-10002671"/>
    <s v="Office Supplies"/>
    <s v="Art"/>
    <s v="Hunt BOSTON Model 1606 High-Volume Electric Pencil Sharpener, Beige"/>
    <n v="1113.0239999999999"/>
    <n v="8"/>
    <n v="0.2"/>
    <n v="111.30240000000001"/>
  </r>
  <r>
    <n v="69"/>
    <s v="CA-2014-106376"/>
    <d v="2014-12-05T00:00:00"/>
    <d v="2014-12-10T00:00:00"/>
    <s v="Standard Class"/>
    <s v="BS-11590"/>
    <s v="Brendan Sweed"/>
    <s v="Corporate"/>
    <x v="0"/>
    <x v="23"/>
    <x v="16"/>
    <n v="85234"/>
    <x v="1"/>
    <s v="TEC-PH-10002726"/>
    <s v="Technology"/>
    <s v="Phones"/>
    <s v="netTALK DUO VoIP Telephone Service"/>
    <n v="167.96799999999999"/>
    <n v="4"/>
    <n v="0.2"/>
    <n v="62.988"/>
  </r>
  <r>
    <n v="70"/>
    <s v="CA-2016-119823"/>
    <d v="2016-06-04T00:00:00"/>
    <d v="2016-06-06T00:00:00"/>
    <s v="First Class"/>
    <s v="KD-16270"/>
    <s v="Karen Daniels"/>
    <s v="Consumer"/>
    <x v="0"/>
    <x v="24"/>
    <x v="17"/>
    <n v="22153"/>
    <x v="0"/>
    <s v="OFF-PA-10000482"/>
    <s v="Office Supplies"/>
    <s v="Paper"/>
    <s v="Snap-A-Way Black Print Carbonless Ruled Speed Letter, Triplicate"/>
    <n v="75.88"/>
    <n v="2"/>
    <n v="0"/>
    <n v="35.663600000000002"/>
  </r>
  <r>
    <n v="71"/>
    <s v="CA-2016-106075"/>
    <d v="2016-09-18T00:00:00"/>
    <d v="2016-09-23T00:00:00"/>
    <s v="Standard Class"/>
    <s v="HM-14980"/>
    <s v="Henry MacAllister"/>
    <s v="Consumer"/>
    <x v="0"/>
    <x v="20"/>
    <x v="15"/>
    <n v="10009"/>
    <x v="3"/>
    <s v="OFF-BI-10004654"/>
    <s v="Office Supplies"/>
    <s v="Binders"/>
    <s v="Avery Binding System Hidden Tab Executive Style Index Sets"/>
    <n v="4.6159999999999997"/>
    <n v="1"/>
    <n v="0.2"/>
    <n v="1.7310000000000001"/>
  </r>
  <r>
    <n v="72"/>
    <s v="CA-2017-114440"/>
    <d v="2017-09-14T00:00:00"/>
    <d v="2017-09-17T00:00:00"/>
    <s v="Second Class"/>
    <s v="TB-21520"/>
    <s v="Tracy Blumstein"/>
    <s v="Consumer"/>
    <x v="0"/>
    <x v="25"/>
    <x v="12"/>
    <n v="49201"/>
    <x v="2"/>
    <s v="OFF-PA-10004675"/>
    <s v="Office Supplies"/>
    <s v="Paper"/>
    <s v="Telephone Message Books with Fax/Mobile Section, 5 1/2&quot; x 3 3/16&quot;"/>
    <n v="19.05"/>
    <n v="3"/>
    <n v="0"/>
    <n v="8.7629999999999999"/>
  </r>
  <r>
    <n v="73"/>
    <s v="US-2015-134026"/>
    <d v="2015-04-26T00:00:00"/>
    <d v="2015-05-02T00:00:00"/>
    <s v="Standard Class"/>
    <s v="JE-15745"/>
    <s v="Joel Eaton"/>
    <s v="Consumer"/>
    <x v="0"/>
    <x v="26"/>
    <x v="18"/>
    <n v="38109"/>
    <x v="0"/>
    <s v="FUR-CH-10000513"/>
    <s v="Furniture"/>
    <s v="Chairs"/>
    <s v="High-Back Leather Manager's Chair"/>
    <n v="831.93600000000004"/>
    <n v="8"/>
    <n v="0.2"/>
    <n v="-114.3912"/>
  </r>
  <r>
    <n v="74"/>
    <s v="US-2015-134026"/>
    <d v="2015-04-26T00:00:00"/>
    <d v="2015-05-02T00:00:00"/>
    <s v="Standard Class"/>
    <s v="JE-15745"/>
    <s v="Joel Eaton"/>
    <s v="Consumer"/>
    <x v="0"/>
    <x v="26"/>
    <x v="18"/>
    <n v="38109"/>
    <x v="0"/>
    <s v="FUR-FU-10003708"/>
    <s v="Furniture"/>
    <s v="Furnishings"/>
    <s v="Tenex Traditional Chairmats for Medium Pile Carpet, Standard Lip, 36&quot; x 48&quot;"/>
    <n v="97.04"/>
    <n v="2"/>
    <n v="0.2"/>
    <n v="1.2130000000000001"/>
  </r>
  <r>
    <n v="75"/>
    <s v="US-2015-134026"/>
    <d v="2015-04-26T00:00:00"/>
    <d v="2015-05-02T00:00:00"/>
    <s v="Standard Class"/>
    <s v="JE-15745"/>
    <s v="Joel Eaton"/>
    <s v="Consumer"/>
    <x v="0"/>
    <x v="26"/>
    <x v="18"/>
    <n v="38109"/>
    <x v="0"/>
    <s v="OFF-ST-10004123"/>
    <s v="Office Supplies"/>
    <s v="Storage"/>
    <s v="Safco Industrial Wire Shelving System"/>
    <n v="72.784000000000006"/>
    <n v="1"/>
    <n v="0.2"/>
    <n v="-18.196000000000002"/>
  </r>
  <r>
    <n v="76"/>
    <s v="US-2017-118038"/>
    <d v="2017-12-09T00:00:00"/>
    <d v="2017-12-11T00:00:00"/>
    <s v="First Class"/>
    <s v="KB-16600"/>
    <s v="Ken Brennan"/>
    <s v="Corporate"/>
    <x v="0"/>
    <x v="12"/>
    <x v="5"/>
    <n v="77041"/>
    <x v="2"/>
    <s v="OFF-BI-10004182"/>
    <s v="Office Supplies"/>
    <s v="Binders"/>
    <s v="Economy Binders"/>
    <n v="1.248"/>
    <n v="3"/>
    <n v="0.8"/>
    <n v="-1.9343999999999999"/>
  </r>
  <r>
    <n v="77"/>
    <s v="US-2017-118038"/>
    <d v="2017-12-09T00:00:00"/>
    <d v="2017-12-11T00:00:00"/>
    <s v="First Class"/>
    <s v="KB-16600"/>
    <s v="Ken Brennan"/>
    <s v="Corporate"/>
    <x v="0"/>
    <x v="12"/>
    <x v="5"/>
    <n v="77041"/>
    <x v="2"/>
    <s v="FUR-FU-10000260"/>
    <s v="Furniture"/>
    <s v="Furnishings"/>
    <s v="6&quot; Cubicle Wall Clock, Black"/>
    <n v="9.7080000000000002"/>
    <n v="3"/>
    <n v="0.6"/>
    <n v="-5.8247999999999998"/>
  </r>
  <r>
    <n v="78"/>
    <s v="US-2017-118038"/>
    <d v="2017-12-09T00:00:00"/>
    <d v="2017-12-11T00:00:00"/>
    <s v="First Class"/>
    <s v="KB-16600"/>
    <s v="Ken Brennan"/>
    <s v="Corporate"/>
    <x v="0"/>
    <x v="12"/>
    <x v="5"/>
    <n v="77041"/>
    <x v="2"/>
    <s v="OFF-ST-10000615"/>
    <s v="Office Supplies"/>
    <s v="Storage"/>
    <s v="SimpliFile Personal File, Black Granite, 15w x 6-15/16d x 11-1/4h"/>
    <n v="27.24"/>
    <n v="3"/>
    <n v="0.2"/>
    <n v="2.7240000000000002"/>
  </r>
  <r>
    <n v="79"/>
    <s v="US-2014-147606"/>
    <d v="2014-11-26T00:00:00"/>
    <d v="2014-12-01T00:00:00"/>
    <s v="Second Class"/>
    <s v="JE-15745"/>
    <s v="Joel Eaton"/>
    <s v="Consumer"/>
    <x v="0"/>
    <x v="12"/>
    <x v="5"/>
    <n v="77070"/>
    <x v="2"/>
    <s v="FUR-FU-10003194"/>
    <s v="Furniture"/>
    <s v="Furnishings"/>
    <s v="Eldon Expressions Desk Accessory, Wood Pencil Holder, Oak"/>
    <n v="19.3"/>
    <n v="5"/>
    <n v="0.6"/>
    <n v="-14.475"/>
  </r>
  <r>
    <n v="80"/>
    <s v="CA-2016-127208"/>
    <d v="2016-06-12T00:00:00"/>
    <d v="2016-06-15T00:00:00"/>
    <s v="First Class"/>
    <s v="SC-20770"/>
    <s v="Stewart Carmichael"/>
    <s v="Corporate"/>
    <x v="0"/>
    <x v="27"/>
    <x v="19"/>
    <n v="35601"/>
    <x v="0"/>
    <s v="OFF-AP-10002118"/>
    <s v="Office Supplies"/>
    <s v="Appliances"/>
    <s v="1.7 Cubic Foot Compact &quot;Cube&quot; Office Refrigerators"/>
    <n v="208.16"/>
    <n v="1"/>
    <n v="0"/>
    <n v="56.203200000000002"/>
  </r>
  <r>
    <n v="81"/>
    <s v="CA-2016-127208"/>
    <d v="2016-06-12T00:00:00"/>
    <d v="2016-06-15T00:00:00"/>
    <s v="First Class"/>
    <s v="SC-20770"/>
    <s v="Stewart Carmichael"/>
    <s v="Corporate"/>
    <x v="0"/>
    <x v="27"/>
    <x v="19"/>
    <n v="35601"/>
    <x v="0"/>
    <s v="OFF-BI-10002309"/>
    <s v="Office Supplies"/>
    <s v="Binders"/>
    <s v="Avery Heavy-Duty EZD  Binder With Locking Rings"/>
    <n v="16.739999999999998"/>
    <n v="3"/>
    <n v="0"/>
    <n v="8.0351999999999997"/>
  </r>
  <r>
    <n v="82"/>
    <s v="CA-2014-139451"/>
    <d v="2014-10-12T00:00:00"/>
    <d v="2014-10-16T00:00:00"/>
    <s v="Standard Class"/>
    <s v="DN-13690"/>
    <s v="Duane Noonan"/>
    <s v="Consumer"/>
    <x v="0"/>
    <x v="8"/>
    <x v="1"/>
    <n v="94122"/>
    <x v="1"/>
    <s v="OFF-AR-10002053"/>
    <s v="Office Supplies"/>
    <s v="Art"/>
    <s v="Premium Writing Pencils, Soft, #2 by Central Association for the Blind"/>
    <n v="14.9"/>
    <n v="5"/>
    <n v="0"/>
    <n v="4.1719999999999997"/>
  </r>
  <r>
    <n v="83"/>
    <s v="CA-2014-139451"/>
    <d v="2014-10-12T00:00:00"/>
    <d v="2014-10-16T00:00:00"/>
    <s v="Standard Class"/>
    <s v="DN-13690"/>
    <s v="Duane Noonan"/>
    <s v="Consumer"/>
    <x v="0"/>
    <x v="8"/>
    <x v="1"/>
    <n v="94122"/>
    <x v="1"/>
    <s v="OFF-ST-10002370"/>
    <s v="Office Supplies"/>
    <s v="Storage"/>
    <s v="Sortfiler Multipurpose Personal File Organizer, Black"/>
    <n v="21.39"/>
    <n v="1"/>
    <n v="0"/>
    <n v="6.2031000000000001"/>
  </r>
  <r>
    <n v="84"/>
    <s v="CA-2015-149734"/>
    <d v="2015-09-03T00:00:00"/>
    <d v="2015-09-08T00:00:00"/>
    <s v="Standard Class"/>
    <s v="JC-16105"/>
    <s v="Julie Creighton"/>
    <s v="Corporate"/>
    <x v="0"/>
    <x v="28"/>
    <x v="3"/>
    <n v="27707"/>
    <x v="0"/>
    <s v="OFF-EN-10000927"/>
    <s v="Office Supplies"/>
    <s v="Envelopes"/>
    <s v="Jet-Pak Recycled Peel 'N' Seal Padded Mailers"/>
    <n v="200.98400000000001"/>
    <n v="7"/>
    <n v="0.2"/>
    <n v="62.807499999999997"/>
  </r>
  <r>
    <n v="85"/>
    <s v="US-2017-119662"/>
    <d v="2017-11-13T00:00:00"/>
    <d v="2017-11-16T00:00:00"/>
    <s v="First Class"/>
    <s v="CS-12400"/>
    <s v="Christopher Schild"/>
    <s v="Home Office"/>
    <x v="0"/>
    <x v="22"/>
    <x v="10"/>
    <n v="60623"/>
    <x v="2"/>
    <s v="OFF-ST-10003656"/>
    <s v="Office Supplies"/>
    <s v="Storage"/>
    <s v="Safco Industrial Wire Shelving"/>
    <n v="230.376"/>
    <n v="3"/>
    <n v="0.2"/>
    <n v="-48.954900000000002"/>
  </r>
  <r>
    <n v="86"/>
    <s v="CA-2017-140088"/>
    <d v="2017-05-28T00:00:00"/>
    <d v="2017-05-30T00:00:00"/>
    <s v="Second Class"/>
    <s v="PO-18865"/>
    <s v="Patrick O'Donnell"/>
    <s v="Consumer"/>
    <x v="0"/>
    <x v="29"/>
    <x v="20"/>
    <n v="29203"/>
    <x v="0"/>
    <s v="FUR-CH-10000863"/>
    <s v="Furniture"/>
    <s v="Chairs"/>
    <s v="Novimex Swivel Fabric Task Chair"/>
    <n v="301.95999999999998"/>
    <n v="2"/>
    <n v="0"/>
    <n v="33.215600000000002"/>
  </r>
  <r>
    <n v="87"/>
    <s v="CA-2017-155558"/>
    <d v="2017-10-26T00:00:00"/>
    <d v="2017-11-02T00:00:00"/>
    <s v="Standard Class"/>
    <s v="PG-18895"/>
    <s v="Paul Gonzalez"/>
    <s v="Consumer"/>
    <x v="0"/>
    <x v="30"/>
    <x v="11"/>
    <n v="55901"/>
    <x v="2"/>
    <s v="TEC-AC-10001998"/>
    <s v="Technology"/>
    <s v="Accessories"/>
    <s v="Logitech LS21 Speaker System - PC Multimedia - 2.1-CH - Wired"/>
    <n v="19.989999999999998"/>
    <n v="1"/>
    <n v="0"/>
    <n v="6.7965999999999998"/>
  </r>
  <r>
    <n v="88"/>
    <s v="CA-2017-155558"/>
    <d v="2017-10-26T00:00:00"/>
    <d v="2017-11-02T00:00:00"/>
    <s v="Standard Class"/>
    <s v="PG-18895"/>
    <s v="Paul Gonzalez"/>
    <s v="Consumer"/>
    <x v="0"/>
    <x v="30"/>
    <x v="11"/>
    <n v="55901"/>
    <x v="2"/>
    <s v="OFF-LA-10000134"/>
    <s v="Office Supplies"/>
    <s v="Labels"/>
    <s v="Avery 511"/>
    <n v="6.16"/>
    <n v="2"/>
    <n v="0"/>
    <n v="2.9567999999999999"/>
  </r>
  <r>
    <n v="89"/>
    <s v="CA-2016-159695"/>
    <d v="2016-04-05T00:00:00"/>
    <d v="2016-04-10T00:00:00"/>
    <s v="Second Class"/>
    <s v="GM-14455"/>
    <s v="Gary Mitchum"/>
    <s v="Home Office"/>
    <x v="0"/>
    <x v="12"/>
    <x v="5"/>
    <n v="77095"/>
    <x v="2"/>
    <s v="OFF-ST-10003442"/>
    <s v="Office Supplies"/>
    <s v="Storage"/>
    <s v="Eldon Portable Mobile Manager"/>
    <n v="158.36799999999999"/>
    <n v="7"/>
    <n v="0.2"/>
    <n v="13.857200000000001"/>
  </r>
  <r>
    <n v="90"/>
    <s v="CA-2016-109806"/>
    <d v="2016-09-17T00:00:00"/>
    <d v="2016-09-22T00:00:00"/>
    <s v="Standard Class"/>
    <s v="JS-15685"/>
    <s v="Jim Sink"/>
    <s v="Corporate"/>
    <x v="0"/>
    <x v="1"/>
    <x v="1"/>
    <n v="90036"/>
    <x v="1"/>
    <s v="OFF-AR-10004930"/>
    <s v="Office Supplies"/>
    <s v="Art"/>
    <s v="Turquoise Lead Holder with Pocket Clip"/>
    <n v="20.100000000000001"/>
    <n v="3"/>
    <n v="0"/>
    <n v="6.633"/>
  </r>
  <r>
    <n v="91"/>
    <s v="CA-2016-109806"/>
    <d v="2016-09-17T00:00:00"/>
    <d v="2016-09-22T00:00:00"/>
    <s v="Standard Class"/>
    <s v="JS-15685"/>
    <s v="Jim Sink"/>
    <s v="Corporate"/>
    <x v="0"/>
    <x v="1"/>
    <x v="1"/>
    <n v="90036"/>
    <x v="1"/>
    <s v="TEC-PH-10004093"/>
    <s v="Technology"/>
    <s v="Phones"/>
    <s v="Panasonic Kx-TS550"/>
    <n v="73.584000000000003"/>
    <n v="2"/>
    <n v="0.2"/>
    <n v="8.2782"/>
  </r>
  <r>
    <n v="92"/>
    <s v="CA-2016-109806"/>
    <d v="2016-09-17T00:00:00"/>
    <d v="2016-09-22T00:00:00"/>
    <s v="Standard Class"/>
    <s v="JS-15685"/>
    <s v="Jim Sink"/>
    <s v="Corporate"/>
    <x v="0"/>
    <x v="1"/>
    <x v="1"/>
    <n v="90036"/>
    <x v="1"/>
    <s v="OFF-PA-10000304"/>
    <s v="Office Supplies"/>
    <s v="Paper"/>
    <s v="Xerox 1995"/>
    <n v="6.48"/>
    <n v="1"/>
    <n v="0"/>
    <n v="3.1103999999999998"/>
  </r>
  <r>
    <n v="93"/>
    <s v="CA-2015-149587"/>
    <d v="2015-01-31T00:00:00"/>
    <d v="2015-02-05T00:00:00"/>
    <s v="Second Class"/>
    <s v="KB-16315"/>
    <s v="Karl Braun"/>
    <s v="Consumer"/>
    <x v="0"/>
    <x v="31"/>
    <x v="11"/>
    <n v="55407"/>
    <x v="2"/>
    <s v="OFF-PA-10003177"/>
    <s v="Office Supplies"/>
    <s v="Paper"/>
    <s v="Xerox 1999"/>
    <n v="12.96"/>
    <n v="2"/>
    <n v="0"/>
    <n v="6.2207999999999997"/>
  </r>
  <r>
    <n v="94"/>
    <s v="CA-2015-149587"/>
    <d v="2015-01-31T00:00:00"/>
    <d v="2015-02-05T00:00:00"/>
    <s v="Second Class"/>
    <s v="KB-16315"/>
    <s v="Karl Braun"/>
    <s v="Consumer"/>
    <x v="0"/>
    <x v="31"/>
    <x v="11"/>
    <n v="55407"/>
    <x v="2"/>
    <s v="FUR-FU-10003799"/>
    <s v="Furniture"/>
    <s v="Furnishings"/>
    <s v="Seth Thomas 13 1/2&quot; Wall Clock"/>
    <n v="53.34"/>
    <n v="3"/>
    <n v="0"/>
    <n v="16.535399999999999"/>
  </r>
  <r>
    <n v="95"/>
    <s v="CA-2015-149587"/>
    <d v="2015-01-31T00:00:00"/>
    <d v="2015-02-05T00:00:00"/>
    <s v="Second Class"/>
    <s v="KB-16315"/>
    <s v="Karl Braun"/>
    <s v="Consumer"/>
    <x v="0"/>
    <x v="31"/>
    <x v="11"/>
    <n v="55407"/>
    <x v="2"/>
    <s v="OFF-BI-10002852"/>
    <s v="Office Supplies"/>
    <s v="Binders"/>
    <s v="Ibico Standard Transparent Covers"/>
    <n v="32.96"/>
    <n v="2"/>
    <n v="0"/>
    <n v="16.150400000000001"/>
  </r>
  <r>
    <n v="96"/>
    <s v="US-2017-109484"/>
    <d v="2017-11-06T00:00:00"/>
    <d v="2017-11-12T00:00:00"/>
    <s v="Standard Class"/>
    <s v="RB-19705"/>
    <s v="Roger Barcio"/>
    <s v="Home Office"/>
    <x v="0"/>
    <x v="32"/>
    <x v="21"/>
    <n v="97206"/>
    <x v="1"/>
    <s v="OFF-BI-10004738"/>
    <s v="Office Supplies"/>
    <s v="Binders"/>
    <s v="Flexible Leather- Look Classic Collection Ring Binder"/>
    <n v="5.6820000000000004"/>
    <n v="1"/>
    <n v="0.7"/>
    <n v="-3.7879999999999998"/>
  </r>
  <r>
    <n v="97"/>
    <s v="CA-2017-161018"/>
    <d v="2017-11-09T00:00:00"/>
    <d v="2017-11-11T00:00:00"/>
    <s v="Second Class"/>
    <s v="PN-18775"/>
    <s v="Parhena Norris"/>
    <s v="Home Office"/>
    <x v="0"/>
    <x v="20"/>
    <x v="15"/>
    <n v="10009"/>
    <x v="3"/>
    <s v="FUR-FU-10000629"/>
    <s v="Furniture"/>
    <s v="Furnishings"/>
    <s v="9-3/4 Diameter Round Wall Clock"/>
    <n v="96.53"/>
    <n v="7"/>
    <n v="0"/>
    <n v="40.5426"/>
  </r>
  <r>
    <n v="98"/>
    <s v="CA-2017-157833"/>
    <d v="2017-06-17T00:00:00"/>
    <d v="2017-06-20T00:00:00"/>
    <s v="First Class"/>
    <s v="KD-16345"/>
    <s v="Katherine Ducich"/>
    <s v="Consumer"/>
    <x v="0"/>
    <x v="8"/>
    <x v="1"/>
    <n v="94122"/>
    <x v="1"/>
    <s v="OFF-BI-10001721"/>
    <s v="Office Supplies"/>
    <s v="Binders"/>
    <s v="Trimflex Flexible Post Binders"/>
    <n v="51.311999999999998"/>
    <n v="3"/>
    <n v="0.2"/>
    <n v="17.959199999999999"/>
  </r>
  <r>
    <n v="99"/>
    <s v="CA-2016-149223"/>
    <d v="2016-09-06T00:00:00"/>
    <d v="2016-09-11T00:00:00"/>
    <s v="Standard Class"/>
    <s v="ER-13855"/>
    <s v="Elpida Rittenbach"/>
    <s v="Corporate"/>
    <x v="0"/>
    <x v="33"/>
    <x v="11"/>
    <n v="55106"/>
    <x v="2"/>
    <s v="OFF-AP-10000358"/>
    <s v="Office Supplies"/>
    <s v="Appliances"/>
    <s v="Fellowes Basic Home/Office Series Surge Protectors"/>
    <n v="77.88"/>
    <n v="6"/>
    <n v="0"/>
    <n v="22.5852"/>
  </r>
  <r>
    <n v="100"/>
    <s v="CA-2016-158568"/>
    <d v="2016-08-29T00:00:00"/>
    <d v="2016-09-02T00:00:00"/>
    <s v="Standard Class"/>
    <s v="RB-19465"/>
    <s v="Rick Bensley"/>
    <s v="Home Office"/>
    <x v="0"/>
    <x v="22"/>
    <x v="10"/>
    <n v="60610"/>
    <x v="2"/>
    <s v="OFF-PA-10003256"/>
    <s v="Office Supplies"/>
    <s v="Paper"/>
    <s v="Avery Personal Creations Heavyweight Cards"/>
    <n v="64.623999999999995"/>
    <n v="7"/>
    <n v="0.2"/>
    <n v="22.618400000000001"/>
  </r>
  <r>
    <n v="101"/>
    <s v="CA-2016-158568"/>
    <d v="2016-08-29T00:00:00"/>
    <d v="2016-09-02T00:00:00"/>
    <s v="Standard Class"/>
    <s v="RB-19465"/>
    <s v="Rick Bensley"/>
    <s v="Home Office"/>
    <x v="0"/>
    <x v="22"/>
    <x v="10"/>
    <n v="60610"/>
    <x v="2"/>
    <s v="TEC-AC-10001767"/>
    <s v="Technology"/>
    <s v="Accessories"/>
    <s v="SanDisk Ultra 64 GB MicroSDHC Class 10 Memory Card"/>
    <n v="95.975999999999999"/>
    <n v="3"/>
    <n v="0.2"/>
    <n v="-10.7973"/>
  </r>
  <r>
    <n v="102"/>
    <s v="CA-2016-158568"/>
    <d v="2016-08-29T00:00:00"/>
    <d v="2016-09-02T00:00:00"/>
    <s v="Standard Class"/>
    <s v="RB-19465"/>
    <s v="Rick Bensley"/>
    <s v="Home Office"/>
    <x v="0"/>
    <x v="22"/>
    <x v="10"/>
    <n v="60610"/>
    <x v="2"/>
    <s v="OFF-BI-10002609"/>
    <s v="Office Supplies"/>
    <s v="Binders"/>
    <s v="Avery Hidden Tab Dividers for Binding Systems"/>
    <n v="1.788"/>
    <n v="3"/>
    <n v="0.8"/>
    <n v="-3.0396000000000001"/>
  </r>
  <r>
    <n v="103"/>
    <s v="CA-2016-129903"/>
    <d v="2016-12-01T00:00:00"/>
    <d v="2016-12-04T00:00:00"/>
    <s v="Second Class"/>
    <s v="GZ-14470"/>
    <s v="Gary Zandusky"/>
    <s v="Consumer"/>
    <x v="0"/>
    <x v="30"/>
    <x v="11"/>
    <n v="55901"/>
    <x v="2"/>
    <s v="OFF-PA-10004040"/>
    <s v="Office Supplies"/>
    <s v="Paper"/>
    <s v="Universal Premium White Copier/Laser Paper (20Lb. and 87 Bright)"/>
    <n v="23.92"/>
    <n v="4"/>
    <n v="0"/>
    <n v="11.720800000000001"/>
  </r>
  <r>
    <n v="104"/>
    <s v="US-2015-156867"/>
    <d v="2015-11-13T00:00:00"/>
    <d v="2015-11-17T00:00:00"/>
    <s v="Standard Class"/>
    <s v="LC-16870"/>
    <s v="Lena Cacioppo"/>
    <s v="Consumer"/>
    <x v="0"/>
    <x v="34"/>
    <x v="22"/>
    <n v="80013"/>
    <x v="1"/>
    <s v="TEC-AC-10001552"/>
    <s v="Technology"/>
    <s v="Accessories"/>
    <s v="Logitech K350 2.4Ghz Wireless Keyboard"/>
    <n v="238.89599999999999"/>
    <n v="6"/>
    <n v="0.2"/>
    <n v="-26.875800000000002"/>
  </r>
  <r>
    <n v="105"/>
    <s v="US-2015-156867"/>
    <d v="2015-11-13T00:00:00"/>
    <d v="2015-11-17T00:00:00"/>
    <s v="Standard Class"/>
    <s v="LC-16870"/>
    <s v="Lena Cacioppo"/>
    <s v="Consumer"/>
    <x v="0"/>
    <x v="34"/>
    <x v="22"/>
    <n v="80013"/>
    <x v="1"/>
    <s v="FUR-FU-10004006"/>
    <s v="Furniture"/>
    <s v="Furnishings"/>
    <s v="Deflect-o DuraMat Lighweight, Studded, Beveled Mat for Low Pile Carpeting"/>
    <n v="102.36"/>
    <n v="3"/>
    <n v="0.2"/>
    <n v="-3.8384999999999998"/>
  </r>
  <r>
    <n v="106"/>
    <s v="US-2015-156867"/>
    <d v="2015-11-13T00:00:00"/>
    <d v="2015-11-17T00:00:00"/>
    <s v="Standard Class"/>
    <s v="LC-16870"/>
    <s v="Lena Cacioppo"/>
    <s v="Consumer"/>
    <x v="0"/>
    <x v="34"/>
    <x v="22"/>
    <n v="80013"/>
    <x v="1"/>
    <s v="OFF-BI-10002794"/>
    <s v="Office Supplies"/>
    <s v="Binders"/>
    <s v="Avery Trapezoid Ring Binder, 3&quot; Capacity, Black, 1040 sheets"/>
    <n v="36.881999999999998"/>
    <n v="3"/>
    <n v="0.7"/>
    <n v="-25.817399999999999"/>
  </r>
  <r>
    <n v="107"/>
    <s v="CA-2017-119004"/>
    <d v="2017-11-23T00:00:00"/>
    <d v="2017-11-28T00:00:00"/>
    <s v="Standard Class"/>
    <s v="JM-15250"/>
    <s v="Janet Martin"/>
    <s v="Consumer"/>
    <x v="0"/>
    <x v="35"/>
    <x v="3"/>
    <n v="28205"/>
    <x v="0"/>
    <s v="TEC-AC-10003499"/>
    <s v="Technology"/>
    <s v="Accessories"/>
    <s v="Memorex Mini Travel Drive 8 GB USB 2.0 Flash Drive"/>
    <n v="74.111999999999995"/>
    <n v="8"/>
    <n v="0.2"/>
    <n v="17.601600000000001"/>
  </r>
  <r>
    <n v="108"/>
    <s v="CA-2017-119004"/>
    <d v="2017-11-23T00:00:00"/>
    <d v="2017-11-28T00:00:00"/>
    <s v="Standard Class"/>
    <s v="JM-15250"/>
    <s v="Janet Martin"/>
    <s v="Consumer"/>
    <x v="0"/>
    <x v="35"/>
    <x v="3"/>
    <n v="28205"/>
    <x v="0"/>
    <s v="TEC-PH-10002844"/>
    <s v="Technology"/>
    <s v="Phones"/>
    <s v="Speck Products Candyshell Flip Case"/>
    <n v="27.992000000000001"/>
    <n v="1"/>
    <n v="0.2"/>
    <n v="2.0994000000000002"/>
  </r>
  <r>
    <n v="109"/>
    <s v="CA-2017-119004"/>
    <d v="2017-11-23T00:00:00"/>
    <d v="2017-11-28T00:00:00"/>
    <s v="Standard Class"/>
    <s v="JM-15250"/>
    <s v="Janet Martin"/>
    <s v="Consumer"/>
    <x v="0"/>
    <x v="35"/>
    <x v="3"/>
    <n v="28205"/>
    <x v="0"/>
    <s v="OFF-AR-10000390"/>
    <s v="Office Supplies"/>
    <s v="Art"/>
    <s v="Newell Chalk Holder"/>
    <n v="3.3039999999999998"/>
    <n v="1"/>
    <n v="0.2"/>
    <n v="1.0738000000000001"/>
  </r>
  <r>
    <n v="110"/>
    <s v="CA-2015-129476"/>
    <d v="2015-10-15T00:00:00"/>
    <d v="2015-10-20T00:00:00"/>
    <s v="Standard Class"/>
    <s v="PA-19060"/>
    <s v="Pete Armstrong"/>
    <s v="Home Office"/>
    <x v="0"/>
    <x v="36"/>
    <x v="10"/>
    <n v="60462"/>
    <x v="2"/>
    <s v="TEC-AC-10000844"/>
    <s v="Technology"/>
    <s v="Accessories"/>
    <s v="Logitech Gaming G510s - Keyboard"/>
    <n v="339.96"/>
    <n v="5"/>
    <n v="0.2"/>
    <n v="67.992000000000004"/>
  </r>
  <r>
    <n v="111"/>
    <s v="CA-2015-129476"/>
    <d v="2015-10-15T00:00:00"/>
    <d v="2015-10-20T00:00:00"/>
    <s v="Standard Class"/>
    <s v="PA-19060"/>
    <s v="Pete Armstrong"/>
    <s v="Home Office"/>
    <x v="0"/>
    <x v="36"/>
    <x v="10"/>
    <n v="60462"/>
    <x v="2"/>
    <s v="TEC-AC-10000844"/>
    <s v="Technology"/>
    <s v="Accessories"/>
    <s v="Logitech Gaming G510s - Keyboard"/>
    <n v="339.96"/>
    <n v="5"/>
    <n v="0.2"/>
    <n v="67.992000000000004"/>
  </r>
</pivotCacheRecords>
</file>

<file path=xl/pivotCache/pivotCacheRecords3.xml><?xml version="1.0" encoding="utf-8"?>
<pivotCacheRecords xmlns="http://schemas.openxmlformats.org/spreadsheetml/2006/main" xmlns:r="http://schemas.openxmlformats.org/officeDocument/2006/relationships" count="10">
  <r>
    <n v="1"/>
    <x v="0"/>
    <n v="50"/>
    <n v="60"/>
    <n v="100"/>
    <n v="210"/>
  </r>
  <r>
    <n v="2"/>
    <x v="1"/>
    <n v="100"/>
    <n v="110"/>
    <n v="200"/>
    <n v="410"/>
  </r>
  <r>
    <n v="3"/>
    <x v="2"/>
    <n v="60"/>
    <n v="70"/>
    <n v="300"/>
    <n v="430"/>
  </r>
  <r>
    <n v="4"/>
    <x v="3"/>
    <n v="70"/>
    <n v="80"/>
    <n v="400"/>
    <n v="550"/>
  </r>
  <r>
    <n v="5"/>
    <x v="0"/>
    <n v="90"/>
    <n v="100"/>
    <n v="500"/>
    <n v="690"/>
  </r>
  <r>
    <n v="6"/>
    <x v="1"/>
    <n v="65"/>
    <n v="75"/>
    <n v="600"/>
    <n v="740"/>
  </r>
  <r>
    <n v="7"/>
    <x v="2"/>
    <n v="54"/>
    <n v="64"/>
    <n v="700"/>
    <n v="818"/>
  </r>
  <r>
    <n v="8"/>
    <x v="4"/>
    <n v="69"/>
    <n v="79"/>
    <n v="800"/>
    <n v="948"/>
  </r>
  <r>
    <n v="9"/>
    <x v="0"/>
    <n v="96"/>
    <n v="106"/>
    <n v="900"/>
    <n v="1102"/>
  </r>
  <r>
    <n v="10"/>
    <x v="1"/>
    <n v="99"/>
    <n v="109"/>
    <n v="1000"/>
    <n v="1208"/>
  </r>
</pivotCacheRecords>
</file>

<file path=xl/pivotCache/pivotCacheRecords4.xml><?xml version="1.0" encoding="utf-8"?>
<pivotCacheRecords xmlns="http://schemas.openxmlformats.org/spreadsheetml/2006/main" xmlns:r="http://schemas.openxmlformats.org/officeDocument/2006/relationships" count="26">
  <r>
    <n v="1"/>
    <x v="0"/>
    <n v="58"/>
    <x v="0"/>
    <d v="2018-01-06T00:00:00"/>
    <x v="0"/>
    <s v="Saturday"/>
    <s v="2018"/>
  </r>
  <r>
    <n v="2"/>
    <x v="1"/>
    <n v="68"/>
    <x v="1"/>
    <d v="2018-01-23T00:00:00"/>
    <x v="0"/>
    <s v="Tuesday"/>
    <s v="2018"/>
  </r>
  <r>
    <n v="3"/>
    <x v="2"/>
    <n v="78"/>
    <x v="2"/>
    <d v="2018-02-09T00:00:00"/>
    <x v="1"/>
    <s v="Friday"/>
    <s v="2018"/>
  </r>
  <r>
    <n v="4"/>
    <x v="3"/>
    <n v="88"/>
    <x v="3"/>
    <d v="2018-02-26T00:00:00"/>
    <x v="1"/>
    <s v="Monday"/>
    <s v="2018"/>
  </r>
  <r>
    <n v="5"/>
    <x v="4"/>
    <n v="98"/>
    <x v="4"/>
    <d v="2018-03-15T00:00:00"/>
    <x v="2"/>
    <s v="Thursday"/>
    <s v="2018"/>
  </r>
  <r>
    <n v="6"/>
    <x v="5"/>
    <n v="108"/>
    <x v="5"/>
    <d v="2018-04-01T00:00:00"/>
    <x v="3"/>
    <s v="Sunday"/>
    <s v="2018"/>
  </r>
  <r>
    <n v="7"/>
    <x v="6"/>
    <n v="118"/>
    <x v="6"/>
    <d v="2018-04-18T00:00:00"/>
    <x v="3"/>
    <s v="Wednesday"/>
    <s v="2018"/>
  </r>
  <r>
    <n v="8"/>
    <x v="7"/>
    <n v="128"/>
    <x v="7"/>
    <d v="2018-05-05T00:00:00"/>
    <x v="4"/>
    <s v="Saturday"/>
    <s v="2018"/>
  </r>
  <r>
    <n v="9"/>
    <x v="8"/>
    <n v="138"/>
    <x v="8"/>
    <d v="2018-05-22T00:00:00"/>
    <x v="4"/>
    <s v="Tuesday"/>
    <s v="2018"/>
  </r>
  <r>
    <n v="10"/>
    <x v="9"/>
    <n v="148"/>
    <x v="9"/>
    <d v="2018-06-08T00:00:00"/>
    <x v="5"/>
    <s v="Friday"/>
    <s v="2018"/>
  </r>
  <r>
    <n v="11"/>
    <x v="10"/>
    <n v="158"/>
    <x v="10"/>
    <d v="2018-06-25T00:00:00"/>
    <x v="5"/>
    <s v="Monday"/>
    <s v="2018"/>
  </r>
  <r>
    <n v="12"/>
    <x v="11"/>
    <n v="168"/>
    <x v="11"/>
    <d v="2018-07-12T00:00:00"/>
    <x v="6"/>
    <s v="Thursday"/>
    <s v="2018"/>
  </r>
  <r>
    <n v="13"/>
    <x v="12"/>
    <n v="178"/>
    <x v="12"/>
    <d v="2018-07-29T00:00:00"/>
    <x v="6"/>
    <s v="Sunday"/>
    <s v="2018"/>
  </r>
  <r>
    <n v="14"/>
    <x v="13"/>
    <n v="188"/>
    <x v="13"/>
    <d v="2018-08-15T00:00:00"/>
    <x v="7"/>
    <s v="Wednesday"/>
    <s v="2018"/>
  </r>
  <r>
    <n v="15"/>
    <x v="14"/>
    <n v="198"/>
    <x v="14"/>
    <d v="2018-09-01T00:00:00"/>
    <x v="8"/>
    <s v="Saturday"/>
    <s v="2018"/>
  </r>
  <r>
    <n v="16"/>
    <x v="15"/>
    <n v="208"/>
    <x v="15"/>
    <d v="2018-09-18T00:00:00"/>
    <x v="8"/>
    <s v="Tuesday"/>
    <s v="2018"/>
  </r>
  <r>
    <n v="17"/>
    <x v="16"/>
    <n v="218"/>
    <x v="16"/>
    <d v="2018-10-05T00:00:00"/>
    <x v="9"/>
    <s v="Friday"/>
    <s v="2018"/>
  </r>
  <r>
    <n v="18"/>
    <x v="17"/>
    <n v="228"/>
    <x v="17"/>
    <d v="2018-10-22T00:00:00"/>
    <x v="9"/>
    <s v="Monday"/>
    <s v="2018"/>
  </r>
  <r>
    <n v="19"/>
    <x v="18"/>
    <n v="238"/>
    <x v="18"/>
    <d v="2018-11-08T00:00:00"/>
    <x v="10"/>
    <s v="Thursday"/>
    <s v="2018"/>
  </r>
  <r>
    <n v="20"/>
    <x v="19"/>
    <n v="248"/>
    <x v="19"/>
    <d v="2018-11-25T00:00:00"/>
    <x v="10"/>
    <s v="Sunday"/>
    <s v="2018"/>
  </r>
  <r>
    <n v="21"/>
    <x v="20"/>
    <n v="258"/>
    <x v="20"/>
    <d v="2018-12-12T00:00:00"/>
    <x v="11"/>
    <s v="Wednesday"/>
    <s v="2018"/>
  </r>
  <r>
    <n v="22"/>
    <x v="21"/>
    <n v="268"/>
    <x v="21"/>
    <d v="2018-12-29T00:00:00"/>
    <x v="11"/>
    <s v="Saturday"/>
    <s v="2018"/>
  </r>
  <r>
    <n v="23"/>
    <x v="22"/>
    <n v="278"/>
    <x v="22"/>
    <d v="2019-01-15T00:00:00"/>
    <x v="0"/>
    <s v="Tuesday"/>
    <s v="2019"/>
  </r>
  <r>
    <n v="24"/>
    <x v="23"/>
    <n v="288"/>
    <x v="23"/>
    <d v="2019-02-01T00:00:00"/>
    <x v="1"/>
    <s v="Friday"/>
    <s v="2019"/>
  </r>
  <r>
    <n v="25"/>
    <x v="24"/>
    <n v="298"/>
    <x v="24"/>
    <d v="2019-02-18T00:00:00"/>
    <x v="1"/>
    <s v="Monday"/>
    <s v="2019"/>
  </r>
  <r>
    <n v="26"/>
    <x v="25"/>
    <n v="308"/>
    <x v="25"/>
    <d v="2019-03-07T00:00:00"/>
    <x v="2"/>
    <s v="Thursday"/>
    <s v="2019"/>
  </r>
</pivotCacheRecords>
</file>

<file path=xl/pivotCache/pivotCacheRecords5.xml><?xml version="1.0" encoding="utf-8"?>
<pivotCacheRecords xmlns="http://schemas.openxmlformats.org/spreadsheetml/2006/main" xmlns:r="http://schemas.openxmlformats.org/officeDocument/2006/relationships" count="26">
  <r>
    <x v="0"/>
    <n v="12"/>
    <n v="58"/>
    <x v="0"/>
    <x v="0"/>
    <s v="January"/>
    <s v="Saturday"/>
    <s v="2018"/>
  </r>
  <r>
    <x v="1"/>
    <n v="16"/>
    <n v="68"/>
    <x v="1"/>
    <x v="1"/>
    <s v="January"/>
    <s v="Tuesday"/>
    <s v="2018"/>
  </r>
  <r>
    <x v="2"/>
    <n v="20"/>
    <n v="78"/>
    <x v="2"/>
    <x v="2"/>
    <s v="February"/>
    <s v="Friday"/>
    <s v="2018"/>
  </r>
  <r>
    <x v="3"/>
    <n v="24"/>
    <n v="88"/>
    <x v="3"/>
    <x v="3"/>
    <s v="February"/>
    <s v="Monday"/>
    <s v="2018"/>
  </r>
  <r>
    <x v="4"/>
    <n v="28"/>
    <n v="98"/>
    <x v="4"/>
    <x v="4"/>
    <s v="March"/>
    <s v="Thursday"/>
    <s v="2018"/>
  </r>
  <r>
    <x v="5"/>
    <n v="32"/>
    <n v="108"/>
    <x v="5"/>
    <x v="5"/>
    <s v="April"/>
    <s v="Sunday"/>
    <s v="2018"/>
  </r>
  <r>
    <x v="6"/>
    <n v="36"/>
    <n v="118"/>
    <x v="6"/>
    <x v="6"/>
    <s v="April"/>
    <s v="Wednesday"/>
    <s v="2018"/>
  </r>
  <r>
    <x v="7"/>
    <n v="40"/>
    <n v="128"/>
    <x v="7"/>
    <x v="7"/>
    <s v="May"/>
    <s v="Saturday"/>
    <s v="2018"/>
  </r>
  <r>
    <x v="8"/>
    <n v="44"/>
    <n v="138"/>
    <x v="8"/>
    <x v="8"/>
    <s v="May"/>
    <s v="Tuesday"/>
    <s v="2018"/>
  </r>
  <r>
    <x v="9"/>
    <n v="48"/>
    <n v="148"/>
    <x v="9"/>
    <x v="9"/>
    <s v="June"/>
    <s v="Friday"/>
    <s v="2018"/>
  </r>
  <r>
    <x v="10"/>
    <n v="52"/>
    <n v="158"/>
    <x v="10"/>
    <x v="10"/>
    <s v="June"/>
    <s v="Monday"/>
    <s v="2018"/>
  </r>
  <r>
    <x v="11"/>
    <n v="56"/>
    <n v="168"/>
    <x v="11"/>
    <x v="11"/>
    <s v="July"/>
    <s v="Thursday"/>
    <s v="2018"/>
  </r>
  <r>
    <x v="12"/>
    <n v="60"/>
    <n v="178"/>
    <x v="12"/>
    <x v="12"/>
    <s v="July"/>
    <s v="Sunday"/>
    <s v="2018"/>
  </r>
  <r>
    <x v="13"/>
    <n v="64"/>
    <n v="188"/>
    <x v="13"/>
    <x v="13"/>
    <s v="August"/>
    <s v="Wednesday"/>
    <s v="2018"/>
  </r>
  <r>
    <x v="14"/>
    <n v="68"/>
    <n v="198"/>
    <x v="14"/>
    <x v="14"/>
    <s v="September"/>
    <s v="Saturday"/>
    <s v="2018"/>
  </r>
  <r>
    <x v="15"/>
    <n v="72"/>
    <n v="208"/>
    <x v="15"/>
    <x v="15"/>
    <s v="September"/>
    <s v="Tuesday"/>
    <s v="2018"/>
  </r>
  <r>
    <x v="16"/>
    <n v="76"/>
    <n v="218"/>
    <x v="16"/>
    <x v="16"/>
    <s v="October"/>
    <s v="Friday"/>
    <s v="2018"/>
  </r>
  <r>
    <x v="17"/>
    <n v="80"/>
    <n v="228"/>
    <x v="17"/>
    <x v="17"/>
    <s v="October"/>
    <s v="Monday"/>
    <s v="2018"/>
  </r>
  <r>
    <x v="18"/>
    <n v="84"/>
    <n v="238"/>
    <x v="18"/>
    <x v="18"/>
    <s v="November"/>
    <s v="Thursday"/>
    <s v="2018"/>
  </r>
  <r>
    <x v="19"/>
    <n v="88"/>
    <n v="248"/>
    <x v="19"/>
    <x v="19"/>
    <s v="November"/>
    <s v="Sunday"/>
    <s v="2018"/>
  </r>
  <r>
    <x v="20"/>
    <n v="92"/>
    <n v="258"/>
    <x v="20"/>
    <x v="20"/>
    <s v="December"/>
    <s v="Wednesday"/>
    <s v="2018"/>
  </r>
  <r>
    <x v="21"/>
    <n v="96"/>
    <n v="268"/>
    <x v="21"/>
    <x v="21"/>
    <s v="December"/>
    <s v="Saturday"/>
    <s v="2018"/>
  </r>
  <r>
    <x v="22"/>
    <n v="100"/>
    <n v="278"/>
    <x v="22"/>
    <x v="22"/>
    <s v="January"/>
    <s v="Tuesday"/>
    <s v="2019"/>
  </r>
  <r>
    <x v="23"/>
    <n v="104"/>
    <n v="288"/>
    <x v="23"/>
    <x v="23"/>
    <s v="February"/>
    <s v="Friday"/>
    <s v="2019"/>
  </r>
  <r>
    <x v="24"/>
    <n v="108"/>
    <n v="298"/>
    <x v="24"/>
    <x v="24"/>
    <s v="February"/>
    <s v="Monday"/>
    <s v="2019"/>
  </r>
  <r>
    <x v="25"/>
    <n v="112"/>
    <n v="308"/>
    <x v="25"/>
    <x v="25"/>
    <s v="March"/>
    <s v="Thursday"/>
    <s v="2019"/>
  </r>
</pivotCacheRecords>
</file>

<file path=xl/pivotCache/pivotCacheRecords6.xml><?xml version="1.0" encoding="utf-8"?>
<pivotCacheRecords xmlns="http://schemas.openxmlformats.org/spreadsheetml/2006/main" xmlns:r="http://schemas.openxmlformats.org/officeDocument/2006/relationships" count="15">
  <r>
    <x v="0"/>
    <x v="0"/>
    <x v="0"/>
    <x v="0"/>
    <x v="0"/>
  </r>
  <r>
    <x v="1"/>
    <x v="1"/>
    <x v="1"/>
    <x v="1"/>
    <x v="1"/>
  </r>
  <r>
    <x v="2"/>
    <x v="2"/>
    <x v="2"/>
    <x v="2"/>
    <x v="2"/>
  </r>
  <r>
    <x v="3"/>
    <x v="3"/>
    <x v="3"/>
    <x v="3"/>
    <x v="3"/>
  </r>
  <r>
    <x v="4"/>
    <x v="4"/>
    <x v="4"/>
    <x v="4"/>
    <x v="4"/>
  </r>
  <r>
    <x v="5"/>
    <x v="5"/>
    <x v="5"/>
    <x v="5"/>
    <x v="5"/>
  </r>
  <r>
    <x v="6"/>
    <x v="6"/>
    <x v="6"/>
    <x v="6"/>
    <x v="6"/>
  </r>
  <r>
    <x v="7"/>
    <x v="7"/>
    <x v="7"/>
    <x v="7"/>
    <x v="7"/>
  </r>
  <r>
    <x v="8"/>
    <x v="8"/>
    <x v="8"/>
    <x v="8"/>
    <x v="8"/>
  </r>
  <r>
    <x v="9"/>
    <x v="9"/>
    <x v="9"/>
    <x v="9"/>
    <x v="9"/>
  </r>
  <r>
    <x v="10"/>
    <x v="10"/>
    <x v="10"/>
    <x v="10"/>
    <x v="10"/>
  </r>
  <r>
    <x v="11"/>
    <x v="11"/>
    <x v="11"/>
    <x v="11"/>
    <x v="11"/>
  </r>
  <r>
    <x v="12"/>
    <x v="12"/>
    <x v="12"/>
    <x v="12"/>
    <x v="12"/>
  </r>
  <r>
    <x v="13"/>
    <x v="13"/>
    <x v="13"/>
    <x v="13"/>
    <x v="13"/>
  </r>
  <r>
    <x v="14"/>
    <x v="14"/>
    <x v="14"/>
    <x v="14"/>
    <x v="14"/>
  </r>
</pivotCacheRecords>
</file>

<file path=xl/pivotCache/pivotCacheRecords7.xml><?xml version="1.0" encoding="utf-8"?>
<pivotCacheRecords xmlns="http://schemas.openxmlformats.org/spreadsheetml/2006/main" xmlns:r="http://schemas.openxmlformats.org/officeDocument/2006/relationships" count="10">
  <r>
    <x v="0"/>
    <x v="0"/>
    <n v="12"/>
  </r>
  <r>
    <x v="1"/>
    <x v="0"/>
    <n v="20"/>
  </r>
  <r>
    <x v="2"/>
    <x v="0"/>
    <n v="30"/>
  </r>
  <r>
    <x v="3"/>
    <x v="0"/>
    <n v="45"/>
  </r>
  <r>
    <x v="4"/>
    <x v="0"/>
    <n v="60"/>
  </r>
  <r>
    <x v="5"/>
    <x v="0"/>
    <n v="70"/>
  </r>
  <r>
    <x v="6"/>
    <x v="0"/>
    <n v="80"/>
  </r>
  <r>
    <x v="7"/>
    <x v="0"/>
    <n v="90"/>
  </r>
  <r>
    <x v="8"/>
    <x v="0"/>
    <n v="80"/>
  </r>
  <r>
    <x v="9"/>
    <x v="0"/>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7" cacheId="1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I88:K100" firstHeaderRow="1" firstDataRow="2" firstDataCol="1"/>
  <pivotFields count="3">
    <pivotField axis="axisRow" numFmtId="16" showAll="0">
      <items count="11">
        <item x="0"/>
        <item x="1"/>
        <item x="2"/>
        <item x="3"/>
        <item x="4"/>
        <item x="5"/>
        <item x="6"/>
        <item x="7"/>
        <item x="8"/>
        <item x="9"/>
        <item t="default"/>
      </items>
    </pivotField>
    <pivotField axis="axisCol" showAll="0">
      <items count="2">
        <item x="0"/>
        <item t="default"/>
      </items>
    </pivotField>
    <pivotField dataField="1" showAll="0"/>
  </pivotFields>
  <rowFields count="1">
    <field x="0"/>
  </rowFields>
  <rowItems count="11">
    <i>
      <x/>
    </i>
    <i>
      <x v="1"/>
    </i>
    <i>
      <x v="2"/>
    </i>
    <i>
      <x v="3"/>
    </i>
    <i>
      <x v="4"/>
    </i>
    <i>
      <x v="5"/>
    </i>
    <i>
      <x v="6"/>
    </i>
    <i>
      <x v="7"/>
    </i>
    <i>
      <x v="8"/>
    </i>
    <i>
      <x v="9"/>
    </i>
    <i t="grand">
      <x/>
    </i>
  </rowItems>
  <colFields count="1">
    <field x="1"/>
  </colFields>
  <colItems count="2">
    <i>
      <x/>
    </i>
    <i t="grand">
      <x/>
    </i>
  </colItems>
  <dataFields count="1">
    <dataField name="Sum of value" fld="2"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3" cacheId="8" applyNumberFormats="0" applyBorderFormats="0" applyFontFormats="0" applyPatternFormats="0" applyAlignmentFormats="0" applyWidthHeightFormats="1" dataCaption="Values" updatedVersion="3" minRefreshableVersion="3" showCalcMbrs="0" useAutoFormatting="1" colGrandTotals="0" itemPrintTitles="1" createdVersion="3" indent="0" compact="0" outline="1" outlineData="1" compactData="0" multipleFieldFilters="0">
  <location ref="A3:G96" firstHeaderRow="1" firstDataRow="2" firstDataCol="4"/>
  <pivotFields count="21">
    <pivotField compact="0" showAll="0" insertBlankRow="1"/>
    <pivotField compact="0" showAll="0" insertBlankRow="1"/>
    <pivotField compact="0" numFmtId="14" showAll="0" insertBlankRow="1"/>
    <pivotField compact="0" numFmtId="14" showAll="0" insertBlankRow="1"/>
    <pivotField compact="0" showAll="0" insertBlankRow="1"/>
    <pivotField compact="0" showAll="0" insertBlankRow="1"/>
    <pivotField compact="0" showAll="0" insertBlankRow="1"/>
    <pivotField compact="0" showAll="0" insertBlankRow="1"/>
    <pivotField axis="axisRow" compact="0" showAll="0" insertBlankRow="1">
      <items count="2">
        <item x="0"/>
        <item t="default"/>
      </items>
    </pivotField>
    <pivotField axis="axisRow" compact="0" showAll="0" insertBlankRow="1">
      <items count="38">
        <item x="34"/>
        <item x="35"/>
        <item x="22"/>
        <item x="29"/>
        <item x="3"/>
        <item x="27"/>
        <item x="18"/>
        <item x="28"/>
        <item x="16"/>
        <item x="2"/>
        <item x="5"/>
        <item x="9"/>
        <item x="23"/>
        <item x="0"/>
        <item x="12"/>
        <item x="25"/>
        <item x="1"/>
        <item x="6"/>
        <item x="15"/>
        <item x="26"/>
        <item x="31"/>
        <item x="14"/>
        <item x="19"/>
        <item x="20"/>
        <item x="11"/>
        <item x="36"/>
        <item x="10"/>
        <item x="32"/>
        <item x="13"/>
        <item x="30"/>
        <item x="33"/>
        <item x="8"/>
        <item x="4"/>
        <item x="24"/>
        <item x="21"/>
        <item x="7"/>
        <item x="17"/>
        <item t="default"/>
      </items>
    </pivotField>
    <pivotField axis="axisRow" compact="0" showAll="0" insertBlankRow="1">
      <items count="24">
        <item x="19"/>
        <item x="16"/>
        <item x="1"/>
        <item x="22"/>
        <item x="13"/>
        <item x="2"/>
        <item x="10"/>
        <item x="14"/>
        <item x="0"/>
        <item x="12"/>
        <item x="11"/>
        <item x="8"/>
        <item x="15"/>
        <item x="3"/>
        <item x="21"/>
        <item x="9"/>
        <item x="20"/>
        <item x="18"/>
        <item x="5"/>
        <item x="7"/>
        <item x="17"/>
        <item x="4"/>
        <item x="6"/>
        <item t="default"/>
      </items>
    </pivotField>
    <pivotField compact="0" showAll="0" insertBlankRow="1"/>
    <pivotField axis="axisRow" compact="0" showAll="0" insertBlankRow="1">
      <items count="5">
        <item x="2"/>
        <item x="3"/>
        <item x="0"/>
        <item x="1"/>
        <item t="default"/>
      </items>
    </pivotField>
    <pivotField compact="0" showAll="0" insertBlankRow="1"/>
    <pivotField compact="0" showAll="0" insertBlankRow="1"/>
    <pivotField compact="0" showAll="0" insertBlankRow="1"/>
    <pivotField compact="0" showAll="0" insertBlankRow="1"/>
    <pivotField compact="0" showAll="0" insertBlankRow="1"/>
    <pivotField dataField="1" compact="0" showAll="0" insertBlankRow="1"/>
    <pivotField dataField="1" compact="0" showAll="0" insertBlankRow="1"/>
    <pivotField dataField="1" compact="0" showAll="0" insertBlankRow="1"/>
  </pivotFields>
  <rowFields count="4">
    <field x="12"/>
    <field x="8"/>
    <field x="10"/>
    <field x="9"/>
  </rowFields>
  <rowItems count="92">
    <i>
      <x/>
    </i>
    <i r="1">
      <x/>
    </i>
    <i r="2">
      <x v="6"/>
    </i>
    <i r="3">
      <x v="2"/>
    </i>
    <i r="3">
      <x v="21"/>
    </i>
    <i r="3">
      <x v="25"/>
    </i>
    <i t="blank" r="2">
      <x v="6"/>
    </i>
    <i r="2">
      <x v="7"/>
    </i>
    <i r="3">
      <x v="22"/>
    </i>
    <i t="blank" r="2">
      <x v="7"/>
    </i>
    <i r="2">
      <x v="9"/>
    </i>
    <i r="3">
      <x v="15"/>
    </i>
    <i r="3">
      <x v="36"/>
    </i>
    <i t="blank" r="2">
      <x v="9"/>
    </i>
    <i r="2">
      <x v="10"/>
    </i>
    <i r="3">
      <x v="8"/>
    </i>
    <i r="3">
      <x v="20"/>
    </i>
    <i r="3">
      <x v="29"/>
    </i>
    <i r="3">
      <x v="30"/>
    </i>
    <i t="blank" r="2">
      <x v="10"/>
    </i>
    <i r="2">
      <x v="11"/>
    </i>
    <i r="3">
      <x v="11"/>
    </i>
    <i t="blank" r="2">
      <x v="11"/>
    </i>
    <i r="2">
      <x v="18"/>
    </i>
    <i r="3">
      <x v="10"/>
    </i>
    <i r="3">
      <x v="14"/>
    </i>
    <i r="3">
      <x v="28"/>
    </i>
    <i t="blank" r="2">
      <x v="18"/>
    </i>
    <i r="2">
      <x v="22"/>
    </i>
    <i r="3">
      <x v="17"/>
    </i>
    <i t="blank" r="2">
      <x v="22"/>
    </i>
    <i>
      <x v="1"/>
    </i>
    <i r="1">
      <x/>
    </i>
    <i r="2">
      <x v="4"/>
    </i>
    <i r="3">
      <x v="6"/>
    </i>
    <i t="blank" r="2">
      <x v="4"/>
    </i>
    <i r="2">
      <x v="12"/>
    </i>
    <i r="3">
      <x v="23"/>
    </i>
    <i r="3">
      <x v="34"/>
    </i>
    <i t="blank" r="2">
      <x v="12"/>
    </i>
    <i r="2">
      <x v="15"/>
    </i>
    <i r="3">
      <x v="26"/>
    </i>
    <i t="blank" r="2">
      <x v="15"/>
    </i>
    <i>
      <x v="2"/>
    </i>
    <i r="1">
      <x/>
    </i>
    <i r="2">
      <x/>
    </i>
    <i r="3">
      <x v="5"/>
    </i>
    <i t="blank" r="2">
      <x/>
    </i>
    <i r="2">
      <x v="5"/>
    </i>
    <i r="3">
      <x v="9"/>
    </i>
    <i r="3">
      <x v="18"/>
    </i>
    <i t="blank" r="2">
      <x v="5"/>
    </i>
    <i r="2">
      <x v="8"/>
    </i>
    <i r="3">
      <x v="13"/>
    </i>
    <i t="blank" r="2">
      <x v="8"/>
    </i>
    <i r="2">
      <x v="13"/>
    </i>
    <i r="3">
      <x v="1"/>
    </i>
    <i r="3">
      <x v="4"/>
    </i>
    <i r="3">
      <x v="7"/>
    </i>
    <i t="blank" r="2">
      <x v="13"/>
    </i>
    <i r="2">
      <x v="16"/>
    </i>
    <i r="3">
      <x v="3"/>
    </i>
    <i t="blank" r="2">
      <x v="16"/>
    </i>
    <i r="2">
      <x v="17"/>
    </i>
    <i r="3">
      <x v="19"/>
    </i>
    <i t="blank" r="2">
      <x v="17"/>
    </i>
    <i r="2">
      <x v="20"/>
    </i>
    <i r="3">
      <x v="33"/>
    </i>
    <i t="blank" r="2">
      <x v="20"/>
    </i>
    <i>
      <x v="3"/>
    </i>
    <i r="1">
      <x/>
    </i>
    <i r="2">
      <x v="1"/>
    </i>
    <i r="3">
      <x v="12"/>
    </i>
    <i t="blank" r="2">
      <x v="1"/>
    </i>
    <i r="2">
      <x v="2"/>
    </i>
    <i r="3">
      <x v="16"/>
    </i>
    <i r="3">
      <x v="31"/>
    </i>
    <i t="blank" r="2">
      <x v="2"/>
    </i>
    <i r="2">
      <x v="3"/>
    </i>
    <i r="3">
      <x/>
    </i>
    <i t="blank" r="2">
      <x v="3"/>
    </i>
    <i r="2">
      <x v="14"/>
    </i>
    <i r="3">
      <x v="27"/>
    </i>
    <i t="blank" r="2">
      <x v="14"/>
    </i>
    <i r="2">
      <x v="19"/>
    </i>
    <i r="3">
      <x v="24"/>
    </i>
    <i r="3">
      <x v="35"/>
    </i>
    <i t="blank" r="2">
      <x v="19"/>
    </i>
    <i r="2">
      <x v="21"/>
    </i>
    <i r="3">
      <x v="32"/>
    </i>
    <i t="blank" r="2">
      <x v="21"/>
    </i>
    <i t="grand">
      <x/>
    </i>
  </rowItems>
  <colFields count="1">
    <field x="-2"/>
  </colFields>
  <colItems count="3">
    <i>
      <x/>
    </i>
    <i i="1">
      <x v="1"/>
    </i>
    <i i="2">
      <x v="2"/>
    </i>
  </colItems>
  <dataFields count="3">
    <dataField name="Sum of Quantity" fld="18" baseField="0" baseItem="0"/>
    <dataField name="Sum of Discount" fld="19" baseField="0" baseItem="0"/>
    <dataField name="Sum of Profit" fld="20" baseField="0" baseItem="0"/>
  </dataFields>
  <pivotTableStyleInfo name="PivotStyleDark28" showRowHeaders="1" showColHeaders="1" showRowStripes="1"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47:D54" firstHeaderRow="1" firstDataRow="2" firstDataCol="1"/>
  <pivotFields count="8">
    <pivotField numFmtId="170" showAll="0"/>
    <pivotField showAll="0"/>
    <pivotField showAll="0"/>
    <pivotField showAll="0"/>
    <pivotField axis="axisRow" showAll="0">
      <items count="6">
        <item x="2"/>
        <item x="3"/>
        <item x="1"/>
        <item x="0"/>
        <item x="4"/>
        <item t="default"/>
      </items>
    </pivotField>
    <pivotField dataField="1" showAll="0"/>
    <pivotField dataField="1" numFmtId="169" showAll="0"/>
    <pivotField dataField="1" numFmtId="169" showAll="0"/>
  </pivotFields>
  <rowFields count="1">
    <field x="4"/>
  </rowFields>
  <rowItems count="6">
    <i>
      <x/>
    </i>
    <i>
      <x v="1"/>
    </i>
    <i>
      <x v="2"/>
    </i>
    <i>
      <x v="3"/>
    </i>
    <i>
      <x v="4"/>
    </i>
    <i t="grand">
      <x/>
    </i>
  </rowItems>
  <colFields count="1">
    <field x="-2"/>
  </colFields>
  <colItems count="3">
    <i>
      <x/>
    </i>
    <i i="1">
      <x v="1"/>
    </i>
    <i i="2">
      <x v="2"/>
    </i>
  </colItems>
  <dataFields count="3">
    <dataField name="Sum of Units" fld="5" baseField="0" baseItem="0"/>
    <dataField name="Sum of Unit_price" fld="6" baseField="0" baseItem="0"/>
    <dataField name="Sum of Sale_amt" fld="7" baseField="0" baseItem="0"/>
  </dataFields>
  <pivotTableStyleInfo name="PivotStyleLight18"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F187:J194" firstHeaderRow="1" firstDataRow="2" firstDataCol="1"/>
  <pivotFields count="6">
    <pivotField showAll="0"/>
    <pivotField axis="axisRow" showAll="0">
      <items count="6">
        <item x="3"/>
        <item x="4"/>
        <item x="1"/>
        <item x="0"/>
        <item x="2"/>
        <item t="default"/>
      </items>
    </pivotField>
    <pivotField dataField="1" showAll="0"/>
    <pivotField dataField="1" showAll="0"/>
    <pivotField dataField="1" showAll="0"/>
    <pivotField dataField="1" showAll="0"/>
  </pivotFields>
  <rowFields count="1">
    <field x="1"/>
  </rowFields>
  <rowItems count="6">
    <i>
      <x/>
    </i>
    <i>
      <x v="1"/>
    </i>
    <i>
      <x v="2"/>
    </i>
    <i>
      <x v="3"/>
    </i>
    <i>
      <x v="4"/>
    </i>
    <i t="grand">
      <x/>
    </i>
  </rowItems>
  <colFields count="1">
    <field x="-2"/>
  </colFields>
  <colItems count="4">
    <i>
      <x/>
    </i>
    <i i="1">
      <x v="1"/>
    </i>
    <i i="2">
      <x v="2"/>
    </i>
    <i i="3">
      <x v="3"/>
    </i>
  </colItems>
  <dataFields count="4">
    <dataField name="Sum of sub1" fld="2" baseField="0" baseItem="0"/>
    <dataField name="Sum of sub2" fld="3" baseField="0" baseItem="0"/>
    <dataField name="Sum of sub3" fld="4" baseField="0" baseItem="0"/>
    <dataField name="Sum of total"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P16:R44" firstHeaderRow="1" firstDataRow="2" firstDataCol="1"/>
  <pivotFields count="8">
    <pivotField showAll="0"/>
    <pivotField showAll="0">
      <items count="7">
        <item x="0"/>
        <item x="1"/>
        <item x="2"/>
        <item x="3"/>
        <item x="4"/>
        <item x="5"/>
        <item t="default"/>
      </items>
    </pivotField>
    <pivotField dataField="1" showAll="0"/>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170" showAll="0"/>
    <pivotField dataField="1" showAll="0" defaultSubtotal="0"/>
    <pivotField showAll="0" defaultSubtotal="0"/>
    <pivotField showAll="0" defaultSubtotal="0"/>
  </pivotFields>
  <rowFields count="1">
    <field x="3"/>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2">
    <i>
      <x/>
    </i>
    <i i="1">
      <x v="1"/>
    </i>
  </colItems>
  <dataFields count="2">
    <dataField name="Sum of amount" fld="2" baseField="0" baseItem="0"/>
    <dataField name="Count of month" fld="5"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1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Y117:Z144" firstHeaderRow="1" firstDataRow="1" firstDataCol="1"/>
  <pivotFields count="9">
    <pivotField showAll="0"/>
    <pivotField showAll="0"/>
    <pivotField dataField="1" showAll="0"/>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numFmtId="170" showAll="0"/>
    <pivotField showAll="0"/>
    <pivotField showAll="0"/>
    <pivotField showAll="0"/>
    <pivotField showAll="0" defaultSubtotal="0"/>
  </pivotFields>
  <rowFields count="1">
    <field x="3"/>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purchase am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V117:W137" firstHeaderRow="1" firstDataRow="1" firstDataCol="1"/>
  <pivotFields count="9">
    <pivotField axis="axisRow" showAll="0">
      <items count="6">
        <item x="0"/>
        <item x="1"/>
        <item x="2"/>
        <item x="3"/>
        <item x="4"/>
        <item t="default"/>
      </items>
    </pivotField>
    <pivotField showAll="0"/>
    <pivotField dataField="1" showAll="0"/>
    <pivotField showAll="0"/>
    <pivotField axis="axisRow" numFmtId="170" showAll="0">
      <items count="15">
        <item x="0"/>
        <item x="1"/>
        <item x="2"/>
        <item x="3"/>
        <item x="4"/>
        <item x="5"/>
        <item x="6"/>
        <item x="7"/>
        <item x="8"/>
        <item x="9"/>
        <item x="10"/>
        <item x="11"/>
        <item x="12"/>
        <item x="13"/>
        <item t="default"/>
      </items>
    </pivotField>
    <pivotField showAll="0"/>
    <pivotField showAll="0"/>
    <pivotField showAll="0"/>
    <pivotField showAll="0" defaultSubtotal="0"/>
  </pivotFields>
  <rowFields count="2">
    <field x="0"/>
    <field x="4"/>
  </rowFields>
  <rowItems count="20">
    <i>
      <x v="1"/>
    </i>
    <i r="1">
      <x v="1"/>
    </i>
    <i r="1">
      <x v="2"/>
    </i>
    <i r="1">
      <x v="3"/>
    </i>
    <i r="1">
      <x v="4"/>
    </i>
    <i r="1">
      <x v="5"/>
    </i>
    <i r="1">
      <x v="6"/>
    </i>
    <i>
      <x v="2"/>
    </i>
    <i r="1">
      <x v="6"/>
    </i>
    <i r="1">
      <x v="7"/>
    </i>
    <i r="1">
      <x v="8"/>
    </i>
    <i r="1">
      <x v="9"/>
    </i>
    <i r="1">
      <x v="10"/>
    </i>
    <i r="1">
      <x v="11"/>
    </i>
    <i>
      <x v="3"/>
    </i>
    <i r="1">
      <x v="1"/>
    </i>
    <i r="1">
      <x v="2"/>
    </i>
    <i r="1">
      <x v="3"/>
    </i>
    <i r="1">
      <x v="12"/>
    </i>
    <i t="grand">
      <x/>
    </i>
  </rowItems>
  <colItems count="1">
    <i/>
  </colItems>
  <dataFields count="1">
    <dataField name="Sum of purchase am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8" cacheId="12" applyNumberFormats="0" applyBorderFormats="0" applyFontFormats="0" applyPatternFormats="0" applyAlignmentFormats="0" applyWidthHeightFormats="1" dataCaption="Values" updatedVersion="8" minRefreshableVersion="3" showCalcMbrs="0" useAutoFormatting="1" itemPrintTitles="1" createdVersion="3" indent="0" outline="1" outlineData="1" multipleFieldFilters="0" fieldListSortAscending="1">
  <location ref="F272:I281" firstHeaderRow="1" firstDataRow="2" firstDataCol="1"/>
  <pivotFields count="5">
    <pivotField axis="axisRow" showAll="0">
      <items count="16">
        <item x="0"/>
        <item x="1"/>
        <item x="2"/>
        <item x="3"/>
        <item x="4"/>
        <item x="5"/>
        <item x="6"/>
        <item x="7"/>
        <item x="8"/>
        <item x="9"/>
        <item x="10"/>
        <item x="11"/>
        <item x="12"/>
        <item x="13"/>
        <item x="14"/>
        <item t="default"/>
      </items>
    </pivotField>
    <pivotField dataField="1" showAll="0"/>
    <pivotField dataField="1" showAll="0"/>
    <pivotField showAll="0"/>
    <pivotField dataField="1" showAll="0">
      <items count="16">
        <item h="1" x="0"/>
        <item h="1" x="1"/>
        <item h="1" x="2"/>
        <item h="1" x="3"/>
        <item h="1" x="4"/>
        <item h="1" x="5"/>
        <item h="1" x="6"/>
        <item h="1" x="7"/>
        <item x="8"/>
        <item x="9"/>
        <item x="10"/>
        <item x="11"/>
        <item x="12"/>
        <item x="13"/>
        <item x="14"/>
        <item t="default"/>
      </items>
    </pivotField>
  </pivotFields>
  <rowFields count="1">
    <field x="0"/>
  </rowFields>
  <rowItems count="8">
    <i>
      <x v="8"/>
    </i>
    <i>
      <x v="9"/>
    </i>
    <i>
      <x v="10"/>
    </i>
    <i>
      <x v="11"/>
    </i>
    <i>
      <x v="12"/>
    </i>
    <i>
      <x v="13"/>
    </i>
    <i>
      <x v="14"/>
    </i>
    <i t="grand">
      <x/>
    </i>
  </rowItems>
  <colFields count="1">
    <field x="-2"/>
  </colFields>
  <colItems count="3">
    <i>
      <x/>
    </i>
    <i i="1">
      <x v="1"/>
    </i>
    <i i="2">
      <x v="2"/>
    </i>
  </colItems>
  <dataFields count="3">
    <dataField name="Sum of date" fld="4" baseField="0" baseItem="0"/>
    <dataField name="Sum of duration" fld="1" baseField="0" baseItem="0"/>
    <dataField name="Sum of purchase amount" fld="2"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P117:Q121" firstHeaderRow="1" firstDataRow="1" firstDataCol="1"/>
  <pivotFields count="9">
    <pivotField axis="axisRow" showAll="0">
      <items count="6">
        <item x="0"/>
        <item x="1"/>
        <item x="2"/>
        <item x="3"/>
        <item x="4"/>
        <item t="default"/>
      </items>
    </pivotField>
    <pivotField showAll="0"/>
    <pivotField dataField="1" showAll="0"/>
    <pivotField showAll="0"/>
    <pivotField numFmtId="170" showAll="0">
      <items count="15">
        <item x="0"/>
        <item x="1"/>
        <item x="2"/>
        <item x="3"/>
        <item x="4"/>
        <item x="5"/>
        <item x="6"/>
        <item x="7"/>
        <item x="8"/>
        <item x="9"/>
        <item x="10"/>
        <item x="11"/>
        <item x="12"/>
        <item x="13"/>
        <item t="default"/>
      </items>
    </pivotField>
    <pivotField showAll="0"/>
    <pivotField showAll="0"/>
    <pivotField showAll="0"/>
    <pivotField showAll="0" defaultSubtotal="0">
      <items count="4">
        <item x="0"/>
        <item x="1"/>
        <item x="2"/>
        <item x="3"/>
      </items>
    </pivotField>
  </pivotFields>
  <rowFields count="1">
    <field x="0"/>
  </rowFields>
  <rowItems count="4">
    <i>
      <x v="1"/>
    </i>
    <i>
      <x v="2"/>
    </i>
    <i>
      <x v="3"/>
    </i>
    <i t="grand">
      <x/>
    </i>
  </rowItems>
  <colItems count="1">
    <i/>
  </colItems>
  <dataFields count="1">
    <dataField name="Sum of purchase am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2">
  <location ref="S117:T135" firstHeaderRow="1" firstDataRow="1" firstDataCol="1"/>
  <pivotFields count="9">
    <pivotField showAll="0"/>
    <pivotField showAll="0"/>
    <pivotField dataField="1" showAll="0"/>
    <pivotField showAll="0"/>
    <pivotField axis="axisRow" numFmtId="170" showAll="0">
      <items count="15">
        <item x="0"/>
        <item x="1"/>
        <item x="2"/>
        <item x="3"/>
        <item x="4"/>
        <item x="5"/>
        <item x="6"/>
        <item x="7"/>
        <item x="8"/>
        <item x="9"/>
        <item x="10"/>
        <item x="11"/>
        <item x="12"/>
        <item x="13"/>
        <item t="default"/>
      </items>
    </pivotField>
    <pivotField showAll="0"/>
    <pivotField showAll="0"/>
    <pivotField showAll="0"/>
    <pivotField axis="axisRow" showAll="0" defaultSubtotal="0">
      <items count="4">
        <item x="0"/>
        <item x="1"/>
        <item x="2"/>
        <item x="3"/>
      </items>
    </pivotField>
  </pivotFields>
  <rowFields count="2">
    <field x="8"/>
    <field x="4"/>
  </rowFields>
  <rowItems count="18">
    <i>
      <x v="1"/>
    </i>
    <i r="1">
      <x v="1"/>
    </i>
    <i r="1">
      <x v="2"/>
    </i>
    <i r="1">
      <x v="3"/>
    </i>
    <i r="1">
      <x v="4"/>
    </i>
    <i r="1">
      <x v="5"/>
    </i>
    <i r="1">
      <x v="6"/>
    </i>
    <i r="1">
      <x v="7"/>
    </i>
    <i r="1">
      <x v="8"/>
    </i>
    <i r="1">
      <x v="9"/>
    </i>
    <i r="1">
      <x v="10"/>
    </i>
    <i r="1">
      <x v="11"/>
    </i>
    <i r="1">
      <x v="12"/>
    </i>
    <i>
      <x v="2"/>
    </i>
    <i r="1">
      <x v="1"/>
    </i>
    <i r="1">
      <x v="2"/>
    </i>
    <i r="1">
      <x v="3"/>
    </i>
    <i t="grand">
      <x/>
    </i>
  </rowItems>
  <colItems count="1">
    <i/>
  </colItems>
  <dataFields count="1">
    <dataField name="Sum of purchase amount" fld="2"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G45:H50" firstHeaderRow="1" firstDataRow="1" firstDataCol="1"/>
  <pivotFields count="8">
    <pivotField showAll="0"/>
    <pivotField axis="axisRow" showAll="0">
      <items count="7">
        <item x="0"/>
        <item x="1"/>
        <item x="2"/>
        <item x="3"/>
        <item x="4"/>
        <item x="5"/>
        <item t="default"/>
      </items>
    </pivotField>
    <pivotField dataField="1" showAll="0"/>
    <pivotField showAll="0"/>
    <pivotField numFmtId="170" showAll="0"/>
    <pivotField showAll="0"/>
    <pivotField showAll="0"/>
    <pivotField showAll="0"/>
  </pivotFields>
  <rowFields count="1">
    <field x="1"/>
  </rowFields>
  <rowItems count="5">
    <i>
      <x v="1"/>
    </i>
    <i>
      <x v="2"/>
    </i>
    <i>
      <x v="3"/>
    </i>
    <i>
      <x v="4"/>
    </i>
    <i t="grand">
      <x/>
    </i>
  </rowItems>
  <colItems count="1">
    <i/>
  </colItems>
  <dataFields count="1">
    <dataField name="Sum of am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E252:E256" totalsRowShown="0">
  <autoFilter ref="E252:E256"/>
  <tableColumns count="1">
    <tableColumn id="1" name="tt"/>
  </tableColumns>
  <tableStyleInfo name="TableStyleMedium9" showFirstColumn="0" showLastColumn="0" showRowStripes="1" showColumnStripes="0"/>
</table>
</file>

<file path=xl/tables/table10.xml><?xml version="1.0" encoding="utf-8"?>
<table xmlns="http://schemas.openxmlformats.org/spreadsheetml/2006/main" id="7" name="Table7" displayName="Table7" ref="A1:H44" totalsRowShown="0">
  <autoFilter ref="A1:H44"/>
  <tableColumns count="8">
    <tableColumn id="1" name="OrderDate" dataDxfId="6"/>
    <tableColumn id="2" name="Region" dataDxfId="5"/>
    <tableColumn id="3" name="Manager"/>
    <tableColumn id="4" name="SalesMan" dataDxfId="4"/>
    <tableColumn id="5" name="Item" dataDxfId="3"/>
    <tableColumn id="6" name="Units" dataDxfId="2"/>
    <tableColumn id="7" name="Unit_price" dataDxfId="1" dataCellStyle="Comma"/>
    <tableColumn id="8" name="Sale_amt" dataDxfId="0">
      <calculatedColumnFormula>F2*G2</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F252:F256" totalsRowShown="0">
  <autoFilter ref="F252:F256"/>
  <tableColumns count="1">
    <tableColumn id="1" name="ttc"/>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G252:H256" totalsRowShown="0">
  <autoFilter ref="G252:H256"/>
  <tableColumns count="2">
    <tableColumn id="1" name="er"/>
    <tableColumn id="2" name="Column1"/>
  </tableColumns>
  <tableStyleInfo name="TableStyleMedium9" showFirstColumn="0" showLastColumn="0" showRowStripes="1" showColumnStripes="0"/>
</table>
</file>

<file path=xl/tables/table4.xml><?xml version="1.0" encoding="utf-8"?>
<table xmlns="http://schemas.openxmlformats.org/spreadsheetml/2006/main" id="8" name="Table8" displayName="Table8" ref="E88:G98" totalsRowShown="0">
  <autoFilter ref="E88:G98"/>
  <tableColumns count="3">
    <tableColumn id="1" name="date" dataDxfId="40"/>
    <tableColumn id="2" name="regions"/>
    <tableColumn id="3" name="value"/>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F173:K183" totalsRowShown="0">
  <autoFilter ref="F173:K183"/>
  <tableColumns count="6">
    <tableColumn id="1" name="roll no"/>
    <tableColumn id="2" name="name"/>
    <tableColumn id="3" name="sub1"/>
    <tableColumn id="4" name="sub2">
      <calculatedColumnFormula>H174+10</calculatedColumnFormula>
    </tableColumn>
    <tableColumn id="5" name="sub3">
      <calculatedColumnFormula>J173+100</calculatedColumnFormula>
    </tableColumn>
    <tableColumn id="6" name="total">
      <calculatedColumnFormula>SUM(H174:J174)</calculatedColumnFormula>
    </tableColumn>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H2:O28" totalsRowShown="0" headerRowDxfId="39" dataDxfId="38">
  <autoFilter ref="H2:O28"/>
  <tableColumns count="8">
    <tableColumn id="1" name="id" dataDxfId="37"/>
    <tableColumn id="2" name="duration" dataDxfId="36">
      <calculatedColumnFormula>I2+4</calculatedColumnFormula>
    </tableColumn>
    <tableColumn id="3" name="amount" dataDxfId="35">
      <calculatedColumnFormula>J2+10</calculatedColumnFormula>
    </tableColumn>
    <tableColumn id="4" name="code" dataDxfId="34"/>
    <tableColumn id="5" name="date" dataDxfId="33"/>
    <tableColumn id="6" name="month" dataDxfId="32">
      <calculatedColumnFormula>TEXT(Table6[[#This Row],[date]],"mmmm")</calculatedColumnFormula>
    </tableColumn>
    <tableColumn id="7" name="day" dataDxfId="31">
      <calculatedColumnFormula>TEXT(Table6[[#This Row],[date]],"dddd")</calculatedColumnFormula>
    </tableColumn>
    <tableColumn id="8" name="year" dataDxfId="30">
      <calculatedColumnFormula>TEXT(Table6[[#This Row],[date]],"yyyy")</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0" name="Table611" displayName="Table611" ref="G108:N134" totalsRowShown="0" headerRowDxfId="29" dataDxfId="28">
  <autoFilter ref="G108:N134"/>
  <tableColumns count="8">
    <tableColumn id="1" name="customer id" dataDxfId="27"/>
    <tableColumn id="2" name="duration" dataDxfId="26">
      <calculatedColumnFormula>H108+4</calculatedColumnFormula>
    </tableColumn>
    <tableColumn id="3" name="purchase amount" dataDxfId="25">
      <calculatedColumnFormula>I108+10</calculatedColumnFormula>
    </tableColumn>
    <tableColumn id="4" name="representative" dataDxfId="24"/>
    <tableColumn id="5" name="date" dataDxfId="23"/>
    <tableColumn id="6" name="month" dataDxfId="22">
      <calculatedColumnFormula>TEXT(Table611[[#This Row],[date]],"mmmm")</calculatedColumnFormula>
    </tableColumn>
    <tableColumn id="7" name="day" dataDxfId="21">
      <calculatedColumnFormula>TEXT(Table611[[#This Row],[date]],"dddd")</calculatedColumnFormula>
    </tableColumn>
    <tableColumn id="8" name="year" dataDxfId="20">
      <calculatedColumnFormula>TEXT(Table611[[#This Row],[date]],"yyyy")</calculatedColumnFormula>
    </tableColumn>
  </tableColumns>
  <tableStyleInfo name="TableStyleMedium9" showFirstColumn="0" showLastColumn="0" showRowStripes="1" showColumnStripes="0"/>
</table>
</file>

<file path=xl/tables/table8.xml><?xml version="1.0" encoding="utf-8"?>
<table xmlns="http://schemas.openxmlformats.org/spreadsheetml/2006/main" id="9" name="Table9" displayName="Table9" ref="G185:P200" totalsRowShown="0" headerRowDxfId="19" dataDxfId="18">
  <autoFilter ref="G185:P200"/>
  <tableColumns count="10">
    <tableColumn id="1" name="customer id" dataDxfId="17"/>
    <tableColumn id="2" name="duration" dataDxfId="16">
      <calculatedColumnFormula>H185+4</calculatedColumnFormula>
    </tableColumn>
    <tableColumn id="3" name="purchase amount" dataDxfId="15">
      <calculatedColumnFormula>I185+10</calculatedColumnFormula>
    </tableColumn>
    <tableColumn id="4" name="representative" dataDxfId="14"/>
    <tableColumn id="5" name="date" dataDxfId="13"/>
    <tableColumn id="6" name="month" dataDxfId="12">
      <calculatedColumnFormula>TEXT(K186,"mmmm")</calculatedColumnFormula>
    </tableColumn>
    <tableColumn id="7" name="day" dataDxfId="11">
      <calculatedColumnFormula>TEXT(K186,"dddd")</calculatedColumnFormula>
    </tableColumn>
    <tableColumn id="8" name="year" dataDxfId="10">
      <calculatedColumnFormula>TEXT(K186,"yyyy")</calculatedColumnFormula>
    </tableColumn>
    <tableColumn id="9" name="fill function" dataDxfId="9"/>
    <tableColumn id="10" name="Column1"/>
  </tableColumns>
  <tableStyleInfo name="TableStyleMedium9" showFirstColumn="0" showLastColumn="0" showRowStripes="1" showColumnStripes="0"/>
</table>
</file>

<file path=xl/tables/table9.xml><?xml version="1.0" encoding="utf-8"?>
<table xmlns="http://schemas.openxmlformats.org/spreadsheetml/2006/main" id="4" name="Table4" displayName="Table4" ref="A1:U112" totalsRowShown="0">
  <autoFilter ref="A1:U112"/>
  <tableColumns count="21">
    <tableColumn id="1" name="Row ID"/>
    <tableColumn id="2" name="Order ID"/>
    <tableColumn id="3" name="Order Date" dataDxfId="8"/>
    <tableColumn id="4" name="Ship Date" dataDxfId="7"/>
    <tableColumn id="5" name="Ship Mode"/>
    <tableColumn id="6" name="Customer ID"/>
    <tableColumn id="7" name="Customer Name"/>
    <tableColumn id="8" name="Segment"/>
    <tableColumn id="9" name="Country"/>
    <tableColumn id="10" name="City"/>
    <tableColumn id="11" name="State"/>
    <tableColumn id="12" name="Postal Code"/>
    <tableColumn id="13" name="Region"/>
    <tableColumn id="14" name="Product ID"/>
    <tableColumn id="15" name="Category"/>
    <tableColumn id="16" name="Sub-Category"/>
    <tableColumn id="17" name="Product Name"/>
    <tableColumn id="18" name="Sales"/>
    <tableColumn id="19" name="Quantity"/>
    <tableColumn id="20" name="Discount"/>
    <tableColumn id="21" name="Profi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singh9398/Elective-Session-Advance-Excel/blob/main/PIVOT%20TABLE%20PPT.pdf" TargetMode="External"/><Relationship Id="rId2" Type="http://schemas.openxmlformats.org/officeDocument/2006/relationships/hyperlink" Target="https://github.com/ksingh9398/Elective-Session-Advance-Excel/blob/main/Micro%20PPT.pdf" TargetMode="External"/><Relationship Id="rId1" Type="http://schemas.openxmlformats.org/officeDocument/2006/relationships/hyperlink" Target="https://github.com/ksingh9398/Elective-Session-Advance-Excel/blob/main/Data%20Validation%20PPT.pdf"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ksingh9398/Elective-Session-Advance-Excel/blob/main/PIVOT%20TABLE%20PPT.pdf" TargetMode="External"/><Relationship Id="rId2" Type="http://schemas.openxmlformats.org/officeDocument/2006/relationships/hyperlink" Target="https://github.com/ksingh9398/Elective-Session-Advance-Excel/blob/main/Micro%20PPT.pdf" TargetMode="External"/><Relationship Id="rId1" Type="http://schemas.openxmlformats.org/officeDocument/2006/relationships/hyperlink" Target="https://github.com/ksingh9398/Elective-Session-Advance-Excel/blob/main/Data%20Validation%20PPT.pdf"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rinterSettings" Target="../printerSettings/printerSettings2.bin"/><Relationship Id="rId7" Type="http://schemas.openxmlformats.org/officeDocument/2006/relationships/table" Target="../tables/table2.xml"/><Relationship Id="rId2" Type="http://schemas.openxmlformats.org/officeDocument/2006/relationships/hyperlink" Target="elective%20seassion\Elective%20session%20Note.xlsx" TargetMode="External"/><Relationship Id="rId1" Type="http://schemas.openxmlformats.org/officeDocument/2006/relationships/hyperlink" Target="Project%20Discution%201.docx"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13" Type="http://schemas.openxmlformats.org/officeDocument/2006/relationships/table" Target="../tables/table7.xml"/><Relationship Id="rId3" Type="http://schemas.openxmlformats.org/officeDocument/2006/relationships/pivotTable" Target="../pivotTables/pivotTable5.xml"/><Relationship Id="rId7" Type="http://schemas.openxmlformats.org/officeDocument/2006/relationships/pivotTable" Target="../pivotTables/pivotTable9.xml"/><Relationship Id="rId12" Type="http://schemas.openxmlformats.org/officeDocument/2006/relationships/table" Target="../tables/table6.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oleObject" Target="../embeddings/Microsoft_Office_PowerPoint_97-2003_Presentation1.ppt"/><Relationship Id="rId5" Type="http://schemas.openxmlformats.org/officeDocument/2006/relationships/pivotTable" Target="../pivotTables/pivotTable7.xml"/><Relationship Id="rId10" Type="http://schemas.openxmlformats.org/officeDocument/2006/relationships/vmlDrawing" Target="../drawings/vmlDrawing2.vml"/><Relationship Id="rId4" Type="http://schemas.openxmlformats.org/officeDocument/2006/relationships/pivotTable" Target="../pivotTables/pivotTable6.xml"/><Relationship Id="rId9" Type="http://schemas.openxmlformats.org/officeDocument/2006/relationships/drawing" Target="../drawings/drawing3.xml"/><Relationship Id="rId14" Type="http://schemas.openxmlformats.org/officeDocument/2006/relationships/table" Target="../tables/table8.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github.com/training-ml/PowerBI-Files"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sheetPr codeName="Sheet2">
    <tabColor rgb="FFFF0000"/>
  </sheetPr>
  <dimension ref="A1:AA150"/>
  <sheetViews>
    <sheetView workbookViewId="0">
      <selection activeCell="K12" sqref="K12"/>
    </sheetView>
  </sheetViews>
  <sheetFormatPr defaultRowHeight="14.4"/>
  <cols>
    <col min="1" max="1" width="11.5546875" customWidth="1"/>
    <col min="2" max="2" width="12.5546875" customWidth="1"/>
    <col min="3" max="3" width="19.33203125" bestFit="1" customWidth="1"/>
    <col min="5" max="5" width="11.77734375" bestFit="1" customWidth="1"/>
    <col min="6" max="6" width="17.44140625" bestFit="1" customWidth="1"/>
    <col min="7" max="7" width="10" bestFit="1" customWidth="1"/>
    <col min="8" max="8" width="23.5546875" bestFit="1" customWidth="1"/>
    <col min="9" max="9" width="9.44140625" bestFit="1" customWidth="1"/>
    <col min="10" max="10" width="13.21875" bestFit="1" customWidth="1"/>
    <col min="12" max="12" width="11.44140625" bestFit="1" customWidth="1"/>
    <col min="16" max="16" width="19.77734375" customWidth="1"/>
    <col min="19" max="19" width="8.88671875" customWidth="1"/>
  </cols>
  <sheetData>
    <row r="1" spans="1:12" ht="36.6">
      <c r="A1" s="1" t="s">
        <v>10</v>
      </c>
      <c r="B1" s="1"/>
      <c r="C1" s="1"/>
      <c r="D1" s="1"/>
      <c r="E1" s="1"/>
      <c r="F1" s="1"/>
      <c r="G1" s="1"/>
      <c r="I1" s="142" t="s">
        <v>1376</v>
      </c>
      <c r="J1" s="142"/>
      <c r="K1" s="142"/>
      <c r="L1" s="142"/>
    </row>
    <row r="2" spans="1:12" ht="31.2">
      <c r="A2" s="101" t="s">
        <v>9</v>
      </c>
      <c r="B2" s="101"/>
      <c r="C2" s="101"/>
      <c r="D2" s="101"/>
      <c r="E2" s="101"/>
      <c r="F2" s="101"/>
      <c r="G2" s="101"/>
      <c r="I2" s="46" t="s">
        <v>1377</v>
      </c>
    </row>
    <row r="3" spans="1:12" ht="21" customHeight="1">
      <c r="A3" s="102" t="s">
        <v>19</v>
      </c>
      <c r="B3" s="102"/>
      <c r="C3" s="102"/>
      <c r="D3" s="4"/>
      <c r="E3" s="4"/>
      <c r="F3" s="4"/>
      <c r="G3" s="4"/>
    </row>
    <row r="4" spans="1:12" ht="25.8">
      <c r="A4" s="19" t="s">
        <v>17</v>
      </c>
      <c r="B4" s="19" t="s">
        <v>20</v>
      </c>
      <c r="C4" s="19"/>
      <c r="I4" s="143" t="s">
        <v>1378</v>
      </c>
      <c r="J4" s="143"/>
    </row>
    <row r="5" spans="1:12" ht="18">
      <c r="A5" s="2" t="s">
        <v>8</v>
      </c>
      <c r="B5" s="2" t="s">
        <v>7</v>
      </c>
      <c r="C5" s="2" t="s">
        <v>6</v>
      </c>
      <c r="E5" s="5">
        <v>100</v>
      </c>
      <c r="F5">
        <v>50</v>
      </c>
      <c r="I5" s="46" t="s">
        <v>1379</v>
      </c>
    </row>
    <row r="6" spans="1:12">
      <c r="A6">
        <v>1</v>
      </c>
      <c r="B6" s="3" t="s">
        <v>5</v>
      </c>
      <c r="C6" t="s">
        <v>13</v>
      </c>
      <c r="E6" s="5">
        <v>200</v>
      </c>
      <c r="F6">
        <v>100</v>
      </c>
    </row>
    <row r="7" spans="1:12">
      <c r="A7">
        <v>2</v>
      </c>
      <c r="B7" s="3" t="s">
        <v>1</v>
      </c>
      <c r="E7" s="5">
        <v>300</v>
      </c>
      <c r="F7">
        <v>150</v>
      </c>
      <c r="I7" s="120" t="s">
        <v>1380</v>
      </c>
      <c r="J7" s="120"/>
      <c r="K7" s="120"/>
    </row>
    <row r="8" spans="1:12">
      <c r="A8">
        <v>3</v>
      </c>
      <c r="B8" s="3" t="s">
        <v>4</v>
      </c>
      <c r="C8" t="s">
        <v>15</v>
      </c>
      <c r="E8" s="5">
        <v>400</v>
      </c>
      <c r="F8">
        <v>200</v>
      </c>
      <c r="I8" s="120"/>
      <c r="J8" s="120"/>
      <c r="K8" s="120"/>
    </row>
    <row r="9" spans="1:12">
      <c r="A9">
        <v>4</v>
      </c>
      <c r="B9" s="3" t="s">
        <v>3</v>
      </c>
      <c r="E9" s="5">
        <v>500</v>
      </c>
      <c r="F9">
        <v>250</v>
      </c>
      <c r="I9" s="46" t="s">
        <v>1381</v>
      </c>
    </row>
    <row r="10" spans="1:12">
      <c r="A10">
        <v>5</v>
      </c>
      <c r="B10" s="3" t="s">
        <v>2</v>
      </c>
      <c r="E10" s="5">
        <v>600</v>
      </c>
      <c r="F10">
        <v>300</v>
      </c>
    </row>
    <row r="11" spans="1:12">
      <c r="A11">
        <v>6</v>
      </c>
      <c r="B11" s="3" t="s">
        <v>1</v>
      </c>
      <c r="E11" s="5">
        <v>700</v>
      </c>
      <c r="F11">
        <v>350</v>
      </c>
    </row>
    <row r="12" spans="1:12">
      <c r="A12">
        <v>7</v>
      </c>
      <c r="B12" s="3" t="s">
        <v>0</v>
      </c>
      <c r="E12" s="5">
        <v>800</v>
      </c>
      <c r="F12">
        <v>400</v>
      </c>
    </row>
    <row r="13" spans="1:12">
      <c r="A13">
        <v>8</v>
      </c>
      <c r="B13" s="3" t="s">
        <v>11</v>
      </c>
      <c r="E13" s="5">
        <v>900</v>
      </c>
      <c r="F13">
        <v>450</v>
      </c>
    </row>
    <row r="14" spans="1:12">
      <c r="A14">
        <v>9</v>
      </c>
      <c r="B14" s="3" t="s">
        <v>12</v>
      </c>
      <c r="E14" s="5">
        <v>1000</v>
      </c>
      <c r="F14">
        <v>500</v>
      </c>
    </row>
    <row r="15" spans="1:12">
      <c r="A15">
        <v>10</v>
      </c>
      <c r="B15" s="3" t="s">
        <v>14</v>
      </c>
      <c r="E15" s="5">
        <v>1100</v>
      </c>
      <c r="F15">
        <v>550</v>
      </c>
    </row>
    <row r="16" spans="1:12">
      <c r="A16">
        <v>11</v>
      </c>
      <c r="B16" s="3" t="s">
        <v>16</v>
      </c>
      <c r="E16" s="5">
        <v>1200</v>
      </c>
      <c r="F16">
        <v>600</v>
      </c>
    </row>
    <row r="17" spans="1:10">
      <c r="E17" s="5"/>
    </row>
    <row r="18" spans="1:10">
      <c r="E18" s="5"/>
    </row>
    <row r="19" spans="1:10" ht="25.8">
      <c r="A19" s="20" t="s">
        <v>18</v>
      </c>
      <c r="B19" s="20"/>
      <c r="C19" s="20"/>
      <c r="E19" s="5"/>
      <c r="G19" t="s">
        <v>22</v>
      </c>
      <c r="H19" t="s">
        <v>23</v>
      </c>
      <c r="I19" t="s">
        <v>24</v>
      </c>
      <c r="J19" t="s">
        <v>25</v>
      </c>
    </row>
    <row r="20" spans="1:10">
      <c r="A20">
        <v>1</v>
      </c>
      <c r="B20" s="25" t="s">
        <v>21</v>
      </c>
      <c r="D20">
        <v>60</v>
      </c>
      <c r="E20">
        <v>80</v>
      </c>
      <c r="F20">
        <v>79</v>
      </c>
      <c r="G20">
        <f>SUM(D20:F20)</f>
        <v>219</v>
      </c>
      <c r="H20">
        <f>AVERAGE(D20:F20)</f>
        <v>73</v>
      </c>
      <c r="I20">
        <f>MIN(D20:F20)</f>
        <v>60</v>
      </c>
      <c r="J20">
        <f>MAX(D20:F20)</f>
        <v>80</v>
      </c>
    </row>
    <row r="21" spans="1:10">
      <c r="A21">
        <v>2</v>
      </c>
      <c r="B21" s="25" t="s">
        <v>22</v>
      </c>
      <c r="D21">
        <v>70</v>
      </c>
      <c r="E21">
        <v>100</v>
      </c>
      <c r="F21">
        <v>89</v>
      </c>
      <c r="G21">
        <f t="shared" ref="G21:G34" si="0">SUM(D21:F21)</f>
        <v>259</v>
      </c>
      <c r="H21">
        <f t="shared" ref="H21:H34" si="1">AVERAGE(D21:F21)</f>
        <v>86.333333333333329</v>
      </c>
      <c r="I21">
        <f t="shared" ref="I21:I34" si="2">MIN(D21:F21)</f>
        <v>70</v>
      </c>
      <c r="J21">
        <f t="shared" ref="J21:J34" si="3">MAX(D21:F21)</f>
        <v>100</v>
      </c>
    </row>
    <row r="22" spans="1:10">
      <c r="A22">
        <v>3</v>
      </c>
      <c r="B22" s="25" t="s">
        <v>23</v>
      </c>
      <c r="D22">
        <v>80</v>
      </c>
      <c r="E22">
        <v>120</v>
      </c>
      <c r="F22">
        <v>99</v>
      </c>
      <c r="G22">
        <f t="shared" si="0"/>
        <v>299</v>
      </c>
      <c r="H22">
        <f t="shared" si="1"/>
        <v>99.666666666666671</v>
      </c>
      <c r="I22">
        <f t="shared" si="2"/>
        <v>80</v>
      </c>
      <c r="J22">
        <f t="shared" si="3"/>
        <v>120</v>
      </c>
    </row>
    <row r="23" spans="1:10">
      <c r="A23">
        <v>4</v>
      </c>
      <c r="B23" s="25" t="s">
        <v>24</v>
      </c>
      <c r="D23">
        <v>90</v>
      </c>
      <c r="E23">
        <v>140</v>
      </c>
      <c r="F23">
        <v>109</v>
      </c>
      <c r="G23">
        <f t="shared" si="0"/>
        <v>339</v>
      </c>
      <c r="H23">
        <f t="shared" si="1"/>
        <v>113</v>
      </c>
      <c r="I23">
        <f t="shared" si="2"/>
        <v>90</v>
      </c>
      <c r="J23">
        <f t="shared" si="3"/>
        <v>140</v>
      </c>
    </row>
    <row r="24" spans="1:10">
      <c r="A24">
        <v>5</v>
      </c>
      <c r="B24" s="25" t="s">
        <v>25</v>
      </c>
      <c r="D24">
        <v>100</v>
      </c>
      <c r="E24">
        <v>160</v>
      </c>
      <c r="F24">
        <v>119</v>
      </c>
      <c r="G24">
        <f t="shared" si="0"/>
        <v>379</v>
      </c>
      <c r="H24">
        <f t="shared" si="1"/>
        <v>126.33333333333333</v>
      </c>
      <c r="I24">
        <f t="shared" si="2"/>
        <v>100</v>
      </c>
      <c r="J24">
        <f t="shared" si="3"/>
        <v>160</v>
      </c>
    </row>
    <row r="25" spans="1:10">
      <c r="A25">
        <v>6</v>
      </c>
      <c r="B25" s="25" t="s">
        <v>27</v>
      </c>
      <c r="D25">
        <v>110</v>
      </c>
      <c r="E25">
        <v>180</v>
      </c>
      <c r="F25">
        <v>129</v>
      </c>
      <c r="G25">
        <f t="shared" si="0"/>
        <v>419</v>
      </c>
      <c r="H25">
        <f t="shared" si="1"/>
        <v>139.66666666666666</v>
      </c>
      <c r="I25">
        <f t="shared" si="2"/>
        <v>110</v>
      </c>
      <c r="J25">
        <f t="shared" si="3"/>
        <v>180</v>
      </c>
    </row>
    <row r="26" spans="1:10">
      <c r="A26">
        <v>7</v>
      </c>
      <c r="B26" s="25" t="s">
        <v>28</v>
      </c>
      <c r="D26">
        <v>120</v>
      </c>
      <c r="E26">
        <v>200</v>
      </c>
      <c r="F26">
        <v>139</v>
      </c>
      <c r="G26">
        <f t="shared" si="0"/>
        <v>459</v>
      </c>
      <c r="H26">
        <f t="shared" si="1"/>
        <v>153</v>
      </c>
      <c r="I26">
        <f t="shared" si="2"/>
        <v>120</v>
      </c>
      <c r="J26">
        <f t="shared" si="3"/>
        <v>200</v>
      </c>
    </row>
    <row r="27" spans="1:10">
      <c r="A27">
        <v>8</v>
      </c>
      <c r="D27">
        <v>130</v>
      </c>
      <c r="E27">
        <v>220</v>
      </c>
      <c r="F27">
        <v>149</v>
      </c>
      <c r="G27">
        <f t="shared" si="0"/>
        <v>499</v>
      </c>
      <c r="H27">
        <f t="shared" si="1"/>
        <v>166.33333333333334</v>
      </c>
      <c r="I27">
        <f t="shared" si="2"/>
        <v>130</v>
      </c>
      <c r="J27">
        <f t="shared" si="3"/>
        <v>220</v>
      </c>
    </row>
    <row r="28" spans="1:10">
      <c r="A28">
        <v>9</v>
      </c>
      <c r="D28">
        <v>140</v>
      </c>
      <c r="E28">
        <v>240</v>
      </c>
      <c r="F28">
        <v>159</v>
      </c>
      <c r="G28">
        <f t="shared" si="0"/>
        <v>539</v>
      </c>
      <c r="H28">
        <f t="shared" si="1"/>
        <v>179.66666666666666</v>
      </c>
      <c r="I28">
        <f t="shared" si="2"/>
        <v>140</v>
      </c>
      <c r="J28">
        <f t="shared" si="3"/>
        <v>240</v>
      </c>
    </row>
    <row r="29" spans="1:10">
      <c r="A29">
        <v>10</v>
      </c>
      <c r="D29">
        <v>150</v>
      </c>
      <c r="E29">
        <v>260</v>
      </c>
      <c r="F29">
        <v>169</v>
      </c>
      <c r="G29">
        <f t="shared" si="0"/>
        <v>579</v>
      </c>
      <c r="H29">
        <f t="shared" si="1"/>
        <v>193</v>
      </c>
      <c r="I29">
        <f t="shared" si="2"/>
        <v>150</v>
      </c>
      <c r="J29">
        <f t="shared" si="3"/>
        <v>260</v>
      </c>
    </row>
    <row r="30" spans="1:10">
      <c r="D30">
        <v>160</v>
      </c>
      <c r="E30">
        <v>280</v>
      </c>
      <c r="F30">
        <v>179</v>
      </c>
      <c r="G30">
        <f t="shared" si="0"/>
        <v>619</v>
      </c>
      <c r="H30">
        <f t="shared" si="1"/>
        <v>206.33333333333334</v>
      </c>
      <c r="I30">
        <f t="shared" si="2"/>
        <v>160</v>
      </c>
      <c r="J30">
        <f t="shared" si="3"/>
        <v>280</v>
      </c>
    </row>
    <row r="31" spans="1:10">
      <c r="D31">
        <v>170</v>
      </c>
      <c r="E31">
        <v>300</v>
      </c>
      <c r="F31">
        <v>189</v>
      </c>
      <c r="G31">
        <f t="shared" si="0"/>
        <v>659</v>
      </c>
      <c r="H31">
        <f t="shared" si="1"/>
        <v>219.66666666666666</v>
      </c>
      <c r="I31">
        <f t="shared" si="2"/>
        <v>170</v>
      </c>
      <c r="J31">
        <f t="shared" si="3"/>
        <v>300</v>
      </c>
    </row>
    <row r="32" spans="1:10">
      <c r="D32">
        <v>180</v>
      </c>
      <c r="E32">
        <v>320</v>
      </c>
      <c r="F32">
        <v>199</v>
      </c>
      <c r="G32">
        <f t="shared" si="0"/>
        <v>699</v>
      </c>
      <c r="H32">
        <f t="shared" si="1"/>
        <v>233</v>
      </c>
      <c r="I32">
        <f t="shared" si="2"/>
        <v>180</v>
      </c>
      <c r="J32">
        <f t="shared" si="3"/>
        <v>320</v>
      </c>
    </row>
    <row r="33" spans="1:20">
      <c r="D33">
        <v>190</v>
      </c>
      <c r="E33">
        <v>340</v>
      </c>
      <c r="F33">
        <v>209</v>
      </c>
      <c r="G33">
        <f t="shared" si="0"/>
        <v>739</v>
      </c>
      <c r="H33">
        <f t="shared" si="1"/>
        <v>246.33333333333334</v>
      </c>
      <c r="I33">
        <f t="shared" si="2"/>
        <v>190</v>
      </c>
      <c r="J33">
        <f t="shared" si="3"/>
        <v>340</v>
      </c>
    </row>
    <row r="34" spans="1:20">
      <c r="D34">
        <v>200</v>
      </c>
      <c r="E34">
        <v>360</v>
      </c>
      <c r="F34">
        <v>219</v>
      </c>
      <c r="G34">
        <f t="shared" si="0"/>
        <v>779</v>
      </c>
      <c r="H34">
        <f t="shared" si="1"/>
        <v>259.66666666666669</v>
      </c>
      <c r="I34">
        <f t="shared" si="2"/>
        <v>200</v>
      </c>
      <c r="J34">
        <f t="shared" si="3"/>
        <v>360</v>
      </c>
    </row>
    <row r="35" spans="1:20">
      <c r="F35" t="s">
        <v>26</v>
      </c>
      <c r="G35">
        <f>SUM(G20:G34)</f>
        <v>7485</v>
      </c>
      <c r="H35">
        <f t="shared" ref="H35:J35" si="4">SUM(H20:H34)</f>
        <v>2495</v>
      </c>
      <c r="I35">
        <f t="shared" si="4"/>
        <v>1950</v>
      </c>
      <c r="J35">
        <f t="shared" si="4"/>
        <v>3300</v>
      </c>
    </row>
    <row r="37" spans="1:20" ht="25.8">
      <c r="A37" s="22" t="s">
        <v>29</v>
      </c>
      <c r="B37" s="16"/>
      <c r="C37" s="16"/>
    </row>
    <row r="38" spans="1:20">
      <c r="B38" s="24" t="s">
        <v>30</v>
      </c>
      <c r="C38" s="7">
        <f ca="1">NOW()</f>
        <v>45309.747134953701</v>
      </c>
    </row>
    <row r="39" spans="1:20">
      <c r="B39" s="25" t="s">
        <v>31</v>
      </c>
      <c r="C39" s="8">
        <f ca="1">TODAY()</f>
        <v>45309</v>
      </c>
    </row>
    <row r="40" spans="1:20">
      <c r="B40" s="25" t="s">
        <v>32</v>
      </c>
      <c r="C40">
        <f>MOD(7,3)</f>
        <v>1</v>
      </c>
    </row>
    <row r="41" spans="1:20">
      <c r="B41" s="25" t="s">
        <v>33</v>
      </c>
      <c r="C41" s="8" t="e">
        <f>DATE(year,month,day)</f>
        <v>#NAME?</v>
      </c>
    </row>
    <row r="42" spans="1:20">
      <c r="B42" s="25" t="s">
        <v>34</v>
      </c>
      <c r="F42" s="9" t="s">
        <v>64</v>
      </c>
      <c r="G42" s="9" t="s">
        <v>48</v>
      </c>
      <c r="H42" s="9" t="s">
        <v>49</v>
      </c>
      <c r="I42" s="9" t="s">
        <v>50</v>
      </c>
      <c r="J42" s="9" t="s">
        <v>62</v>
      </c>
      <c r="K42" s="9" t="s">
        <v>61</v>
      </c>
      <c r="L42" s="9" t="s">
        <v>63</v>
      </c>
      <c r="N42" s="9" t="s">
        <v>65</v>
      </c>
      <c r="P42" s="9" t="s">
        <v>71</v>
      </c>
      <c r="Q42" s="9"/>
    </row>
    <row r="43" spans="1:20">
      <c r="F43" t="s">
        <v>43</v>
      </c>
      <c r="G43" t="str">
        <f>UPPER(F43:F50)</f>
        <v>NAVIN</v>
      </c>
      <c r="H43" t="str">
        <f>LOWER(F43)</f>
        <v>navin</v>
      </c>
      <c r="I43" t="str">
        <f>PROPER(F43)</f>
        <v>Navin</v>
      </c>
      <c r="J43" t="str">
        <f>LEFT(F43)</f>
        <v>n</v>
      </c>
      <c r="K43" t="str">
        <f>RIGHT(F43)</f>
        <v>n</v>
      </c>
      <c r="L43" t="str">
        <f>MID(F43,2,2)</f>
        <v>av</v>
      </c>
      <c r="N43" t="s">
        <v>66</v>
      </c>
      <c r="P43">
        <v>-91</v>
      </c>
      <c r="Q43" t="s">
        <v>73</v>
      </c>
      <c r="R43">
        <v>461</v>
      </c>
      <c r="S43">
        <v>213</v>
      </c>
      <c r="T43">
        <v>465456</v>
      </c>
    </row>
    <row r="44" spans="1:20" ht="18">
      <c r="A44" s="21" t="s">
        <v>35</v>
      </c>
      <c r="B44" s="21"/>
      <c r="C44" s="21"/>
      <c r="D44" s="21"/>
      <c r="E44" s="6"/>
      <c r="F44" t="s">
        <v>44</v>
      </c>
      <c r="G44" t="str">
        <f t="shared" ref="G44:G52" si="5">UPPER(H44:H51)</f>
        <v>KUMAR</v>
      </c>
      <c r="H44" t="str">
        <f t="shared" ref="H44:H52" si="6">LOWER(F44)</f>
        <v>kumar</v>
      </c>
      <c r="I44" t="str">
        <f t="shared" ref="I44:I52" si="7">PROPER(F44)</f>
        <v>Kumar</v>
      </c>
      <c r="J44" t="str">
        <f t="shared" ref="J44:J52" si="8">LEFT(F44)</f>
        <v>k</v>
      </c>
      <c r="K44" t="str">
        <f t="shared" ref="K44:K52" si="9">RIGHT(F44)</f>
        <v>r</v>
      </c>
      <c r="L44" t="str">
        <f t="shared" ref="L44:L52" si="10">MID(F44,2,2)</f>
        <v>um</v>
      </c>
      <c r="N44" t="s">
        <v>67</v>
      </c>
      <c r="P44">
        <v>-91</v>
      </c>
      <c r="Q44" t="s">
        <v>73</v>
      </c>
      <c r="R44">
        <v>461</v>
      </c>
      <c r="S44">
        <v>213</v>
      </c>
      <c r="T44">
        <v>465456</v>
      </c>
    </row>
    <row r="45" spans="1:20">
      <c r="A45" s="25" t="s">
        <v>36</v>
      </c>
      <c r="B45" t="s">
        <v>37</v>
      </c>
      <c r="C45" t="s">
        <v>38</v>
      </c>
      <c r="F45" t="s">
        <v>45</v>
      </c>
      <c r="G45" t="str">
        <f t="shared" si="5"/>
        <v>SINGH</v>
      </c>
      <c r="H45" t="str">
        <f t="shared" si="6"/>
        <v>singh</v>
      </c>
      <c r="I45" t="str">
        <f t="shared" si="7"/>
        <v>Singh</v>
      </c>
      <c r="J45" t="str">
        <f t="shared" si="8"/>
        <v>s</v>
      </c>
      <c r="K45" t="str">
        <f t="shared" si="9"/>
        <v>h</v>
      </c>
      <c r="L45" t="str">
        <f t="shared" si="10"/>
        <v>in</v>
      </c>
      <c r="N45" t="s">
        <v>68</v>
      </c>
      <c r="P45">
        <v>-91</v>
      </c>
      <c r="Q45" t="s">
        <v>73</v>
      </c>
      <c r="R45">
        <v>461</v>
      </c>
      <c r="S45">
        <v>213</v>
      </c>
      <c r="T45">
        <v>465456</v>
      </c>
    </row>
    <row r="46" spans="1:20">
      <c r="A46" s="25" t="s">
        <v>39</v>
      </c>
      <c r="C46" t="s">
        <v>41</v>
      </c>
      <c r="F46" t="s">
        <v>54</v>
      </c>
      <c r="G46" t="str">
        <f t="shared" si="5"/>
        <v>MANISH</v>
      </c>
      <c r="H46" t="str">
        <f t="shared" si="6"/>
        <v>manish</v>
      </c>
      <c r="I46" t="str">
        <f t="shared" si="7"/>
        <v>Manish</v>
      </c>
      <c r="J46" t="str">
        <f t="shared" si="8"/>
        <v>m</v>
      </c>
      <c r="K46" t="str">
        <f t="shared" si="9"/>
        <v>h</v>
      </c>
      <c r="L46" t="str">
        <f t="shared" si="10"/>
        <v>an</v>
      </c>
      <c r="N46" t="s">
        <v>69</v>
      </c>
      <c r="P46">
        <v>-91</v>
      </c>
      <c r="Q46" t="s">
        <v>73</v>
      </c>
      <c r="R46">
        <v>461</v>
      </c>
      <c r="S46">
        <v>213</v>
      </c>
      <c r="T46">
        <v>465456</v>
      </c>
    </row>
    <row r="47" spans="1:20">
      <c r="A47" s="25" t="s">
        <v>40</v>
      </c>
      <c r="C47" t="s">
        <v>42</v>
      </c>
      <c r="F47" t="s">
        <v>55</v>
      </c>
      <c r="G47" t="str">
        <f t="shared" si="5"/>
        <v>AKRITI</v>
      </c>
      <c r="H47" t="str">
        <f t="shared" si="6"/>
        <v>akriti</v>
      </c>
      <c r="I47" t="str">
        <f t="shared" si="7"/>
        <v>Akriti</v>
      </c>
      <c r="J47" t="str">
        <f t="shared" si="8"/>
        <v>a</v>
      </c>
      <c r="K47" t="str">
        <f t="shared" si="9"/>
        <v>i</v>
      </c>
      <c r="L47" t="str">
        <f t="shared" si="10"/>
        <v>kr</v>
      </c>
      <c r="P47">
        <v>-91</v>
      </c>
      <c r="Q47" t="s">
        <v>73</v>
      </c>
      <c r="R47">
        <v>461</v>
      </c>
      <c r="S47">
        <v>213</v>
      </c>
      <c r="T47">
        <v>465456</v>
      </c>
    </row>
    <row r="48" spans="1:20">
      <c r="A48" s="25" t="s">
        <v>46</v>
      </c>
      <c r="C48" t="s">
        <v>47</v>
      </c>
      <c r="F48" t="s">
        <v>56</v>
      </c>
      <c r="G48" t="str">
        <f t="shared" si="5"/>
        <v>JOYA</v>
      </c>
      <c r="H48" t="str">
        <f t="shared" si="6"/>
        <v>joya</v>
      </c>
      <c r="I48" t="str">
        <f t="shared" si="7"/>
        <v>Joya</v>
      </c>
      <c r="J48" t="str">
        <f t="shared" si="8"/>
        <v>j</v>
      </c>
      <c r="K48" t="str">
        <f t="shared" si="9"/>
        <v>a</v>
      </c>
      <c r="L48" t="str">
        <f t="shared" si="10"/>
        <v>oy</v>
      </c>
      <c r="P48">
        <v>-91</v>
      </c>
      <c r="Q48" t="s">
        <v>73</v>
      </c>
      <c r="R48">
        <v>461</v>
      </c>
      <c r="S48">
        <v>213</v>
      </c>
      <c r="T48">
        <v>465456</v>
      </c>
    </row>
    <row r="49" spans="1:20">
      <c r="A49" s="25" t="s">
        <v>51</v>
      </c>
      <c r="F49" t="s">
        <v>57</v>
      </c>
      <c r="G49" t="str">
        <f t="shared" si="5"/>
        <v>VIKASH</v>
      </c>
      <c r="H49" t="str">
        <f t="shared" si="6"/>
        <v>vikash</v>
      </c>
      <c r="I49" t="str">
        <f t="shared" si="7"/>
        <v>Vikash</v>
      </c>
      <c r="J49" t="str">
        <f t="shared" si="8"/>
        <v>v</v>
      </c>
      <c r="K49" t="str">
        <f t="shared" si="9"/>
        <v>h</v>
      </c>
      <c r="L49" t="str">
        <f t="shared" si="10"/>
        <v>ik</v>
      </c>
      <c r="P49">
        <v>-91</v>
      </c>
      <c r="Q49" t="s">
        <v>73</v>
      </c>
      <c r="R49">
        <v>461</v>
      </c>
      <c r="S49">
        <v>213</v>
      </c>
      <c r="T49">
        <v>465456</v>
      </c>
    </row>
    <row r="50" spans="1:20">
      <c r="A50" s="25" t="s">
        <v>52</v>
      </c>
      <c r="F50" t="s">
        <v>58</v>
      </c>
      <c r="G50" t="str">
        <f t="shared" si="5"/>
        <v>MUKESH</v>
      </c>
      <c r="H50" t="str">
        <f t="shared" si="6"/>
        <v>mukesh</v>
      </c>
      <c r="I50" t="str">
        <f t="shared" si="7"/>
        <v>Mukesh</v>
      </c>
      <c r="J50" t="str">
        <f t="shared" si="8"/>
        <v>M</v>
      </c>
      <c r="K50" t="str">
        <f t="shared" si="9"/>
        <v>h</v>
      </c>
      <c r="L50" t="str">
        <f t="shared" si="10"/>
        <v>uk</v>
      </c>
      <c r="P50">
        <v>-91</v>
      </c>
      <c r="Q50" t="s">
        <v>73</v>
      </c>
      <c r="R50">
        <v>461</v>
      </c>
      <c r="S50">
        <v>213</v>
      </c>
      <c r="T50">
        <v>465456</v>
      </c>
    </row>
    <row r="51" spans="1:20">
      <c r="A51" s="25" t="s">
        <v>53</v>
      </c>
      <c r="F51" t="s">
        <v>59</v>
      </c>
      <c r="G51" t="str">
        <f t="shared" si="5"/>
        <v>NUSRAT</v>
      </c>
      <c r="H51" t="str">
        <f t="shared" si="6"/>
        <v>nusrat</v>
      </c>
      <c r="I51" t="str">
        <f t="shared" si="7"/>
        <v>Nusrat</v>
      </c>
      <c r="J51" t="str">
        <f t="shared" si="8"/>
        <v>N</v>
      </c>
      <c r="K51" t="str">
        <f t="shared" si="9"/>
        <v>t</v>
      </c>
      <c r="L51" t="str">
        <f t="shared" si="10"/>
        <v>us</v>
      </c>
      <c r="P51">
        <v>-91</v>
      </c>
      <c r="Q51" t="s">
        <v>73</v>
      </c>
      <c r="R51">
        <v>461</v>
      </c>
      <c r="S51">
        <v>213</v>
      </c>
      <c r="T51">
        <v>465456</v>
      </c>
    </row>
    <row r="52" spans="1:20">
      <c r="A52" s="25" t="s">
        <v>72</v>
      </c>
      <c r="C52" t="s">
        <v>70</v>
      </c>
      <c r="F52" t="s">
        <v>60</v>
      </c>
      <c r="G52" t="str">
        <f t="shared" si="5"/>
        <v>SHALNI</v>
      </c>
      <c r="H52" t="str">
        <f t="shared" si="6"/>
        <v>shalni</v>
      </c>
      <c r="I52" t="str">
        <f t="shared" si="7"/>
        <v>Shalni</v>
      </c>
      <c r="J52" t="str">
        <f t="shared" si="8"/>
        <v>S</v>
      </c>
      <c r="K52" t="str">
        <f t="shared" si="9"/>
        <v>I</v>
      </c>
      <c r="L52" t="str">
        <f t="shared" si="10"/>
        <v>HA</v>
      </c>
    </row>
    <row r="55" spans="1:20" ht="23.4">
      <c r="A55" s="18" t="s">
        <v>74</v>
      </c>
      <c r="B55" s="18"/>
      <c r="C55" s="18"/>
      <c r="D55" s="18"/>
    </row>
    <row r="56" spans="1:20" ht="18">
      <c r="A56" s="25" t="s">
        <v>75</v>
      </c>
      <c r="D56" t="s">
        <v>81</v>
      </c>
      <c r="E56" t="s">
        <v>82</v>
      </c>
      <c r="G56" s="10" t="s">
        <v>85</v>
      </c>
      <c r="H56" s="10" t="s">
        <v>86</v>
      </c>
      <c r="I56" s="10" t="s">
        <v>87</v>
      </c>
      <c r="J56" s="10" t="s">
        <v>88</v>
      </c>
      <c r="K56" s="10" t="s">
        <v>89</v>
      </c>
      <c r="L56" s="11" t="s">
        <v>90</v>
      </c>
    </row>
    <row r="57" spans="1:20" ht="15.6">
      <c r="A57" s="25" t="s">
        <v>76</v>
      </c>
      <c r="D57" t="s">
        <v>77</v>
      </c>
      <c r="E57">
        <v>1200</v>
      </c>
      <c r="G57" s="12" t="s">
        <v>91</v>
      </c>
      <c r="H57" s="13">
        <v>44872</v>
      </c>
      <c r="I57" s="12" t="s">
        <v>92</v>
      </c>
      <c r="J57" s="12" t="s">
        <v>93</v>
      </c>
      <c r="K57" s="12">
        <v>91</v>
      </c>
      <c r="L57" s="14"/>
    </row>
    <row r="58" spans="1:20" ht="15.6">
      <c r="A58" s="25" t="s">
        <v>84</v>
      </c>
      <c r="D58" t="s">
        <v>78</v>
      </c>
      <c r="E58">
        <v>1300</v>
      </c>
      <c r="G58" s="12" t="s">
        <v>94</v>
      </c>
      <c r="H58" s="13">
        <v>44874</v>
      </c>
      <c r="I58" s="12" t="s">
        <v>95</v>
      </c>
      <c r="J58" s="12" t="s">
        <v>96</v>
      </c>
      <c r="K58" s="12">
        <v>89</v>
      </c>
      <c r="L58" s="14"/>
    </row>
    <row r="59" spans="1:20" ht="15.6">
      <c r="A59" s="25" t="s">
        <v>127</v>
      </c>
      <c r="D59" t="s">
        <v>79</v>
      </c>
      <c r="E59">
        <v>1400</v>
      </c>
      <c r="G59" s="12" t="s">
        <v>97</v>
      </c>
      <c r="H59" s="13">
        <v>44875</v>
      </c>
      <c r="I59" s="12" t="s">
        <v>98</v>
      </c>
      <c r="J59" s="12" t="s">
        <v>99</v>
      </c>
      <c r="K59" s="12">
        <v>58</v>
      </c>
      <c r="L59" s="14"/>
    </row>
    <row r="60" spans="1:20" ht="15.6">
      <c r="A60" s="25" t="s">
        <v>76</v>
      </c>
      <c r="D60" t="s">
        <v>80</v>
      </c>
      <c r="E60">
        <v>1500</v>
      </c>
      <c r="G60" s="12" t="s">
        <v>100</v>
      </c>
      <c r="H60" s="13">
        <v>44872</v>
      </c>
      <c r="I60" s="12" t="s">
        <v>92</v>
      </c>
      <c r="J60" s="12" t="s">
        <v>93</v>
      </c>
      <c r="K60" s="12">
        <v>17</v>
      </c>
      <c r="L60" s="14"/>
    </row>
    <row r="61" spans="1:20" ht="15.6">
      <c r="A61" s="25" t="s">
        <v>128</v>
      </c>
      <c r="D61" t="s">
        <v>77</v>
      </c>
      <c r="E61">
        <v>1600</v>
      </c>
      <c r="G61" s="12" t="s">
        <v>101</v>
      </c>
      <c r="H61" s="13">
        <v>44872</v>
      </c>
      <c r="I61" s="12" t="s">
        <v>92</v>
      </c>
      <c r="J61" s="12" t="s">
        <v>93</v>
      </c>
      <c r="K61" s="12">
        <v>34</v>
      </c>
      <c r="L61" s="14"/>
    </row>
    <row r="62" spans="1:20" ht="15.6">
      <c r="D62" t="s">
        <v>77</v>
      </c>
      <c r="E62">
        <v>1700</v>
      </c>
      <c r="G62" s="12" t="s">
        <v>102</v>
      </c>
      <c r="H62" s="13">
        <v>44875</v>
      </c>
      <c r="I62" s="12" t="s">
        <v>98</v>
      </c>
      <c r="J62" s="12" t="s">
        <v>99</v>
      </c>
      <c r="K62" s="12">
        <v>74</v>
      </c>
      <c r="L62" s="14"/>
    </row>
    <row r="63" spans="1:20" ht="15.6">
      <c r="D63" t="s">
        <v>78</v>
      </c>
      <c r="E63">
        <v>1800</v>
      </c>
      <c r="G63" s="12" t="s">
        <v>103</v>
      </c>
      <c r="H63" s="13">
        <v>44874</v>
      </c>
      <c r="I63" s="12" t="s">
        <v>95</v>
      </c>
      <c r="J63" s="12" t="s">
        <v>96</v>
      </c>
      <c r="K63" s="12">
        <v>18</v>
      </c>
      <c r="L63" s="14"/>
    </row>
    <row r="64" spans="1:20" ht="15.6">
      <c r="D64" t="s">
        <v>79</v>
      </c>
      <c r="E64">
        <v>1900</v>
      </c>
      <c r="G64" s="12" t="s">
        <v>104</v>
      </c>
      <c r="H64" s="13">
        <v>44874</v>
      </c>
      <c r="I64" s="12" t="s">
        <v>95</v>
      </c>
      <c r="J64" s="12" t="s">
        <v>96</v>
      </c>
      <c r="K64" s="12">
        <v>37</v>
      </c>
      <c r="L64" s="14"/>
    </row>
    <row r="65" spans="3:12" ht="15.6">
      <c r="D65" t="s">
        <v>80</v>
      </c>
      <c r="E65">
        <v>2000</v>
      </c>
      <c r="G65" s="12" t="s">
        <v>105</v>
      </c>
      <c r="H65" s="13">
        <v>44875</v>
      </c>
      <c r="I65" s="12" t="s">
        <v>98</v>
      </c>
      <c r="J65" s="12" t="s">
        <v>99</v>
      </c>
      <c r="K65" s="12">
        <v>79</v>
      </c>
      <c r="L65" s="14"/>
    </row>
    <row r="66" spans="3:12" ht="15.6">
      <c r="D66" t="s">
        <v>77</v>
      </c>
      <c r="E66">
        <v>2100</v>
      </c>
      <c r="G66" s="12" t="s">
        <v>106</v>
      </c>
      <c r="H66" s="13">
        <v>44874</v>
      </c>
      <c r="I66" s="12" t="s">
        <v>95</v>
      </c>
      <c r="J66" s="12" t="s">
        <v>96</v>
      </c>
      <c r="K66" s="12">
        <v>5</v>
      </c>
      <c r="L66" s="14"/>
    </row>
    <row r="67" spans="3:12" ht="15.6">
      <c r="G67" s="12" t="s">
        <v>107</v>
      </c>
      <c r="H67" s="13">
        <v>44874</v>
      </c>
      <c r="I67" s="12" t="s">
        <v>95</v>
      </c>
      <c r="J67" s="12" t="s">
        <v>96</v>
      </c>
      <c r="K67" s="12">
        <v>84</v>
      </c>
      <c r="L67" s="14"/>
    </row>
    <row r="68" spans="3:12" ht="15.6">
      <c r="C68" t="s">
        <v>83</v>
      </c>
      <c r="D68" t="s">
        <v>77</v>
      </c>
      <c r="E68">
        <f>SUMIF(D57:D66,D68,E57:E66)</f>
        <v>6600</v>
      </c>
      <c r="G68" s="12" t="s">
        <v>108</v>
      </c>
      <c r="H68" s="13">
        <v>44872</v>
      </c>
      <c r="I68" s="12" t="s">
        <v>92</v>
      </c>
      <c r="J68" s="12" t="s">
        <v>93</v>
      </c>
      <c r="K68" s="12">
        <v>58</v>
      </c>
      <c r="L68" s="14"/>
    </row>
    <row r="69" spans="3:12" ht="15.6">
      <c r="D69" t="s">
        <v>79</v>
      </c>
      <c r="E69">
        <f>SUMIF(D57:D66,D69,E57:E66)</f>
        <v>3300</v>
      </c>
      <c r="G69" s="12" t="s">
        <v>109</v>
      </c>
      <c r="H69" s="13">
        <v>44874</v>
      </c>
      <c r="I69" s="12" t="s">
        <v>95</v>
      </c>
      <c r="J69" s="12" t="s">
        <v>96</v>
      </c>
      <c r="K69" s="12">
        <v>86</v>
      </c>
      <c r="L69" s="14"/>
    </row>
    <row r="70" spans="3:12" ht="15.6">
      <c r="G70" s="12" t="s">
        <v>110</v>
      </c>
      <c r="H70" s="13">
        <v>44874</v>
      </c>
      <c r="I70" s="12" t="s">
        <v>95</v>
      </c>
      <c r="J70" s="12" t="s">
        <v>96</v>
      </c>
      <c r="K70" s="12">
        <v>44</v>
      </c>
      <c r="L70" s="14"/>
    </row>
    <row r="71" spans="3:12" ht="15.6">
      <c r="C71" t="s">
        <v>84</v>
      </c>
      <c r="D71" t="s">
        <v>77</v>
      </c>
      <c r="E71">
        <f>COUNTIF(D57:D66,D71)</f>
        <v>4</v>
      </c>
      <c r="G71" s="12" t="s">
        <v>111</v>
      </c>
      <c r="H71" s="13">
        <v>44872</v>
      </c>
      <c r="I71" s="12" t="s">
        <v>92</v>
      </c>
      <c r="J71" s="12" t="s">
        <v>93</v>
      </c>
      <c r="K71" s="12">
        <v>36</v>
      </c>
      <c r="L71" s="14"/>
    </row>
    <row r="72" spans="3:12" ht="15.6">
      <c r="G72" s="12" t="s">
        <v>112</v>
      </c>
      <c r="H72" s="13">
        <v>44875</v>
      </c>
      <c r="I72" s="12" t="s">
        <v>98</v>
      </c>
      <c r="J72" s="12" t="s">
        <v>99</v>
      </c>
      <c r="K72" s="12">
        <v>53</v>
      </c>
      <c r="L72" s="14"/>
    </row>
    <row r="73" spans="3:12" ht="15.6">
      <c r="G73" s="12" t="s">
        <v>113</v>
      </c>
      <c r="H73" s="13">
        <v>44874</v>
      </c>
      <c r="I73" s="12" t="s">
        <v>95</v>
      </c>
      <c r="J73" s="12" t="s">
        <v>96</v>
      </c>
      <c r="K73" s="12">
        <v>29</v>
      </c>
      <c r="L73" s="14"/>
    </row>
    <row r="74" spans="3:12" ht="15.6">
      <c r="G74" s="12" t="s">
        <v>114</v>
      </c>
      <c r="H74" s="13">
        <v>44872</v>
      </c>
      <c r="I74" s="12" t="s">
        <v>92</v>
      </c>
      <c r="J74" s="12" t="s">
        <v>93</v>
      </c>
      <c r="K74" s="12">
        <v>22</v>
      </c>
      <c r="L74" s="14"/>
    </row>
    <row r="75" spans="3:12" ht="15.6">
      <c r="G75" s="12" t="s">
        <v>115</v>
      </c>
      <c r="H75" s="13">
        <v>44875</v>
      </c>
      <c r="I75" s="12" t="s">
        <v>98</v>
      </c>
      <c r="J75" s="12" t="s">
        <v>99</v>
      </c>
      <c r="K75" s="12">
        <v>44</v>
      </c>
      <c r="L75" s="14"/>
    </row>
    <row r="76" spans="3:12" ht="15.6">
      <c r="G76" s="12" t="s">
        <v>116</v>
      </c>
      <c r="H76" s="13">
        <v>44872</v>
      </c>
      <c r="I76" s="12" t="s">
        <v>92</v>
      </c>
      <c r="J76" s="12" t="s">
        <v>93</v>
      </c>
      <c r="K76" s="12">
        <v>89</v>
      </c>
      <c r="L76" s="14"/>
    </row>
    <row r="78" spans="3:12" ht="15.6">
      <c r="I78" s="15" t="s">
        <v>117</v>
      </c>
      <c r="J78" s="15" t="s">
        <v>99</v>
      </c>
      <c r="K78">
        <f>SUMIF(J57:J76,J78,K57:K76)</f>
        <v>308</v>
      </c>
    </row>
    <row r="79" spans="3:12" ht="15.6">
      <c r="I79" s="15" t="s">
        <v>118</v>
      </c>
      <c r="J79" s="15" t="s">
        <v>93</v>
      </c>
      <c r="K79">
        <f>COUNTIF(J57:J76,J79)</f>
        <v>7</v>
      </c>
      <c r="L79">
        <f>COUNTIF(J57:J76,J62)</f>
        <v>5</v>
      </c>
    </row>
    <row r="80" spans="3:12" ht="15.6">
      <c r="I80" s="15" t="s">
        <v>121</v>
      </c>
      <c r="J80">
        <f>COUNT(K57:K76)</f>
        <v>20</v>
      </c>
      <c r="K80">
        <f>COUNT(G57:G76)</f>
        <v>0</v>
      </c>
      <c r="L80" t="s">
        <v>119</v>
      </c>
    </row>
    <row r="81" spans="1:13" ht="15.6">
      <c r="I81" s="15" t="s">
        <v>122</v>
      </c>
      <c r="J81">
        <f>COUNTA(G57:G76)</f>
        <v>20</v>
      </c>
      <c r="L81" t="s">
        <v>120</v>
      </c>
    </row>
    <row r="82" spans="1:13" ht="15.6">
      <c r="H82" t="s">
        <v>123</v>
      </c>
      <c r="I82" s="15"/>
      <c r="J82">
        <f>COUNTBLANK(K57:K76)</f>
        <v>0</v>
      </c>
      <c r="K82">
        <f>COUNTBLANK(L57:L76)</f>
        <v>20</v>
      </c>
    </row>
    <row r="83" spans="1:13" ht="15.6">
      <c r="I83" s="15" t="s">
        <v>26</v>
      </c>
      <c r="J83">
        <f>COUNT(K57:K76)</f>
        <v>20</v>
      </c>
    </row>
    <row r="84" spans="1:13">
      <c r="H84" t="s">
        <v>124</v>
      </c>
      <c r="J84" t="s">
        <v>126</v>
      </c>
      <c r="K84">
        <f>SUMIF(J57:J76,J84,K57:K76)</f>
        <v>347</v>
      </c>
    </row>
    <row r="85" spans="1:13">
      <c r="J85" t="s">
        <v>99</v>
      </c>
      <c r="K85">
        <f>SUMIF(J58:J77,J85,K58:K77)</f>
        <v>308</v>
      </c>
    </row>
    <row r="86" spans="1:13">
      <c r="J86" t="s">
        <v>125</v>
      </c>
      <c r="K86">
        <f>SUMIF(J59:J78,J86,K59:K78)</f>
        <v>303</v>
      </c>
    </row>
    <row r="88" spans="1:13" ht="23.4">
      <c r="A88" s="18" t="s">
        <v>129</v>
      </c>
      <c r="B88" s="18"/>
      <c r="C88" s="18"/>
    </row>
    <row r="89" spans="1:13">
      <c r="A89" s="25" t="s">
        <v>156</v>
      </c>
      <c r="D89" t="s">
        <v>130</v>
      </c>
      <c r="E89" t="s">
        <v>135</v>
      </c>
      <c r="F89" t="s">
        <v>140</v>
      </c>
      <c r="H89" s="9" t="s">
        <v>157</v>
      </c>
      <c r="K89" s="103" t="s">
        <v>159</v>
      </c>
      <c r="L89" s="103"/>
      <c r="M89" s="103"/>
    </row>
    <row r="90" spans="1:13">
      <c r="A90" s="25" t="s">
        <v>160</v>
      </c>
      <c r="D90" t="s">
        <v>131</v>
      </c>
      <c r="E90" t="s">
        <v>136</v>
      </c>
      <c r="F90" t="s">
        <v>141</v>
      </c>
      <c r="H90" t="s">
        <v>144</v>
      </c>
      <c r="I90" t="s">
        <v>145</v>
      </c>
      <c r="J90" t="s">
        <v>146</v>
      </c>
      <c r="K90">
        <f>SEARCH("-",F90,1)</f>
        <v>7</v>
      </c>
    </row>
    <row r="91" spans="1:13">
      <c r="A91" s="25" t="s">
        <v>161</v>
      </c>
      <c r="D91" t="s">
        <v>132</v>
      </c>
      <c r="E91" t="s">
        <v>137</v>
      </c>
      <c r="F91" t="s">
        <v>143</v>
      </c>
      <c r="H91" t="s">
        <v>147</v>
      </c>
      <c r="I91" t="s">
        <v>148</v>
      </c>
      <c r="J91" t="s">
        <v>149</v>
      </c>
      <c r="K91">
        <f t="shared" ref="K91:K92" si="11">SEARCH("-",F91,1)</f>
        <v>6</v>
      </c>
    </row>
    <row r="92" spans="1:13">
      <c r="A92" s="25" t="s">
        <v>162</v>
      </c>
      <c r="D92" t="s">
        <v>133</v>
      </c>
      <c r="E92" t="s">
        <v>138</v>
      </c>
      <c r="F92" t="s">
        <v>142</v>
      </c>
      <c r="H92" t="s">
        <v>150</v>
      </c>
      <c r="I92" t="s">
        <v>151</v>
      </c>
      <c r="J92" t="s">
        <v>152</v>
      </c>
      <c r="K92">
        <f t="shared" si="11"/>
        <v>5</v>
      </c>
    </row>
    <row r="93" spans="1:13">
      <c r="A93" s="25" t="s">
        <v>163</v>
      </c>
      <c r="D93" t="s">
        <v>134</v>
      </c>
      <c r="E93" t="s">
        <v>139</v>
      </c>
      <c r="H93" t="s">
        <v>153</v>
      </c>
      <c r="I93" t="s">
        <v>154</v>
      </c>
      <c r="J93" t="s">
        <v>155</v>
      </c>
    </row>
    <row r="94" spans="1:13">
      <c r="A94" s="25" t="s">
        <v>164</v>
      </c>
    </row>
    <row r="95" spans="1:13">
      <c r="H95" t="s">
        <v>158</v>
      </c>
    </row>
    <row r="96" spans="1:13">
      <c r="F96" s="9" t="s">
        <v>62</v>
      </c>
    </row>
    <row r="97" spans="2:13">
      <c r="F97" t="str">
        <f>LEFT(F89,SEARCH("-",F89,1)-1)</f>
        <v>dress</v>
      </c>
    </row>
    <row r="98" spans="2:13">
      <c r="F98" t="str">
        <f t="shared" ref="F98:F99" si="12">LEFT(F90,SEARCH("-",F90,1)-1)</f>
        <v>Tshirt</v>
      </c>
    </row>
    <row r="99" spans="2:13">
      <c r="F99" t="str">
        <f t="shared" si="12"/>
        <v>shirt</v>
      </c>
    </row>
    <row r="100" spans="2:13">
      <c r="B100" s="9" t="s">
        <v>165</v>
      </c>
      <c r="C100" s="9" t="s">
        <v>166</v>
      </c>
      <c r="D100" s="9" t="s">
        <v>167</v>
      </c>
      <c r="E100" s="9" t="s">
        <v>168</v>
      </c>
      <c r="F100" s="17" t="s">
        <v>174</v>
      </c>
      <c r="G100" s="17" t="s">
        <v>162</v>
      </c>
      <c r="H100" s="17" t="s">
        <v>176</v>
      </c>
      <c r="I100" s="17" t="s">
        <v>177</v>
      </c>
      <c r="J100" s="17" t="s">
        <v>178</v>
      </c>
      <c r="K100" s="17" t="s">
        <v>179</v>
      </c>
      <c r="L100" s="17" t="s">
        <v>180</v>
      </c>
      <c r="M100" s="17" t="s">
        <v>181</v>
      </c>
    </row>
    <row r="101" spans="2:13">
      <c r="B101" t="s">
        <v>169</v>
      </c>
      <c r="C101">
        <v>57</v>
      </c>
      <c r="D101">
        <v>79</v>
      </c>
      <c r="E101">
        <v>63</v>
      </c>
      <c r="F101">
        <f>IF(E101&lt;100,E101+50,E101-50)</f>
        <v>113</v>
      </c>
      <c r="G101">
        <f>IF(D101&gt;70,IF(C101&gt;60,C101+10,D101-20))</f>
        <v>59</v>
      </c>
      <c r="H101" t="b">
        <f>AND(C101&gt;60,D101&gt;70)</f>
        <v>0</v>
      </c>
      <c r="I101" t="b">
        <f>OR(C101&gt;50,D101&gt;90)</f>
        <v>1</v>
      </c>
      <c r="J101">
        <f>IF(AND(C101&gt;60,D101&gt;70),C101+50,D101-20)</f>
        <v>59</v>
      </c>
      <c r="K101">
        <f>IF(OR(C101&gt;60,D101&gt;70),C101+50,D101-20)</f>
        <v>107</v>
      </c>
      <c r="L101">
        <f>IF(AND(C101&gt;50,D101&gt;80,E101&gt;60),C101+20,D101+30)</f>
        <v>109</v>
      </c>
      <c r="M101">
        <f>IF(OR(C101&gt;50,D101&gt;80,E101&gt;60),C101+20,D101+30)</f>
        <v>77</v>
      </c>
    </row>
    <row r="102" spans="2:13">
      <c r="B102" t="s">
        <v>170</v>
      </c>
      <c r="C102">
        <v>98</v>
      </c>
      <c r="D102">
        <v>89</v>
      </c>
      <c r="E102">
        <v>56</v>
      </c>
      <c r="F102">
        <f t="shared" ref="F102:F109" si="13">IF(E102&lt;100,E102+50,E102-50)</f>
        <v>106</v>
      </c>
      <c r="G102">
        <f t="shared" ref="G102:G104" si="14">IF(D102&gt;70,IF(C102&gt;60,C102+10,D102-20))</f>
        <v>108</v>
      </c>
      <c r="H102" t="b">
        <f t="shared" ref="H102:H112" si="15">AND(C102&gt;60,D102&gt;70)</f>
        <v>1</v>
      </c>
      <c r="I102" t="b">
        <f t="shared" ref="I102:I112" si="16">OR(C102&gt;50,D102&gt;90)</f>
        <v>1</v>
      </c>
      <c r="J102">
        <f t="shared" ref="J102:J112" si="17">IF(AND(C102&gt;60,D102&gt;70),C102+50,D102-20)</f>
        <v>148</v>
      </c>
      <c r="K102">
        <f t="shared" ref="K102:K112" si="18">IF(OR(C102&gt;60,D102&gt;70),C102+50,D102-20)</f>
        <v>148</v>
      </c>
      <c r="L102">
        <f t="shared" ref="L102:L112" si="19">IF(AND(C102&gt;50,D102&gt;80,E102&gt;60),C102+20,D102+30)</f>
        <v>119</v>
      </c>
      <c r="M102">
        <f t="shared" ref="M102:M112" si="20">IF(OR(C102&gt;50,D102&gt;80,E102&gt;60),C102+20,D102+30)</f>
        <v>118</v>
      </c>
    </row>
    <row r="103" spans="2:13">
      <c r="B103" t="s">
        <v>171</v>
      </c>
      <c r="C103">
        <v>89</v>
      </c>
      <c r="D103">
        <v>57</v>
      </c>
      <c r="E103">
        <v>89</v>
      </c>
      <c r="F103">
        <f t="shared" si="13"/>
        <v>139</v>
      </c>
      <c r="G103" t="b">
        <f>IF(D103&gt;70,IF(C103&gt;60,C103+10,D103-20))</f>
        <v>0</v>
      </c>
      <c r="H103" t="b">
        <f t="shared" si="15"/>
        <v>0</v>
      </c>
      <c r="I103" t="b">
        <f t="shared" si="16"/>
        <v>1</v>
      </c>
      <c r="J103">
        <f t="shared" si="17"/>
        <v>37</v>
      </c>
      <c r="K103">
        <f t="shared" si="18"/>
        <v>139</v>
      </c>
      <c r="L103">
        <f t="shared" si="19"/>
        <v>87</v>
      </c>
      <c r="M103">
        <f t="shared" si="20"/>
        <v>109</v>
      </c>
    </row>
    <row r="104" spans="2:13">
      <c r="B104" t="s">
        <v>172</v>
      </c>
      <c r="C104">
        <v>74</v>
      </c>
      <c r="D104">
        <v>85</v>
      </c>
      <c r="E104">
        <v>75</v>
      </c>
      <c r="F104">
        <f t="shared" si="13"/>
        <v>125</v>
      </c>
      <c r="G104">
        <f t="shared" si="14"/>
        <v>84</v>
      </c>
      <c r="H104" t="b">
        <f t="shared" si="15"/>
        <v>1</v>
      </c>
      <c r="I104" t="b">
        <f t="shared" si="16"/>
        <v>1</v>
      </c>
      <c r="J104">
        <f t="shared" si="17"/>
        <v>124</v>
      </c>
      <c r="K104">
        <f t="shared" si="18"/>
        <v>124</v>
      </c>
      <c r="L104">
        <f t="shared" si="19"/>
        <v>94</v>
      </c>
      <c r="M104">
        <f t="shared" si="20"/>
        <v>94</v>
      </c>
    </row>
    <row r="105" spans="2:13">
      <c r="B105" t="s">
        <v>173</v>
      </c>
      <c r="C105">
        <v>56</v>
      </c>
      <c r="D105">
        <v>45</v>
      </c>
      <c r="E105">
        <v>35</v>
      </c>
      <c r="F105">
        <f t="shared" si="13"/>
        <v>85</v>
      </c>
      <c r="G105" t="s">
        <v>175</v>
      </c>
      <c r="H105" t="b">
        <f t="shared" si="15"/>
        <v>0</v>
      </c>
      <c r="I105" t="b">
        <f t="shared" si="16"/>
        <v>1</v>
      </c>
      <c r="J105">
        <f t="shared" si="17"/>
        <v>25</v>
      </c>
      <c r="K105">
        <f t="shared" si="18"/>
        <v>25</v>
      </c>
      <c r="L105">
        <f t="shared" si="19"/>
        <v>75</v>
      </c>
      <c r="M105">
        <f t="shared" si="20"/>
        <v>76</v>
      </c>
    </row>
    <row r="106" spans="2:13">
      <c r="B106" t="s">
        <v>43</v>
      </c>
      <c r="C106">
        <v>94</v>
      </c>
      <c r="D106">
        <v>89</v>
      </c>
      <c r="E106">
        <v>74</v>
      </c>
      <c r="F106">
        <f t="shared" si="13"/>
        <v>124</v>
      </c>
      <c r="H106" t="b">
        <f t="shared" si="15"/>
        <v>1</v>
      </c>
      <c r="I106" t="b">
        <f t="shared" si="16"/>
        <v>1</v>
      </c>
      <c r="J106">
        <f t="shared" si="17"/>
        <v>144</v>
      </c>
      <c r="K106">
        <f t="shared" si="18"/>
        <v>144</v>
      </c>
      <c r="L106">
        <f t="shared" si="19"/>
        <v>114</v>
      </c>
      <c r="M106">
        <f t="shared" si="20"/>
        <v>114</v>
      </c>
    </row>
    <row r="107" spans="2:13">
      <c r="B107" t="s">
        <v>169</v>
      </c>
      <c r="C107">
        <v>79</v>
      </c>
      <c r="D107">
        <v>79</v>
      </c>
      <c r="E107">
        <v>150</v>
      </c>
      <c r="F107">
        <f t="shared" si="13"/>
        <v>100</v>
      </c>
      <c r="H107" t="b">
        <f t="shared" si="15"/>
        <v>1</v>
      </c>
      <c r="I107" t="b">
        <f t="shared" si="16"/>
        <v>1</v>
      </c>
      <c r="J107">
        <f t="shared" si="17"/>
        <v>129</v>
      </c>
      <c r="K107">
        <f t="shared" si="18"/>
        <v>129</v>
      </c>
      <c r="L107">
        <f t="shared" si="19"/>
        <v>109</v>
      </c>
      <c r="M107">
        <f t="shared" si="20"/>
        <v>99</v>
      </c>
    </row>
    <row r="108" spans="2:13">
      <c r="B108" t="s">
        <v>170</v>
      </c>
      <c r="C108">
        <v>89</v>
      </c>
      <c r="D108">
        <v>89</v>
      </c>
      <c r="E108">
        <v>105</v>
      </c>
      <c r="F108">
        <f t="shared" si="13"/>
        <v>55</v>
      </c>
      <c r="H108" t="b">
        <f t="shared" si="15"/>
        <v>1</v>
      </c>
      <c r="I108" t="b">
        <f t="shared" si="16"/>
        <v>1</v>
      </c>
      <c r="J108">
        <f t="shared" si="17"/>
        <v>139</v>
      </c>
      <c r="K108">
        <f t="shared" si="18"/>
        <v>139</v>
      </c>
      <c r="L108">
        <f t="shared" si="19"/>
        <v>109</v>
      </c>
      <c r="M108">
        <f t="shared" si="20"/>
        <v>109</v>
      </c>
    </row>
    <row r="109" spans="2:13">
      <c r="B109" t="s">
        <v>171</v>
      </c>
      <c r="C109">
        <v>57</v>
      </c>
      <c r="D109">
        <v>57</v>
      </c>
      <c r="E109">
        <v>107</v>
      </c>
      <c r="F109">
        <f t="shared" si="13"/>
        <v>57</v>
      </c>
      <c r="H109" t="b">
        <f t="shared" si="15"/>
        <v>0</v>
      </c>
      <c r="I109" t="b">
        <f t="shared" si="16"/>
        <v>1</v>
      </c>
      <c r="J109">
        <f t="shared" si="17"/>
        <v>37</v>
      </c>
      <c r="K109">
        <f t="shared" si="18"/>
        <v>37</v>
      </c>
      <c r="L109">
        <f t="shared" si="19"/>
        <v>87</v>
      </c>
      <c r="M109">
        <f t="shared" si="20"/>
        <v>77</v>
      </c>
    </row>
    <row r="110" spans="2:13">
      <c r="B110" t="s">
        <v>172</v>
      </c>
      <c r="C110">
        <v>85</v>
      </c>
      <c r="D110">
        <v>85</v>
      </c>
      <c r="H110" t="b">
        <f t="shared" si="15"/>
        <v>1</v>
      </c>
      <c r="I110" t="b">
        <f t="shared" si="16"/>
        <v>1</v>
      </c>
      <c r="J110">
        <f t="shared" si="17"/>
        <v>135</v>
      </c>
      <c r="K110">
        <f t="shared" si="18"/>
        <v>135</v>
      </c>
      <c r="L110">
        <f t="shared" si="19"/>
        <v>115</v>
      </c>
      <c r="M110">
        <f t="shared" si="20"/>
        <v>105</v>
      </c>
    </row>
    <row r="111" spans="2:13">
      <c r="B111" t="s">
        <v>173</v>
      </c>
      <c r="C111">
        <v>45</v>
      </c>
      <c r="D111">
        <v>45</v>
      </c>
      <c r="H111" t="b">
        <f t="shared" si="15"/>
        <v>0</v>
      </c>
      <c r="I111" t="b">
        <f t="shared" si="16"/>
        <v>0</v>
      </c>
      <c r="J111">
        <f t="shared" si="17"/>
        <v>25</v>
      </c>
      <c r="K111">
        <f t="shared" si="18"/>
        <v>25</v>
      </c>
      <c r="L111">
        <f t="shared" si="19"/>
        <v>75</v>
      </c>
      <c r="M111">
        <f t="shared" si="20"/>
        <v>75</v>
      </c>
    </row>
    <row r="112" spans="2:13">
      <c r="B112" t="s">
        <v>43</v>
      </c>
      <c r="C112">
        <v>89</v>
      </c>
      <c r="D112">
        <v>89</v>
      </c>
      <c r="H112" t="b">
        <f t="shared" si="15"/>
        <v>1</v>
      </c>
      <c r="I112" t="b">
        <f t="shared" si="16"/>
        <v>1</v>
      </c>
      <c r="J112">
        <f t="shared" si="17"/>
        <v>139</v>
      </c>
      <c r="K112">
        <f t="shared" si="18"/>
        <v>139</v>
      </c>
      <c r="L112">
        <f t="shared" si="19"/>
        <v>119</v>
      </c>
      <c r="M112">
        <f t="shared" si="20"/>
        <v>109</v>
      </c>
    </row>
    <row r="115" spans="1:27" ht="25.8">
      <c r="A115" s="104" t="s">
        <v>182</v>
      </c>
      <c r="B115" s="104"/>
      <c r="C115" s="104"/>
    </row>
    <row r="116" spans="1:27">
      <c r="A116" s="25" t="s">
        <v>117</v>
      </c>
      <c r="C116" t="s">
        <v>184</v>
      </c>
    </row>
    <row r="117" spans="1:27">
      <c r="A117" s="25" t="s">
        <v>183</v>
      </c>
    </row>
    <row r="118" spans="1:27">
      <c r="C118" t="s">
        <v>185</v>
      </c>
    </row>
    <row r="123" spans="1:27" ht="23.4">
      <c r="A123" s="105" t="s">
        <v>186</v>
      </c>
      <c r="B123" s="105"/>
      <c r="C123" s="105"/>
    </row>
    <row r="124" spans="1:27">
      <c r="A124" s="25" t="s">
        <v>187</v>
      </c>
    </row>
    <row r="125" spans="1:27">
      <c r="A125" s="25" t="s">
        <v>188</v>
      </c>
    </row>
    <row r="126" spans="1:27">
      <c r="A126" s="25" t="s">
        <v>189</v>
      </c>
    </row>
    <row r="127" spans="1:27">
      <c r="A127" s="25" t="s">
        <v>192</v>
      </c>
      <c r="B127" t="s">
        <v>193</v>
      </c>
      <c r="C127" t="s">
        <v>190</v>
      </c>
      <c r="D127">
        <v>1</v>
      </c>
      <c r="E127">
        <v>2</v>
      </c>
      <c r="F127">
        <v>3</v>
      </c>
      <c r="G127">
        <v>4</v>
      </c>
      <c r="H127">
        <v>5</v>
      </c>
      <c r="I127">
        <v>6</v>
      </c>
      <c r="J127">
        <v>7</v>
      </c>
      <c r="K127">
        <v>8</v>
      </c>
      <c r="L127">
        <v>9</v>
      </c>
      <c r="M127">
        <v>10</v>
      </c>
      <c r="N127">
        <v>11</v>
      </c>
      <c r="O127">
        <v>12</v>
      </c>
      <c r="P127">
        <v>13</v>
      </c>
      <c r="Q127">
        <v>14</v>
      </c>
      <c r="R127">
        <v>15</v>
      </c>
      <c r="S127">
        <v>16</v>
      </c>
      <c r="T127">
        <v>17</v>
      </c>
      <c r="U127">
        <v>18</v>
      </c>
      <c r="V127">
        <v>19</v>
      </c>
      <c r="W127">
        <v>20</v>
      </c>
      <c r="X127">
        <v>21</v>
      </c>
      <c r="Y127">
        <v>22</v>
      </c>
      <c r="Z127" t="s">
        <v>198</v>
      </c>
      <c r="AA127" t="s">
        <v>199</v>
      </c>
    </row>
    <row r="128" spans="1:27">
      <c r="A128" s="25" t="s">
        <v>195</v>
      </c>
      <c r="C128">
        <v>1</v>
      </c>
      <c r="D128" s="23" t="s">
        <v>191</v>
      </c>
      <c r="E128" s="23" t="s">
        <v>191</v>
      </c>
      <c r="F128" s="23" t="s">
        <v>191</v>
      </c>
      <c r="G128" s="23" t="s">
        <v>191</v>
      </c>
      <c r="H128" s="23" t="s">
        <v>191</v>
      </c>
      <c r="I128" t="s">
        <v>191</v>
      </c>
      <c r="J128" t="s">
        <v>191</v>
      </c>
      <c r="K128" t="s">
        <v>191</v>
      </c>
      <c r="L128" t="s">
        <v>191</v>
      </c>
      <c r="M128" t="s">
        <v>200</v>
      </c>
      <c r="N128" t="s">
        <v>191</v>
      </c>
      <c r="O128" t="s">
        <v>191</v>
      </c>
      <c r="P128" t="s">
        <v>191</v>
      </c>
      <c r="Q128" t="s">
        <v>191</v>
      </c>
      <c r="R128" t="s">
        <v>191</v>
      </c>
      <c r="S128" t="s">
        <v>191</v>
      </c>
      <c r="T128" t="s">
        <v>191</v>
      </c>
      <c r="U128" t="s">
        <v>191</v>
      </c>
      <c r="V128" t="s">
        <v>200</v>
      </c>
      <c r="W128" t="s">
        <v>191</v>
      </c>
      <c r="X128" t="s">
        <v>191</v>
      </c>
      <c r="Y128" t="s">
        <v>191</v>
      </c>
      <c r="Z128">
        <f>COUNTIF(D128:Y128,"P")</f>
        <v>20</v>
      </c>
      <c r="AA128">
        <f>COUNTIF(D128:Y128,"A")</f>
        <v>2</v>
      </c>
    </row>
    <row r="129" spans="1:27">
      <c r="A129" s="25" t="s">
        <v>196</v>
      </c>
      <c r="C129">
        <v>2</v>
      </c>
      <c r="D129" s="23" t="s">
        <v>191</v>
      </c>
      <c r="E129" s="23" t="s">
        <v>191</v>
      </c>
      <c r="F129" s="23" t="s">
        <v>191</v>
      </c>
      <c r="G129" s="23" t="s">
        <v>191</v>
      </c>
      <c r="H129" s="23" t="s">
        <v>191</v>
      </c>
      <c r="I129" t="s">
        <v>191</v>
      </c>
      <c r="J129" t="s">
        <v>191</v>
      </c>
      <c r="K129" t="s">
        <v>191</v>
      </c>
      <c r="L129" t="s">
        <v>191</v>
      </c>
      <c r="M129" t="s">
        <v>191</v>
      </c>
      <c r="N129" t="s">
        <v>200</v>
      </c>
      <c r="O129" t="s">
        <v>191</v>
      </c>
      <c r="P129" t="s">
        <v>191</v>
      </c>
      <c r="Q129" t="s">
        <v>191</v>
      </c>
      <c r="R129" t="s">
        <v>191</v>
      </c>
      <c r="S129" t="s">
        <v>191</v>
      </c>
      <c r="T129" t="s">
        <v>191</v>
      </c>
      <c r="U129" t="s">
        <v>191</v>
      </c>
      <c r="V129" t="s">
        <v>191</v>
      </c>
      <c r="W129" t="s">
        <v>191</v>
      </c>
      <c r="X129" t="s">
        <v>191</v>
      </c>
      <c r="Y129" t="s">
        <v>191</v>
      </c>
      <c r="Z129">
        <f t="shared" ref="Z129:Z137" si="21">COUNTIF(D129:Y129,"P")</f>
        <v>21</v>
      </c>
      <c r="AA129">
        <f t="shared" ref="AA129:AA137" si="22">COUNTIF(D129:Y129,"A")</f>
        <v>1</v>
      </c>
    </row>
    <row r="130" spans="1:27">
      <c r="A130" s="25" t="s">
        <v>197</v>
      </c>
      <c r="C130">
        <v>3</v>
      </c>
      <c r="D130" s="23" t="s">
        <v>191</v>
      </c>
      <c r="E130" s="23" t="s">
        <v>194</v>
      </c>
      <c r="F130" s="23" t="s">
        <v>191</v>
      </c>
      <c r="G130" s="23" t="s">
        <v>191</v>
      </c>
      <c r="H130" s="23" t="s">
        <v>191</v>
      </c>
      <c r="I130" t="s">
        <v>191</v>
      </c>
      <c r="J130" t="s">
        <v>200</v>
      </c>
      <c r="K130" t="s">
        <v>200</v>
      </c>
      <c r="L130" t="s">
        <v>200</v>
      </c>
      <c r="M130" t="s">
        <v>191</v>
      </c>
      <c r="N130" t="s">
        <v>191</v>
      </c>
      <c r="O130" t="s">
        <v>191</v>
      </c>
      <c r="P130" t="s">
        <v>191</v>
      </c>
      <c r="Q130" t="s">
        <v>191</v>
      </c>
      <c r="R130" t="s">
        <v>191</v>
      </c>
      <c r="S130" t="s">
        <v>191</v>
      </c>
      <c r="T130" t="s">
        <v>200</v>
      </c>
      <c r="U130" t="s">
        <v>191</v>
      </c>
      <c r="V130" t="s">
        <v>191</v>
      </c>
      <c r="W130" t="s">
        <v>191</v>
      </c>
      <c r="X130" t="s">
        <v>191</v>
      </c>
      <c r="Y130" t="s">
        <v>191</v>
      </c>
      <c r="Z130">
        <f t="shared" si="21"/>
        <v>17</v>
      </c>
      <c r="AA130">
        <f t="shared" si="22"/>
        <v>5</v>
      </c>
    </row>
    <row r="131" spans="1:27">
      <c r="C131">
        <v>4</v>
      </c>
      <c r="D131" s="23" t="s">
        <v>191</v>
      </c>
      <c r="E131" s="23" t="s">
        <v>191</v>
      </c>
      <c r="F131" s="23" t="s">
        <v>191</v>
      </c>
      <c r="G131" s="23" t="s">
        <v>191</v>
      </c>
      <c r="H131" s="23" t="s">
        <v>191</v>
      </c>
      <c r="I131" t="s">
        <v>194</v>
      </c>
      <c r="J131" t="s">
        <v>191</v>
      </c>
      <c r="K131" t="s">
        <v>191</v>
      </c>
      <c r="L131" t="s">
        <v>191</v>
      </c>
      <c r="M131" t="s">
        <v>191</v>
      </c>
      <c r="N131" t="s">
        <v>191</v>
      </c>
      <c r="O131" t="s">
        <v>191</v>
      </c>
      <c r="P131" t="s">
        <v>191</v>
      </c>
      <c r="Q131" t="s">
        <v>191</v>
      </c>
      <c r="R131" t="s">
        <v>191</v>
      </c>
      <c r="S131" t="s">
        <v>191</v>
      </c>
      <c r="T131" t="s">
        <v>191</v>
      </c>
      <c r="U131" t="s">
        <v>191</v>
      </c>
      <c r="V131" t="s">
        <v>191</v>
      </c>
      <c r="W131" t="s">
        <v>200</v>
      </c>
      <c r="X131" t="s">
        <v>191</v>
      </c>
      <c r="Y131" t="s">
        <v>200</v>
      </c>
      <c r="Z131">
        <f t="shared" si="21"/>
        <v>19</v>
      </c>
      <c r="AA131">
        <f t="shared" si="22"/>
        <v>3</v>
      </c>
    </row>
    <row r="132" spans="1:27">
      <c r="C132">
        <v>5</v>
      </c>
      <c r="D132" s="23" t="s">
        <v>191</v>
      </c>
      <c r="E132" s="23" t="s">
        <v>191</v>
      </c>
      <c r="F132" s="23" t="s">
        <v>191</v>
      </c>
      <c r="G132" s="23" t="s">
        <v>191</v>
      </c>
      <c r="H132" s="23" t="s">
        <v>191</v>
      </c>
      <c r="I132" t="s">
        <v>191</v>
      </c>
      <c r="J132" t="s">
        <v>191</v>
      </c>
      <c r="K132" t="s">
        <v>191</v>
      </c>
      <c r="L132" t="s">
        <v>191</v>
      </c>
      <c r="M132" t="s">
        <v>191</v>
      </c>
      <c r="N132" t="s">
        <v>191</v>
      </c>
      <c r="O132" t="s">
        <v>191</v>
      </c>
      <c r="P132" t="s">
        <v>191</v>
      </c>
      <c r="Q132" t="s">
        <v>191</v>
      </c>
      <c r="R132" t="s">
        <v>191</v>
      </c>
      <c r="S132" t="s">
        <v>191</v>
      </c>
      <c r="T132" t="s">
        <v>191</v>
      </c>
      <c r="U132" t="s">
        <v>191</v>
      </c>
      <c r="V132" t="s">
        <v>191</v>
      </c>
      <c r="W132" t="s">
        <v>191</v>
      </c>
      <c r="X132" t="s">
        <v>191</v>
      </c>
      <c r="Y132" t="s">
        <v>191</v>
      </c>
      <c r="Z132">
        <f t="shared" si="21"/>
        <v>22</v>
      </c>
      <c r="AA132">
        <f t="shared" si="22"/>
        <v>0</v>
      </c>
    </row>
    <row r="133" spans="1:27">
      <c r="C133">
        <v>6</v>
      </c>
      <c r="D133" s="23" t="s">
        <v>191</v>
      </c>
      <c r="E133" s="23" t="s">
        <v>191</v>
      </c>
      <c r="F133" s="23" t="s">
        <v>191</v>
      </c>
      <c r="G133" s="23" t="s">
        <v>191</v>
      </c>
      <c r="H133" s="23" t="s">
        <v>191</v>
      </c>
      <c r="I133" t="s">
        <v>191</v>
      </c>
      <c r="J133" t="s">
        <v>191</v>
      </c>
      <c r="K133" t="s">
        <v>191</v>
      </c>
      <c r="L133" t="s">
        <v>191</v>
      </c>
      <c r="M133" t="s">
        <v>191</v>
      </c>
      <c r="N133" t="s">
        <v>200</v>
      </c>
      <c r="O133" t="s">
        <v>191</v>
      </c>
      <c r="P133" t="s">
        <v>191</v>
      </c>
      <c r="Q133" t="s">
        <v>191</v>
      </c>
      <c r="R133" t="s">
        <v>191</v>
      </c>
      <c r="S133" t="s">
        <v>191</v>
      </c>
      <c r="T133" t="s">
        <v>200</v>
      </c>
      <c r="U133" t="s">
        <v>191</v>
      </c>
      <c r="V133" t="s">
        <v>191</v>
      </c>
      <c r="W133" t="s">
        <v>191</v>
      </c>
      <c r="X133" t="s">
        <v>191</v>
      </c>
      <c r="Y133" t="s">
        <v>191</v>
      </c>
      <c r="Z133">
        <f t="shared" si="21"/>
        <v>20</v>
      </c>
      <c r="AA133">
        <f t="shared" si="22"/>
        <v>2</v>
      </c>
    </row>
    <row r="134" spans="1:27">
      <c r="C134">
        <v>7</v>
      </c>
      <c r="D134" s="23" t="s">
        <v>191</v>
      </c>
      <c r="E134" s="23" t="s">
        <v>194</v>
      </c>
      <c r="F134" s="23" t="s">
        <v>191</v>
      </c>
      <c r="G134" s="23" t="s">
        <v>191</v>
      </c>
      <c r="H134" s="23" t="s">
        <v>191</v>
      </c>
      <c r="I134" t="s">
        <v>191</v>
      </c>
      <c r="J134" t="s">
        <v>191</v>
      </c>
      <c r="K134" t="s">
        <v>200</v>
      </c>
      <c r="L134" t="s">
        <v>200</v>
      </c>
      <c r="M134" t="s">
        <v>191</v>
      </c>
      <c r="N134" t="s">
        <v>191</v>
      </c>
      <c r="O134" t="s">
        <v>191</v>
      </c>
      <c r="P134" t="s">
        <v>200</v>
      </c>
      <c r="Q134" t="s">
        <v>191</v>
      </c>
      <c r="R134" t="s">
        <v>200</v>
      </c>
      <c r="S134" t="s">
        <v>191</v>
      </c>
      <c r="T134" t="s">
        <v>191</v>
      </c>
      <c r="U134" t="s">
        <v>191</v>
      </c>
      <c r="V134" t="s">
        <v>191</v>
      </c>
      <c r="W134" t="s">
        <v>191</v>
      </c>
      <c r="X134" t="s">
        <v>191</v>
      </c>
      <c r="Y134" t="s">
        <v>191</v>
      </c>
      <c r="Z134">
        <f t="shared" si="21"/>
        <v>17</v>
      </c>
      <c r="AA134">
        <f t="shared" si="22"/>
        <v>5</v>
      </c>
    </row>
    <row r="135" spans="1:27">
      <c r="C135">
        <v>8</v>
      </c>
      <c r="D135" s="23" t="s">
        <v>191</v>
      </c>
      <c r="E135" s="23" t="s">
        <v>191</v>
      </c>
      <c r="F135" s="23" t="s">
        <v>194</v>
      </c>
      <c r="G135" s="23" t="s">
        <v>191</v>
      </c>
      <c r="H135" s="23" t="s">
        <v>191</v>
      </c>
      <c r="I135" t="s">
        <v>191</v>
      </c>
      <c r="J135" t="s">
        <v>200</v>
      </c>
      <c r="K135" t="s">
        <v>191</v>
      </c>
      <c r="L135" t="s">
        <v>191</v>
      </c>
      <c r="M135" t="s">
        <v>191</v>
      </c>
      <c r="N135" t="s">
        <v>191</v>
      </c>
      <c r="O135" t="s">
        <v>191</v>
      </c>
      <c r="P135" t="s">
        <v>191</v>
      </c>
      <c r="Q135" t="s">
        <v>191</v>
      </c>
      <c r="R135" t="s">
        <v>191</v>
      </c>
      <c r="S135" t="s">
        <v>191</v>
      </c>
      <c r="T135" t="s">
        <v>191</v>
      </c>
      <c r="U135" t="s">
        <v>191</v>
      </c>
      <c r="V135" t="s">
        <v>191</v>
      </c>
      <c r="W135" t="s">
        <v>191</v>
      </c>
      <c r="X135" t="s">
        <v>200</v>
      </c>
      <c r="Y135" t="s">
        <v>191</v>
      </c>
      <c r="Z135">
        <f t="shared" si="21"/>
        <v>19</v>
      </c>
      <c r="AA135">
        <f t="shared" si="22"/>
        <v>3</v>
      </c>
    </row>
    <row r="136" spans="1:27">
      <c r="C136">
        <v>9</v>
      </c>
      <c r="D136" s="23" t="s">
        <v>191</v>
      </c>
      <c r="E136" s="23" t="s">
        <v>191</v>
      </c>
      <c r="F136" s="23" t="s">
        <v>191</v>
      </c>
      <c r="G136" s="23" t="s">
        <v>191</v>
      </c>
      <c r="H136" s="23" t="s">
        <v>191</v>
      </c>
      <c r="I136" t="s">
        <v>191</v>
      </c>
      <c r="J136" t="s">
        <v>191</v>
      </c>
      <c r="K136" t="s">
        <v>191</v>
      </c>
      <c r="L136" t="s">
        <v>200</v>
      </c>
      <c r="M136" t="s">
        <v>191</v>
      </c>
      <c r="N136" t="s">
        <v>191</v>
      </c>
      <c r="O136" t="s">
        <v>191</v>
      </c>
      <c r="P136" t="s">
        <v>191</v>
      </c>
      <c r="Q136" t="s">
        <v>191</v>
      </c>
      <c r="R136" t="s">
        <v>191</v>
      </c>
      <c r="S136" t="s">
        <v>191</v>
      </c>
      <c r="T136" t="s">
        <v>191</v>
      </c>
      <c r="U136" t="s">
        <v>191</v>
      </c>
      <c r="V136" t="s">
        <v>191</v>
      </c>
      <c r="W136" t="s">
        <v>191</v>
      </c>
      <c r="X136" t="s">
        <v>191</v>
      </c>
      <c r="Y136" t="s">
        <v>191</v>
      </c>
      <c r="Z136">
        <f t="shared" si="21"/>
        <v>21</v>
      </c>
      <c r="AA136">
        <f t="shared" si="22"/>
        <v>1</v>
      </c>
    </row>
    <row r="137" spans="1:27">
      <c r="C137">
        <v>10</v>
      </c>
      <c r="D137" s="23" t="s">
        <v>191</v>
      </c>
      <c r="E137" s="23" t="s">
        <v>191</v>
      </c>
      <c r="F137" s="23" t="s">
        <v>191</v>
      </c>
      <c r="G137" s="23" t="s">
        <v>191</v>
      </c>
      <c r="H137" s="23" t="s">
        <v>191</v>
      </c>
      <c r="I137" t="s">
        <v>191</v>
      </c>
      <c r="J137" t="s">
        <v>191</v>
      </c>
      <c r="K137" t="s">
        <v>200</v>
      </c>
      <c r="L137" t="s">
        <v>191</v>
      </c>
      <c r="M137" t="s">
        <v>191</v>
      </c>
      <c r="N137" t="s">
        <v>191</v>
      </c>
      <c r="O137" t="s">
        <v>191</v>
      </c>
      <c r="P137" t="s">
        <v>200</v>
      </c>
      <c r="Q137" t="s">
        <v>191</v>
      </c>
      <c r="R137" t="s">
        <v>200</v>
      </c>
      <c r="S137" t="s">
        <v>191</v>
      </c>
      <c r="T137" t="s">
        <v>191</v>
      </c>
      <c r="U137" t="s">
        <v>191</v>
      </c>
      <c r="V137" t="s">
        <v>200</v>
      </c>
      <c r="W137" t="s">
        <v>191</v>
      </c>
      <c r="X137" t="s">
        <v>191</v>
      </c>
      <c r="Y137" t="s">
        <v>191</v>
      </c>
      <c r="Z137">
        <f t="shared" si="21"/>
        <v>18</v>
      </c>
      <c r="AA137">
        <f t="shared" si="22"/>
        <v>4</v>
      </c>
    </row>
    <row r="139" spans="1:27">
      <c r="A139" t="s">
        <v>201</v>
      </c>
    </row>
    <row r="142" spans="1:27" ht="21">
      <c r="A142" s="100" t="s">
        <v>202</v>
      </c>
      <c r="B142" s="100"/>
      <c r="C142" s="100"/>
    </row>
    <row r="144" spans="1:27">
      <c r="B144" s="8"/>
    </row>
    <row r="146" spans="2:5">
      <c r="B146" s="8"/>
      <c r="C146" s="8"/>
    </row>
    <row r="150" spans="2:5">
      <c r="E150" s="8"/>
    </row>
  </sheetData>
  <autoFilter ref="H79:L86"/>
  <mergeCells count="9">
    <mergeCell ref="I1:L1"/>
    <mergeCell ref="I4:J4"/>
    <mergeCell ref="I7:K8"/>
    <mergeCell ref="A142:C142"/>
    <mergeCell ref="A2:G2"/>
    <mergeCell ref="A3:C3"/>
    <mergeCell ref="K89:M89"/>
    <mergeCell ref="A115:C115"/>
    <mergeCell ref="A123:C123"/>
  </mergeCells>
  <conditionalFormatting sqref="D128:AH137">
    <cfRule type="cellIs" dxfId="48" priority="1" operator="equal">
      <formula>"a"</formula>
    </cfRule>
  </conditionalFormatting>
  <hyperlinks>
    <hyperlink ref="I2" r:id="rId1"/>
    <hyperlink ref="I5" r:id="rId2"/>
    <hyperlink ref="I9" r:id="rId3"/>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dimension ref="B3:E11"/>
  <sheetViews>
    <sheetView tabSelected="1" workbookViewId="0">
      <selection activeCell="E19" sqref="E19"/>
    </sheetView>
  </sheetViews>
  <sheetFormatPr defaultRowHeight="14.4"/>
  <sheetData>
    <row r="3" spans="2:5" ht="25.8">
      <c r="B3" s="142" t="s">
        <v>1376</v>
      </c>
      <c r="C3" s="142"/>
      <c r="D3" s="142"/>
      <c r="E3" s="142"/>
    </row>
    <row r="4" spans="2:5">
      <c r="B4" s="46" t="s">
        <v>1377</v>
      </c>
    </row>
    <row r="6" spans="2:5" ht="23.4">
      <c r="B6" s="143" t="s">
        <v>1378</v>
      </c>
      <c r="C6" s="143"/>
    </row>
    <row r="7" spans="2:5">
      <c r="B7" s="46" t="s">
        <v>1379</v>
      </c>
    </row>
    <row r="9" spans="2:5">
      <c r="B9" s="120" t="s">
        <v>1380</v>
      </c>
      <c r="C9" s="120"/>
      <c r="D9" s="120"/>
    </row>
    <row r="10" spans="2:5">
      <c r="B10" s="120"/>
      <c r="C10" s="120"/>
      <c r="D10" s="120"/>
    </row>
    <row r="11" spans="2:5">
      <c r="B11" s="46" t="s">
        <v>1381</v>
      </c>
    </row>
  </sheetData>
  <mergeCells count="3">
    <mergeCell ref="B3:E3"/>
    <mergeCell ref="B6:C6"/>
    <mergeCell ref="B9:D10"/>
  </mergeCells>
  <hyperlinks>
    <hyperlink ref="B4" r:id="rId1"/>
    <hyperlink ref="B7" r:id="rId2"/>
    <hyperlink ref="B11"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3">
    <tabColor rgb="FF00B050"/>
  </sheetPr>
  <dimension ref="A1:X292"/>
  <sheetViews>
    <sheetView topLeftCell="A135" workbookViewId="0">
      <selection activeCell="D140" sqref="D140:G154"/>
    </sheetView>
  </sheetViews>
  <sheetFormatPr defaultRowHeight="14.4"/>
  <cols>
    <col min="1" max="1" width="10.109375" customWidth="1"/>
    <col min="2" max="2" width="15.44140625" bestFit="1" customWidth="1"/>
    <col min="3" max="3" width="8.88671875" customWidth="1"/>
    <col min="4" max="4" width="12" bestFit="1" customWidth="1"/>
    <col min="5" max="5" width="15.88671875" bestFit="1" customWidth="1"/>
    <col min="6" max="6" width="10.33203125" bestFit="1" customWidth="1"/>
    <col min="7" max="7" width="8.88671875" customWidth="1"/>
    <col min="8" max="8" width="16.88671875" bestFit="1" customWidth="1"/>
    <col min="9" max="9" width="10.5546875" bestFit="1" customWidth="1"/>
    <col min="10" max="13" width="8.88671875" customWidth="1"/>
    <col min="17" max="17" width="10.109375" bestFit="1" customWidth="1"/>
  </cols>
  <sheetData>
    <row r="1" spans="1:11" ht="18" customHeight="1">
      <c r="A1" s="106" t="s">
        <v>203</v>
      </c>
      <c r="B1" s="106"/>
      <c r="C1" s="106"/>
      <c r="D1" s="106"/>
      <c r="E1" s="106"/>
      <c r="F1" s="106"/>
      <c r="G1" s="106"/>
      <c r="H1" s="106"/>
      <c r="I1" s="106"/>
    </row>
    <row r="2" spans="1:11" ht="18" customHeight="1">
      <c r="A2" s="106"/>
      <c r="B2" s="106"/>
      <c r="C2" s="106"/>
      <c r="D2" s="106"/>
      <c r="E2" s="106"/>
      <c r="F2" s="106"/>
      <c r="G2" s="106"/>
      <c r="H2" s="106"/>
      <c r="I2" s="106"/>
    </row>
    <row r="3" spans="1:11" ht="18" customHeight="1">
      <c r="A3" s="106"/>
      <c r="B3" s="106"/>
      <c r="C3" s="106"/>
      <c r="D3" s="106"/>
      <c r="E3" s="106"/>
      <c r="F3" s="106"/>
      <c r="G3" s="106"/>
      <c r="H3" s="106"/>
      <c r="I3" s="106"/>
    </row>
    <row r="4" spans="1:11">
      <c r="K4" s="26"/>
    </row>
    <row r="5" spans="1:11">
      <c r="A5" s="17" t="s">
        <v>205</v>
      </c>
      <c r="C5" s="17" t="s">
        <v>204</v>
      </c>
    </row>
    <row r="6" spans="1:11">
      <c r="A6" s="29" t="s">
        <v>206</v>
      </c>
      <c r="B6" s="29"/>
      <c r="C6" s="29"/>
    </row>
    <row r="7" spans="1:11">
      <c r="E7" t="s">
        <v>208</v>
      </c>
      <c r="F7" t="s">
        <v>209</v>
      </c>
    </row>
    <row r="8" spans="1:11">
      <c r="A8" t="s">
        <v>207</v>
      </c>
      <c r="B8" s="7">
        <f ca="1">NOW()</f>
        <v>45309.747134953701</v>
      </c>
      <c r="D8">
        <v>1</v>
      </c>
      <c r="E8" s="7">
        <f ca="1">NOW()</f>
        <v>45309.747134953701</v>
      </c>
      <c r="F8" s="8">
        <f ca="1">TODAY()</f>
        <v>45309</v>
      </c>
      <c r="H8" s="29" t="s">
        <v>214</v>
      </c>
      <c r="I8" s="29"/>
    </row>
    <row r="9" spans="1:11">
      <c r="A9" t="s">
        <v>210</v>
      </c>
      <c r="B9" s="8">
        <f ca="1">TODAY()</f>
        <v>45309</v>
      </c>
      <c r="D9">
        <v>2</v>
      </c>
      <c r="E9" s="7">
        <f t="shared" ref="E9:E12" ca="1" si="0">NOW()</f>
        <v>45309.747134953701</v>
      </c>
      <c r="F9" s="8">
        <f t="shared" ref="F9:F12" ca="1" si="1">TODAY()</f>
        <v>45309</v>
      </c>
      <c r="H9" t="s">
        <v>215</v>
      </c>
      <c r="I9" s="8">
        <v>35863</v>
      </c>
    </row>
    <row r="10" spans="1:11">
      <c r="A10" t="s">
        <v>211</v>
      </c>
      <c r="D10">
        <v>3</v>
      </c>
      <c r="E10" s="7">
        <f t="shared" ca="1" si="0"/>
        <v>45309.747134953701</v>
      </c>
      <c r="F10" s="8">
        <f t="shared" ca="1" si="1"/>
        <v>45309</v>
      </c>
    </row>
    <row r="11" spans="1:11">
      <c r="A11" t="s">
        <v>212</v>
      </c>
      <c r="D11">
        <v>4</v>
      </c>
      <c r="E11" s="7">
        <f t="shared" ca="1" si="0"/>
        <v>45309.747134953701</v>
      </c>
      <c r="F11" s="8">
        <f t="shared" ca="1" si="1"/>
        <v>45309</v>
      </c>
      <c r="H11" t="s">
        <v>216</v>
      </c>
      <c r="I11" s="30">
        <f ca="1">TODAY()-I9</f>
        <v>9446</v>
      </c>
      <c r="J11" t="s">
        <v>217</v>
      </c>
    </row>
    <row r="12" spans="1:11">
      <c r="A12" t="s">
        <v>213</v>
      </c>
      <c r="D12">
        <v>5</v>
      </c>
      <c r="E12" s="7">
        <f t="shared" ca="1" si="0"/>
        <v>45309.747134953701</v>
      </c>
      <c r="F12" s="8">
        <f t="shared" ca="1" si="1"/>
        <v>45309</v>
      </c>
      <c r="H12" t="s">
        <v>218</v>
      </c>
      <c r="I12" s="32">
        <f ca="1">I11/365</f>
        <v>25.87945205479452</v>
      </c>
      <c r="J12" t="s">
        <v>219</v>
      </c>
      <c r="K12" t="s">
        <v>220</v>
      </c>
    </row>
    <row r="13" spans="1:11">
      <c r="A13" t="s">
        <v>221</v>
      </c>
      <c r="E13" s="7"/>
      <c r="F13" s="8"/>
    </row>
    <row r="14" spans="1:11">
      <c r="E14" s="7"/>
      <c r="F14" s="8"/>
      <c r="H14" s="29" t="s">
        <v>221</v>
      </c>
      <c r="I14" s="29"/>
    </row>
    <row r="15" spans="1:11">
      <c r="A15" t="s">
        <v>222</v>
      </c>
      <c r="E15" s="7">
        <f ca="1">TODAY()</f>
        <v>45309</v>
      </c>
      <c r="F15" s="8"/>
    </row>
    <row r="16" spans="1:11">
      <c r="A16" t="s">
        <v>224</v>
      </c>
      <c r="E16" s="7">
        <f ca="1">NOW()</f>
        <v>45309.747134953701</v>
      </c>
      <c r="F16" s="8"/>
      <c r="H16" s="31">
        <f ca="1">ROUNDDOWN(I12,3)</f>
        <v>25.879000000000001</v>
      </c>
    </row>
    <row r="17" spans="1:10">
      <c r="A17" t="s">
        <v>225</v>
      </c>
      <c r="E17" s="7"/>
      <c r="F17" s="8"/>
    </row>
    <row r="18" spans="1:10">
      <c r="A18" t="s">
        <v>226</v>
      </c>
      <c r="E18" s="7"/>
      <c r="F18" s="8"/>
      <c r="H18" s="33" t="s">
        <v>223</v>
      </c>
      <c r="I18" s="33"/>
      <c r="J18" s="33">
        <f ca="1">DATEDIF(I9,TODAY(),"y")</f>
        <v>25</v>
      </c>
    </row>
    <row r="19" spans="1:10" ht="18">
      <c r="A19" t="s">
        <v>231</v>
      </c>
      <c r="D19" s="34" t="s">
        <v>231</v>
      </c>
      <c r="E19" s="35"/>
      <c r="F19" s="8"/>
      <c r="I19" t="s">
        <v>227</v>
      </c>
      <c r="J19">
        <f ca="1">DATEDIF(I9,TODAY(),"y")</f>
        <v>25</v>
      </c>
    </row>
    <row r="20" spans="1:10">
      <c r="A20" t="s">
        <v>229</v>
      </c>
      <c r="D20" t="s">
        <v>230</v>
      </c>
      <c r="E20" t="s">
        <v>230</v>
      </c>
      <c r="I20" t="s">
        <v>228</v>
      </c>
      <c r="J20">
        <f ca="1">DATEDIF(I9,TODAY(),"m")</f>
        <v>310</v>
      </c>
    </row>
    <row r="21" spans="1:10">
      <c r="D21">
        <v>8757569686</v>
      </c>
      <c r="E21" t="str">
        <f>CONCATENATE("+(91)-",D21)</f>
        <v>+(91)-8757569686</v>
      </c>
      <c r="I21" t="s">
        <v>217</v>
      </c>
      <c r="J21">
        <f ca="1">DATEDIF(I9,TODAY(),"d")</f>
        <v>9446</v>
      </c>
    </row>
    <row r="22" spans="1:10">
      <c r="D22">
        <v>8746464645</v>
      </c>
      <c r="E22" t="str">
        <f t="shared" ref="E22:E27" si="2">CONCATENATE("+(91)-",D22)</f>
        <v>+(91)-8746464645</v>
      </c>
    </row>
    <row r="23" spans="1:10">
      <c r="D23">
        <v>4569875689</v>
      </c>
      <c r="E23" t="str">
        <f t="shared" si="2"/>
        <v>+(91)-4569875689</v>
      </c>
      <c r="H23" s="28" t="s">
        <v>64</v>
      </c>
      <c r="I23" s="28" t="s">
        <v>64</v>
      </c>
    </row>
    <row r="24" spans="1:10">
      <c r="D24">
        <v>4568975621</v>
      </c>
      <c r="E24" t="str">
        <f t="shared" si="2"/>
        <v>+(91)-4568975621</v>
      </c>
      <c r="H24" t="s">
        <v>43</v>
      </c>
      <c r="I24" t="str">
        <f>CONCATENATE("Mr.",H24)</f>
        <v>Mr.navin</v>
      </c>
    </row>
    <row r="25" spans="1:10">
      <c r="D25">
        <v>9255364585</v>
      </c>
      <c r="E25" t="str">
        <f t="shared" si="2"/>
        <v>+(91)-9255364585</v>
      </c>
      <c r="H25" t="s">
        <v>233</v>
      </c>
      <c r="I25" t="str">
        <f t="shared" ref="I25:I27" si="3">CONCATENATE("Mr.",H25)</f>
        <v xml:space="preserve">Mr.kumar </v>
      </c>
    </row>
    <row r="26" spans="1:10">
      <c r="D26">
        <v>9234257896</v>
      </c>
      <c r="E26" t="str">
        <f t="shared" si="2"/>
        <v>+(91)-9234257896</v>
      </c>
      <c r="H26" t="s">
        <v>45</v>
      </c>
      <c r="I26" t="str">
        <f t="shared" si="3"/>
        <v>Mr.singh</v>
      </c>
    </row>
    <row r="27" spans="1:10">
      <c r="D27">
        <v>6589785570</v>
      </c>
      <c r="E27" t="str">
        <f t="shared" si="2"/>
        <v>+(91)-6589785570</v>
      </c>
      <c r="H27" t="s">
        <v>234</v>
      </c>
      <c r="I27" t="str">
        <f t="shared" si="3"/>
        <v>Mr.patnayak</v>
      </c>
    </row>
    <row r="29" spans="1:10">
      <c r="C29" s="28" t="s">
        <v>232</v>
      </c>
      <c r="D29" s="28"/>
      <c r="E29" s="28"/>
      <c r="F29" s="28"/>
      <c r="G29" s="28"/>
    </row>
    <row r="31" spans="1:10">
      <c r="A31" t="s">
        <v>235</v>
      </c>
      <c r="B31" t="s">
        <v>236</v>
      </c>
    </row>
    <row r="32" spans="1:10">
      <c r="B32" s="9" t="s">
        <v>237</v>
      </c>
      <c r="C32" s="9"/>
      <c r="D32" s="9"/>
      <c r="E32" s="36" t="s">
        <v>238</v>
      </c>
      <c r="F32" s="36"/>
    </row>
    <row r="34" spans="1:7">
      <c r="A34" s="36" t="s">
        <v>239</v>
      </c>
      <c r="B34" s="36"/>
      <c r="C34" s="36"/>
      <c r="D34" t="s">
        <v>240</v>
      </c>
    </row>
    <row r="37" spans="1:7">
      <c r="A37" s="9" t="s">
        <v>241</v>
      </c>
      <c r="B37" s="9"/>
      <c r="E37" s="23" t="s">
        <v>64</v>
      </c>
      <c r="F37" s="23" t="s">
        <v>130</v>
      </c>
    </row>
    <row r="38" spans="1:7">
      <c r="A38" t="s">
        <v>244</v>
      </c>
      <c r="E38" s="23" t="s">
        <v>215</v>
      </c>
      <c r="F38" s="37">
        <v>35863</v>
      </c>
    </row>
    <row r="39" spans="1:7">
      <c r="A39" t="s">
        <v>245</v>
      </c>
      <c r="E39" s="23" t="s">
        <v>224</v>
      </c>
      <c r="F39" s="23">
        <f ca="1">DATEDIF(F38,TODAY(),"y")</f>
        <v>25</v>
      </c>
    </row>
    <row r="40" spans="1:7">
      <c r="A40" t="s">
        <v>246</v>
      </c>
      <c r="E40" s="23" t="s">
        <v>225</v>
      </c>
      <c r="F40" s="23">
        <f ca="1">DATEDIF(F38,TODAY(),"ym")</f>
        <v>10</v>
      </c>
    </row>
    <row r="41" spans="1:7">
      <c r="A41" t="s">
        <v>247</v>
      </c>
      <c r="E41" s="23" t="s">
        <v>242</v>
      </c>
      <c r="F41" s="23">
        <f ca="1">DATEDIF(F38,TODAY(),"md")</f>
        <v>9</v>
      </c>
    </row>
    <row r="42" spans="1:7">
      <c r="A42" t="s">
        <v>248</v>
      </c>
    </row>
    <row r="43" spans="1:7">
      <c r="C43" t="s">
        <v>243</v>
      </c>
      <c r="E43" s="27" t="str">
        <f ca="1">CONCATENATE("you age is  ", F39," years ", F40, "  months  ",F41," days old ")</f>
        <v xml:space="preserve">you age is  25 years 10  months  9 days old </v>
      </c>
      <c r="F43" s="27"/>
      <c r="G43" s="27"/>
    </row>
    <row r="64" spans="1:5" ht="21">
      <c r="A64" s="38" t="s">
        <v>249</v>
      </c>
      <c r="B64" s="38"/>
      <c r="C64" s="38"/>
      <c r="D64" s="38"/>
      <c r="E64" s="9"/>
    </row>
    <row r="65" spans="1:8">
      <c r="A65" t="s">
        <v>254</v>
      </c>
      <c r="C65" s="27"/>
      <c r="D65" s="27" t="s">
        <v>255</v>
      </c>
      <c r="E65" s="27"/>
    </row>
    <row r="66" spans="1:8">
      <c r="A66" t="s">
        <v>250</v>
      </c>
      <c r="D66" t="s">
        <v>256</v>
      </c>
      <c r="E66" t="s">
        <v>242</v>
      </c>
      <c r="F66" t="s">
        <v>252</v>
      </c>
    </row>
    <row r="67" spans="1:8">
      <c r="A67" t="s">
        <v>251</v>
      </c>
      <c r="D67" s="8">
        <f ca="1">TODAY()</f>
        <v>45309</v>
      </c>
      <c r="E67">
        <v>15</v>
      </c>
      <c r="F67" s="8">
        <f ca="1">WORKDAY(D67,E67)</f>
        <v>45330</v>
      </c>
    </row>
    <row r="68" spans="1:8">
      <c r="A68" t="s">
        <v>260</v>
      </c>
      <c r="D68" s="8">
        <f ca="1">TODAY()</f>
        <v>45309</v>
      </c>
      <c r="E68">
        <v>15</v>
      </c>
      <c r="F68" s="8">
        <f ca="1">WORKDAY(D68,E68)</f>
        <v>45330</v>
      </c>
    </row>
    <row r="69" spans="1:8">
      <c r="A69" s="29" t="s">
        <v>261</v>
      </c>
      <c r="B69" s="29"/>
      <c r="C69" s="29"/>
      <c r="D69" s="29"/>
      <c r="E69" s="29"/>
    </row>
    <row r="70" spans="1:8">
      <c r="C70" t="s">
        <v>253</v>
      </c>
      <c r="D70" t="s">
        <v>257</v>
      </c>
    </row>
    <row r="71" spans="1:8">
      <c r="A71" t="s">
        <v>265</v>
      </c>
    </row>
    <row r="72" spans="1:8">
      <c r="C72" s="28"/>
      <c r="D72" s="39" t="s">
        <v>258</v>
      </c>
      <c r="E72" s="28" t="s">
        <v>259</v>
      </c>
      <c r="F72" s="28"/>
      <c r="G72" s="28"/>
    </row>
    <row r="73" spans="1:8">
      <c r="D73" s="8">
        <v>45291</v>
      </c>
      <c r="E73" s="8">
        <f ca="1">WORKDAY(D67,E67,D73:D74)</f>
        <v>45330</v>
      </c>
    </row>
    <row r="74" spans="1:8">
      <c r="D74" s="8">
        <v>45292</v>
      </c>
    </row>
    <row r="77" spans="1:8">
      <c r="D77" t="s">
        <v>262</v>
      </c>
      <c r="E77" t="s">
        <v>263</v>
      </c>
      <c r="F77" t="s">
        <v>258</v>
      </c>
      <c r="H77" t="s">
        <v>264</v>
      </c>
    </row>
    <row r="78" spans="1:8">
      <c r="D78" s="8">
        <f ca="1">TODAY()</f>
        <v>45309</v>
      </c>
      <c r="E78">
        <v>21</v>
      </c>
      <c r="F78" s="8">
        <v>45291</v>
      </c>
      <c r="H78" s="8">
        <f ca="1">WORKDAY(D78,E78,F78:F79)</f>
        <v>45338</v>
      </c>
    </row>
    <row r="79" spans="1:8">
      <c r="F79" s="8">
        <v>45292</v>
      </c>
    </row>
    <row r="81" spans="1:19">
      <c r="A81" t="s">
        <v>266</v>
      </c>
      <c r="D81" t="s">
        <v>262</v>
      </c>
      <c r="E81" t="s">
        <v>267</v>
      </c>
      <c r="F81" s="29" t="s">
        <v>268</v>
      </c>
    </row>
    <row r="82" spans="1:19">
      <c r="D82" s="8">
        <f ca="1">TODAY()</f>
        <v>45309</v>
      </c>
      <c r="E82" s="8">
        <v>45296</v>
      </c>
      <c r="F82">
        <f ca="1">NETWORKDAYS(D82,E82)</f>
        <v>-10</v>
      </c>
    </row>
    <row r="83" spans="1:19">
      <c r="D83" s="8">
        <f ca="1">TODAY()</f>
        <v>45309</v>
      </c>
      <c r="E83" s="8">
        <v>45306</v>
      </c>
      <c r="F83">
        <f ca="1">NETWORKDAYS(D83,E83,E86:E87)</f>
        <v>-4</v>
      </c>
    </row>
    <row r="85" spans="1:19">
      <c r="E85" t="s">
        <v>269</v>
      </c>
    </row>
    <row r="86" spans="1:19">
      <c r="E86" s="8">
        <v>45291</v>
      </c>
    </row>
    <row r="87" spans="1:19">
      <c r="E87" s="8">
        <v>45292</v>
      </c>
    </row>
    <row r="91" spans="1:19" ht="18">
      <c r="A91" s="40" t="s">
        <v>270</v>
      </c>
      <c r="B91" s="40"/>
      <c r="C91" s="40"/>
      <c r="D91" s="40"/>
      <c r="I91" s="107" t="s">
        <v>290</v>
      </c>
      <c r="J91" s="107"/>
      <c r="K91" s="107"/>
      <c r="L91" s="107"/>
      <c r="O91" t="s">
        <v>291</v>
      </c>
      <c r="S91" t="s">
        <v>292</v>
      </c>
    </row>
    <row r="92" spans="1:19">
      <c r="A92" s="27" t="s">
        <v>281</v>
      </c>
      <c r="B92" s="27"/>
      <c r="C92" s="41"/>
      <c r="D92" s="41"/>
      <c r="E92" s="41"/>
    </row>
    <row r="93" spans="1:19">
      <c r="A93" s="27" t="s">
        <v>283</v>
      </c>
      <c r="B93" s="27"/>
      <c r="C93" s="41" t="s">
        <v>285</v>
      </c>
      <c r="D93" s="41"/>
      <c r="E93" s="41"/>
      <c r="J93" t="s">
        <v>271</v>
      </c>
      <c r="K93" t="s">
        <v>272</v>
      </c>
      <c r="L93" t="s">
        <v>280</v>
      </c>
      <c r="M93" t="s">
        <v>282</v>
      </c>
      <c r="O93" t="s">
        <v>271</v>
      </c>
      <c r="P93" t="s">
        <v>272</v>
      </c>
      <c r="Q93" t="s">
        <v>280</v>
      </c>
      <c r="R93" t="s">
        <v>282</v>
      </c>
    </row>
    <row r="94" spans="1:19">
      <c r="A94" s="27" t="s">
        <v>284</v>
      </c>
      <c r="B94" s="27"/>
      <c r="C94" s="41" t="s">
        <v>286</v>
      </c>
      <c r="D94" s="41"/>
      <c r="E94" s="41"/>
      <c r="J94">
        <v>1001</v>
      </c>
      <c r="K94" t="s">
        <v>273</v>
      </c>
      <c r="L94">
        <f ca="1">RANDBETWEEN(100,150)</f>
        <v>127</v>
      </c>
      <c r="M94">
        <f ca="1">RANDBETWEEN(100,150)</f>
        <v>104</v>
      </c>
      <c r="O94">
        <v>1001</v>
      </c>
      <c r="P94" t="s">
        <v>273</v>
      </c>
      <c r="Q94">
        <f t="shared" ref="Q94:R101" ca="1" si="4">RANDBETWEEN(100,150)</f>
        <v>150</v>
      </c>
      <c r="R94">
        <f t="shared" ca="1" si="4"/>
        <v>119</v>
      </c>
    </row>
    <row r="95" spans="1:19">
      <c r="A95" s="27" t="s">
        <v>287</v>
      </c>
      <c r="B95" s="27"/>
      <c r="C95" s="41"/>
      <c r="D95" s="41"/>
      <c r="E95" s="41"/>
      <c r="J95">
        <v>1002</v>
      </c>
      <c r="K95" t="s">
        <v>43</v>
      </c>
      <c r="L95">
        <f t="shared" ref="L95:L103" ca="1" si="5">RANDBETWEEN(100,150)</f>
        <v>147</v>
      </c>
      <c r="M95">
        <f t="shared" ref="M95:M103" ca="1" si="6">RANDBETWEEN(100,150)</f>
        <v>108</v>
      </c>
      <c r="O95">
        <v>1002</v>
      </c>
      <c r="P95" t="s">
        <v>43</v>
      </c>
      <c r="Q95">
        <f t="shared" ca="1" si="4"/>
        <v>129</v>
      </c>
      <c r="R95">
        <f t="shared" ca="1" si="4"/>
        <v>120</v>
      </c>
    </row>
    <row r="96" spans="1:19">
      <c r="A96" s="27" t="s">
        <v>288</v>
      </c>
      <c r="B96" s="27"/>
      <c r="C96" s="41" t="s">
        <v>289</v>
      </c>
      <c r="D96" s="41"/>
      <c r="E96" s="41"/>
      <c r="J96">
        <v>1003</v>
      </c>
      <c r="K96" t="s">
        <v>233</v>
      </c>
      <c r="L96">
        <f t="shared" ca="1" si="5"/>
        <v>112</v>
      </c>
      <c r="M96">
        <f t="shared" ca="1" si="6"/>
        <v>102</v>
      </c>
      <c r="O96">
        <v>1003</v>
      </c>
      <c r="P96" t="s">
        <v>233</v>
      </c>
      <c r="Q96">
        <f t="shared" ca="1" si="4"/>
        <v>121</v>
      </c>
      <c r="R96">
        <f t="shared" ca="1" si="4"/>
        <v>145</v>
      </c>
    </row>
    <row r="97" spans="1:18">
      <c r="A97" s="27" t="s">
        <v>297</v>
      </c>
      <c r="J97">
        <v>1004</v>
      </c>
      <c r="K97" t="s">
        <v>45</v>
      </c>
      <c r="L97">
        <f t="shared" ca="1" si="5"/>
        <v>134</v>
      </c>
      <c r="M97">
        <f t="shared" ca="1" si="6"/>
        <v>140</v>
      </c>
      <c r="O97">
        <v>1004</v>
      </c>
      <c r="P97" t="s">
        <v>45</v>
      </c>
      <c r="Q97">
        <f t="shared" ca="1" si="4"/>
        <v>129</v>
      </c>
      <c r="R97">
        <f t="shared" ca="1" si="4"/>
        <v>103</v>
      </c>
    </row>
    <row r="98" spans="1:18">
      <c r="A98" s="27" t="s">
        <v>298</v>
      </c>
      <c r="J98">
        <v>1005</v>
      </c>
      <c r="K98" t="s">
        <v>274</v>
      </c>
      <c r="L98">
        <f ca="1">RANDBETWEEN(100,150)</f>
        <v>107</v>
      </c>
      <c r="M98">
        <f t="shared" ca="1" si="6"/>
        <v>115</v>
      </c>
      <c r="O98">
        <v>1005</v>
      </c>
      <c r="P98" t="s">
        <v>274</v>
      </c>
      <c r="Q98">
        <f t="shared" ca="1" si="4"/>
        <v>119</v>
      </c>
      <c r="R98">
        <f t="shared" ca="1" si="4"/>
        <v>140</v>
      </c>
    </row>
    <row r="99" spans="1:18">
      <c r="J99">
        <v>1005</v>
      </c>
      <c r="K99" t="s">
        <v>275</v>
      </c>
      <c r="L99">
        <f t="shared" ca="1" si="5"/>
        <v>117</v>
      </c>
      <c r="M99">
        <f t="shared" ca="1" si="6"/>
        <v>103</v>
      </c>
      <c r="O99">
        <v>1007</v>
      </c>
      <c r="P99" t="s">
        <v>276</v>
      </c>
      <c r="Q99">
        <f t="shared" ca="1" si="4"/>
        <v>120</v>
      </c>
      <c r="R99">
        <f t="shared" ca="1" si="4"/>
        <v>104</v>
      </c>
    </row>
    <row r="100" spans="1:18">
      <c r="J100">
        <v>1007</v>
      </c>
      <c r="K100" t="s">
        <v>276</v>
      </c>
      <c r="L100">
        <f t="shared" ca="1" si="5"/>
        <v>129</v>
      </c>
      <c r="M100">
        <f t="shared" ca="1" si="6"/>
        <v>103</v>
      </c>
      <c r="O100">
        <v>1008</v>
      </c>
      <c r="P100" t="s">
        <v>277</v>
      </c>
      <c r="Q100">
        <f t="shared" ca="1" si="4"/>
        <v>133</v>
      </c>
      <c r="R100">
        <f t="shared" ca="1" si="4"/>
        <v>127</v>
      </c>
    </row>
    <row r="101" spans="1:18">
      <c r="J101">
        <v>1008</v>
      </c>
      <c r="K101" t="s">
        <v>277</v>
      </c>
      <c r="L101">
        <f t="shared" ca="1" si="5"/>
        <v>109</v>
      </c>
      <c r="M101">
        <f t="shared" ca="1" si="6"/>
        <v>117</v>
      </c>
      <c r="O101">
        <v>1010</v>
      </c>
      <c r="P101" t="s">
        <v>279</v>
      </c>
      <c r="Q101">
        <f t="shared" ca="1" si="4"/>
        <v>115</v>
      </c>
      <c r="R101">
        <f t="shared" ca="1" si="4"/>
        <v>145</v>
      </c>
    </row>
    <row r="102" spans="1:18">
      <c r="J102">
        <v>1008</v>
      </c>
      <c r="K102" t="s">
        <v>278</v>
      </c>
      <c r="L102">
        <f t="shared" ca="1" si="5"/>
        <v>143</v>
      </c>
      <c r="M102">
        <f t="shared" ca="1" si="6"/>
        <v>109</v>
      </c>
    </row>
    <row r="103" spans="1:18">
      <c r="J103">
        <v>1010</v>
      </c>
      <c r="K103" t="s">
        <v>279</v>
      </c>
      <c r="L103">
        <f t="shared" ca="1" si="5"/>
        <v>122</v>
      </c>
      <c r="M103">
        <f t="shared" ca="1" si="6"/>
        <v>140</v>
      </c>
    </row>
    <row r="105" spans="1:18">
      <c r="I105" t="s">
        <v>81</v>
      </c>
      <c r="J105" t="s">
        <v>82</v>
      </c>
    </row>
    <row r="106" spans="1:18">
      <c r="I106" t="s">
        <v>293</v>
      </c>
      <c r="J106">
        <v>5000</v>
      </c>
    </row>
    <row r="107" spans="1:18">
      <c r="I107" t="s">
        <v>294</v>
      </c>
      <c r="J107">
        <v>12000</v>
      </c>
    </row>
    <row r="108" spans="1:18">
      <c r="I108" t="s">
        <v>295</v>
      </c>
      <c r="J108">
        <v>8500</v>
      </c>
    </row>
    <row r="109" spans="1:18">
      <c r="I109" t="s">
        <v>296</v>
      </c>
      <c r="J109">
        <v>15000</v>
      </c>
    </row>
    <row r="112" spans="1:18">
      <c r="E112" t="s">
        <v>299</v>
      </c>
      <c r="F112" t="s">
        <v>64</v>
      </c>
      <c r="G112" t="s">
        <v>301</v>
      </c>
      <c r="H112" t="s">
        <v>302</v>
      </c>
      <c r="I112" t="s">
        <v>300</v>
      </c>
    </row>
    <row r="113" spans="5:9">
      <c r="E113">
        <v>1</v>
      </c>
      <c r="F113" t="s">
        <v>303</v>
      </c>
      <c r="G113">
        <f t="shared" ref="G113:H113" ca="1" si="7">RANDBETWEEN(50,99)</f>
        <v>56</v>
      </c>
      <c r="H113">
        <f t="shared" ca="1" si="7"/>
        <v>91</v>
      </c>
      <c r="I113">
        <f t="shared" ref="I113:I125" ca="1" si="8">RANDBETWEEN(50,99)</f>
        <v>90</v>
      </c>
    </row>
    <row r="114" spans="5:9">
      <c r="E114">
        <v>2</v>
      </c>
      <c r="F114" t="s">
        <v>304</v>
      </c>
      <c r="G114">
        <f t="shared" ref="G114:H125" ca="1" si="9">RANDBETWEEN(50,99)</f>
        <v>99</v>
      </c>
      <c r="H114">
        <f t="shared" ca="1" si="9"/>
        <v>95</v>
      </c>
      <c r="I114">
        <f t="shared" ca="1" si="8"/>
        <v>50</v>
      </c>
    </row>
    <row r="115" spans="5:9">
      <c r="E115">
        <v>3</v>
      </c>
      <c r="F115">
        <v>1</v>
      </c>
      <c r="G115">
        <f t="shared" ca="1" si="9"/>
        <v>86</v>
      </c>
      <c r="H115">
        <f t="shared" ca="1" si="9"/>
        <v>68</v>
      </c>
      <c r="I115">
        <f t="shared" ca="1" si="8"/>
        <v>72</v>
      </c>
    </row>
    <row r="116" spans="5:9">
      <c r="E116">
        <v>4</v>
      </c>
      <c r="F116" t="s">
        <v>305</v>
      </c>
      <c r="G116">
        <f t="shared" ca="1" si="9"/>
        <v>81</v>
      </c>
      <c r="H116">
        <f t="shared" ca="1" si="9"/>
        <v>97</v>
      </c>
      <c r="I116">
        <f t="shared" ca="1" si="8"/>
        <v>87</v>
      </c>
    </row>
    <row r="117" spans="5:9">
      <c r="E117">
        <v>5</v>
      </c>
      <c r="F117" t="s">
        <v>306</v>
      </c>
      <c r="G117">
        <f t="shared" ca="1" si="9"/>
        <v>97</v>
      </c>
      <c r="H117">
        <f t="shared" ca="1" si="9"/>
        <v>99</v>
      </c>
      <c r="I117">
        <f t="shared" ca="1" si="8"/>
        <v>61</v>
      </c>
    </row>
    <row r="118" spans="5:9">
      <c r="E118">
        <v>6</v>
      </c>
      <c r="F118" t="s">
        <v>307</v>
      </c>
      <c r="G118">
        <f t="shared" ca="1" si="9"/>
        <v>89</v>
      </c>
      <c r="H118">
        <f t="shared" ca="1" si="9"/>
        <v>68</v>
      </c>
      <c r="I118">
        <f t="shared" ca="1" si="8"/>
        <v>68</v>
      </c>
    </row>
    <row r="119" spans="5:9">
      <c r="E119">
        <v>7</v>
      </c>
      <c r="F119">
        <v>2</v>
      </c>
      <c r="G119">
        <f t="shared" ca="1" si="9"/>
        <v>66</v>
      </c>
      <c r="H119">
        <f t="shared" ca="1" si="9"/>
        <v>55</v>
      </c>
      <c r="I119">
        <f t="shared" ca="1" si="8"/>
        <v>57</v>
      </c>
    </row>
    <row r="120" spans="5:9">
      <c r="E120">
        <v>8</v>
      </c>
      <c r="F120" t="s">
        <v>278</v>
      </c>
      <c r="G120">
        <f t="shared" ca="1" si="9"/>
        <v>99</v>
      </c>
      <c r="H120">
        <f t="shared" ca="1" si="9"/>
        <v>86</v>
      </c>
      <c r="I120">
        <f t="shared" ca="1" si="8"/>
        <v>67</v>
      </c>
    </row>
    <row r="121" spans="5:9">
      <c r="E121">
        <v>9</v>
      </c>
      <c r="F121" t="s">
        <v>308</v>
      </c>
      <c r="G121">
        <f t="shared" ca="1" si="9"/>
        <v>68</v>
      </c>
      <c r="H121">
        <f t="shared" ca="1" si="9"/>
        <v>52</v>
      </c>
      <c r="I121">
        <f t="shared" ca="1" si="8"/>
        <v>97</v>
      </c>
    </row>
    <row r="122" spans="5:9">
      <c r="E122">
        <v>10</v>
      </c>
      <c r="F122" t="s">
        <v>309</v>
      </c>
      <c r="G122">
        <f t="shared" ca="1" si="9"/>
        <v>54</v>
      </c>
      <c r="H122">
        <f t="shared" ca="1" si="9"/>
        <v>78</v>
      </c>
      <c r="I122">
        <f t="shared" ca="1" si="8"/>
        <v>98</v>
      </c>
    </row>
    <row r="123" spans="5:9">
      <c r="E123">
        <v>11</v>
      </c>
      <c r="F123" t="s">
        <v>310</v>
      </c>
      <c r="G123">
        <f t="shared" ca="1" si="9"/>
        <v>71</v>
      </c>
      <c r="H123">
        <f t="shared" ca="1" si="9"/>
        <v>80</v>
      </c>
      <c r="I123">
        <f t="shared" ca="1" si="8"/>
        <v>79</v>
      </c>
    </row>
    <row r="124" spans="5:9">
      <c r="E124">
        <v>12</v>
      </c>
      <c r="F124" t="s">
        <v>311</v>
      </c>
      <c r="G124">
        <f t="shared" ca="1" si="9"/>
        <v>52</v>
      </c>
      <c r="H124">
        <f t="shared" ca="1" si="9"/>
        <v>81</v>
      </c>
      <c r="I124">
        <f t="shared" ca="1" si="8"/>
        <v>60</v>
      </c>
    </row>
    <row r="125" spans="5:9">
      <c r="E125">
        <v>13</v>
      </c>
      <c r="F125" t="s">
        <v>312</v>
      </c>
      <c r="G125">
        <f t="shared" ca="1" si="9"/>
        <v>58</v>
      </c>
      <c r="H125">
        <f t="shared" ca="1" si="9"/>
        <v>84</v>
      </c>
      <c r="I125">
        <f t="shared" ca="1" si="8"/>
        <v>78</v>
      </c>
    </row>
    <row r="130" spans="1:24">
      <c r="A130" s="9" t="s">
        <v>313</v>
      </c>
      <c r="B130" s="9"/>
    </row>
    <row r="132" spans="1:24">
      <c r="A132" s="44" t="s">
        <v>314</v>
      </c>
    </row>
    <row r="133" spans="1:24">
      <c r="A133" s="44" t="s">
        <v>318</v>
      </c>
      <c r="B133" s="108" t="s">
        <v>321</v>
      </c>
      <c r="C133" s="108"/>
      <c r="D133" s="108"/>
      <c r="E133" s="108"/>
      <c r="F133" s="108"/>
      <c r="G133" s="108"/>
      <c r="H133" s="108"/>
      <c r="P133" t="s">
        <v>315</v>
      </c>
      <c r="Q133">
        <v>12000</v>
      </c>
    </row>
    <row r="134" spans="1:24">
      <c r="B134" t="s">
        <v>319</v>
      </c>
      <c r="C134" t="s">
        <v>315</v>
      </c>
      <c r="D134">
        <v>12000</v>
      </c>
      <c r="P134" t="s">
        <v>316</v>
      </c>
      <c r="Q134" s="42">
        <v>0.15</v>
      </c>
    </row>
    <row r="135" spans="1:24">
      <c r="C135" t="s">
        <v>316</v>
      </c>
      <c r="D135" s="42">
        <v>0.15</v>
      </c>
      <c r="P135" t="s">
        <v>317</v>
      </c>
      <c r="Q135">
        <v>7</v>
      </c>
    </row>
    <row r="136" spans="1:24">
      <c r="C136" t="s">
        <v>317</v>
      </c>
      <c r="D136">
        <v>7</v>
      </c>
    </row>
    <row r="137" spans="1:24">
      <c r="D137" s="30">
        <f>PMT(D135,12,D136,D134)</f>
        <v>-415.06067900299013</v>
      </c>
      <c r="F137" s="6" t="s">
        <v>322</v>
      </c>
      <c r="H137" s="44" t="s">
        <v>323</v>
      </c>
      <c r="I137" s="44"/>
      <c r="J137" s="44"/>
      <c r="Q137" s="43">
        <f>PMT(Q134,Q135,Q133)</f>
        <v>-2884.3243633273382</v>
      </c>
    </row>
    <row r="139" spans="1:24">
      <c r="B139" t="s">
        <v>320</v>
      </c>
      <c r="D139" s="30">
        <f>-D137</f>
        <v>415.06067900299013</v>
      </c>
      <c r="E139" s="42">
        <v>0.16</v>
      </c>
      <c r="F139" s="42">
        <f>E139+2%</f>
        <v>0.18</v>
      </c>
      <c r="G139" s="42">
        <f t="shared" ref="G139:O139" si="10">F139+2%</f>
        <v>0.19999999999999998</v>
      </c>
      <c r="H139" s="42">
        <f t="shared" si="10"/>
        <v>0.21999999999999997</v>
      </c>
      <c r="I139" s="42">
        <f t="shared" si="10"/>
        <v>0.23999999999999996</v>
      </c>
      <c r="J139" s="42">
        <f t="shared" si="10"/>
        <v>0.25999999999999995</v>
      </c>
      <c r="K139" s="42">
        <f t="shared" si="10"/>
        <v>0.27999999999999997</v>
      </c>
      <c r="L139" s="42">
        <f t="shared" si="10"/>
        <v>0.3</v>
      </c>
      <c r="M139" s="42">
        <f t="shared" si="10"/>
        <v>0.32</v>
      </c>
      <c r="N139" s="42">
        <f t="shared" si="10"/>
        <v>0.34</v>
      </c>
      <c r="O139" s="42">
        <f t="shared" si="10"/>
        <v>0.36000000000000004</v>
      </c>
      <c r="R139">
        <v>2884.32</v>
      </c>
      <c r="S139" s="42">
        <v>0.1</v>
      </c>
      <c r="T139" s="45">
        <f>S139+5%</f>
        <v>0.15000000000000002</v>
      </c>
      <c r="U139" s="45">
        <f t="shared" ref="U139:X139" si="11">T139+5%</f>
        <v>0.2</v>
      </c>
      <c r="V139" s="45">
        <f t="shared" si="11"/>
        <v>0.25</v>
      </c>
      <c r="W139" s="45">
        <f t="shared" si="11"/>
        <v>0.3</v>
      </c>
      <c r="X139" s="45">
        <f t="shared" si="11"/>
        <v>0.35</v>
      </c>
    </row>
    <row r="140" spans="1:24">
      <c r="D140">
        <v>1801.2</v>
      </c>
      <c r="E140">
        <f t="dataTable" ref="E140:O154" dt2D="1" dtr="1" r1="D134" r2="D136"/>
        <v>332.29229089104905</v>
      </c>
      <c r="F140">
        <v>332.29298050657172</v>
      </c>
      <c r="G140">
        <v>332.29367012209428</v>
      </c>
      <c r="H140">
        <v>332.29435973761696</v>
      </c>
      <c r="I140">
        <v>332.29504935313952</v>
      </c>
      <c r="J140">
        <v>332.29573896866214</v>
      </c>
      <c r="K140">
        <v>332.2964285841847</v>
      </c>
      <c r="L140">
        <v>332.29711819970737</v>
      </c>
      <c r="M140">
        <v>332.29780781522993</v>
      </c>
      <c r="N140">
        <v>332.2984974307526</v>
      </c>
      <c r="O140">
        <v>332.29918704627516</v>
      </c>
      <c r="R140">
        <f>R139+4569</f>
        <v>7453.32</v>
      </c>
      <c r="S140">
        <f t="dataTable" ref="S140:X157" dt2D="1" dtr="1" r1="Q133" r2="Q134"/>
        <v>2884.32</v>
      </c>
      <c r="T140">
        <v>2884.32</v>
      </c>
      <c r="U140">
        <v>2884.32</v>
      </c>
      <c r="V140">
        <v>2884.32</v>
      </c>
      <c r="W140">
        <v>2884.32</v>
      </c>
      <c r="X140">
        <v>2884.32</v>
      </c>
    </row>
    <row r="141" spans="1:24">
      <c r="D141">
        <v>150000</v>
      </c>
      <c r="E141">
        <v>27672.121936550109</v>
      </c>
      <c r="F141">
        <v>27672.12262616563</v>
      </c>
      <c r="G141">
        <v>27672.123315781151</v>
      </c>
      <c r="H141">
        <v>27672.124005396672</v>
      </c>
      <c r="I141">
        <v>27672.1246950122</v>
      </c>
      <c r="J141">
        <v>27672.125384627721</v>
      </c>
      <c r="K141">
        <v>27672.126074243242</v>
      </c>
      <c r="L141">
        <v>27672.126763858763</v>
      </c>
      <c r="M141">
        <v>27672.127453474292</v>
      </c>
      <c r="N141">
        <v>27672.128143089813</v>
      </c>
      <c r="O141">
        <v>27672.128832705333</v>
      </c>
      <c r="R141">
        <f t="shared" ref="R141:R157" si="12">R140+4569</f>
        <v>12022.32</v>
      </c>
      <c r="S141">
        <v>2884.32</v>
      </c>
      <c r="T141">
        <v>2884.32</v>
      </c>
      <c r="U141">
        <v>2884.32</v>
      </c>
      <c r="V141">
        <v>2884.32</v>
      </c>
      <c r="W141">
        <v>2884.32</v>
      </c>
      <c r="X141">
        <v>2884.32</v>
      </c>
    </row>
    <row r="142" spans="1:24">
      <c r="D142">
        <f>D141+100000</f>
        <v>250000</v>
      </c>
      <c r="E142">
        <v>46120.199549634061</v>
      </c>
      <c r="F142">
        <v>46120.200239249585</v>
      </c>
      <c r="G142">
        <v>46120.20092886511</v>
      </c>
      <c r="H142">
        <v>46120.201618480627</v>
      </c>
      <c r="I142">
        <v>46120.202308096152</v>
      </c>
      <c r="J142">
        <v>46120.202997711669</v>
      </c>
      <c r="K142">
        <v>46120.203687327194</v>
      </c>
      <c r="L142">
        <v>46120.204376942718</v>
      </c>
      <c r="M142">
        <v>46120.205066558236</v>
      </c>
      <c r="N142">
        <v>46120.20575617376</v>
      </c>
      <c r="O142">
        <v>46120.206445789277</v>
      </c>
      <c r="R142">
        <f t="shared" si="12"/>
        <v>16591.32</v>
      </c>
      <c r="S142">
        <v>2884.32</v>
      </c>
      <c r="T142">
        <v>2884.32</v>
      </c>
      <c r="U142">
        <v>2884.32</v>
      </c>
      <c r="V142">
        <v>2884.32</v>
      </c>
      <c r="W142">
        <v>2884.32</v>
      </c>
      <c r="X142">
        <v>2884.32</v>
      </c>
    </row>
    <row r="143" spans="1:24">
      <c r="D143">
        <v>150001</v>
      </c>
      <c r="E143">
        <v>27672.306417326236</v>
      </c>
      <c r="F143">
        <v>27672.30710694176</v>
      </c>
      <c r="G143">
        <v>27672.307796557285</v>
      </c>
      <c r="H143">
        <v>27672.308486172806</v>
      </c>
      <c r="I143">
        <v>27672.309175788327</v>
      </c>
      <c r="J143">
        <v>27672.309865403851</v>
      </c>
      <c r="K143">
        <v>27672.310555019376</v>
      </c>
      <c r="L143">
        <v>27672.311244634897</v>
      </c>
      <c r="M143">
        <v>27672.311934250418</v>
      </c>
      <c r="N143">
        <v>27672.312623865942</v>
      </c>
      <c r="O143">
        <v>27672.313313481463</v>
      </c>
      <c r="R143">
        <f t="shared" si="12"/>
        <v>21160.32</v>
      </c>
      <c r="S143">
        <v>2884.32</v>
      </c>
      <c r="T143">
        <v>2884.32</v>
      </c>
      <c r="U143">
        <v>2884.32</v>
      </c>
      <c r="V143">
        <v>2884.32</v>
      </c>
      <c r="W143">
        <v>2884.32</v>
      </c>
      <c r="X143">
        <v>2884.32</v>
      </c>
    </row>
    <row r="144" spans="1:24">
      <c r="D144">
        <f t="shared" ref="D144" si="13">D143+100000</f>
        <v>250001</v>
      </c>
      <c r="E144">
        <v>46120.38403041019</v>
      </c>
      <c r="F144">
        <v>46120.384720025715</v>
      </c>
      <c r="G144">
        <v>46120.385409641232</v>
      </c>
      <c r="H144">
        <v>46120.386099256764</v>
      </c>
      <c r="I144">
        <v>46120.386788872282</v>
      </c>
      <c r="J144">
        <v>46120.387478487799</v>
      </c>
      <c r="K144">
        <v>46120.388168103324</v>
      </c>
      <c r="L144">
        <v>46120.388857718841</v>
      </c>
      <c r="M144">
        <v>46120.389547334373</v>
      </c>
      <c r="N144">
        <v>46120.39023694989</v>
      </c>
      <c r="O144">
        <v>46120.390926565415</v>
      </c>
      <c r="R144">
        <f t="shared" si="12"/>
        <v>25729.32</v>
      </c>
      <c r="S144">
        <v>2884.32</v>
      </c>
      <c r="T144">
        <v>2884.32</v>
      </c>
      <c r="U144">
        <v>2884.32</v>
      </c>
      <c r="V144">
        <v>2884.32</v>
      </c>
      <c r="W144">
        <v>2884.32</v>
      </c>
      <c r="X144">
        <v>2884.32</v>
      </c>
    </row>
    <row r="145" spans="1:24">
      <c r="D145">
        <v>150002</v>
      </c>
      <c r="E145">
        <v>27672.490898102369</v>
      </c>
      <c r="F145">
        <v>27672.49158771789</v>
      </c>
      <c r="G145">
        <v>27672.492277333415</v>
      </c>
      <c r="H145">
        <v>27672.492966948939</v>
      </c>
      <c r="I145">
        <v>27672.49365656446</v>
      </c>
      <c r="J145">
        <v>27672.494346179981</v>
      </c>
      <c r="K145">
        <v>27672.495035795506</v>
      </c>
      <c r="L145">
        <v>27672.495725411027</v>
      </c>
      <c r="M145">
        <v>27672.496415026551</v>
      </c>
      <c r="N145">
        <v>27672.497104642072</v>
      </c>
      <c r="O145">
        <v>27672.497794257597</v>
      </c>
      <c r="R145">
        <f t="shared" si="12"/>
        <v>30298.32</v>
      </c>
      <c r="S145">
        <v>2884.32</v>
      </c>
      <c r="T145">
        <v>2884.32</v>
      </c>
      <c r="U145">
        <v>2884.32</v>
      </c>
      <c r="V145">
        <v>2884.32</v>
      </c>
      <c r="W145">
        <v>2884.32</v>
      </c>
      <c r="X145">
        <v>2884.32</v>
      </c>
    </row>
    <row r="146" spans="1:24">
      <c r="D146">
        <f t="shared" ref="D146" si="14">D145+100000</f>
        <v>250002</v>
      </c>
      <c r="E146">
        <v>46120.56851118632</v>
      </c>
      <c r="F146">
        <v>46120.569200801845</v>
      </c>
      <c r="G146">
        <v>46120.569890417362</v>
      </c>
      <c r="H146">
        <v>46120.570580032894</v>
      </c>
      <c r="I146">
        <v>46120.571269648404</v>
      </c>
      <c r="J146">
        <v>46120.571959263936</v>
      </c>
      <c r="K146">
        <v>46120.572648879453</v>
      </c>
      <c r="L146">
        <v>46120.573338494978</v>
      </c>
      <c r="M146">
        <v>46120.574028110503</v>
      </c>
      <c r="N146">
        <v>46120.574717726013</v>
      </c>
      <c r="O146">
        <v>46120.575407341545</v>
      </c>
      <c r="R146">
        <f t="shared" si="12"/>
        <v>34867.32</v>
      </c>
      <c r="S146">
        <v>2884.32</v>
      </c>
      <c r="T146">
        <v>2884.32</v>
      </c>
      <c r="U146">
        <v>2884.32</v>
      </c>
      <c r="V146">
        <v>2884.32</v>
      </c>
      <c r="W146">
        <v>2884.32</v>
      </c>
      <c r="X146">
        <v>2884.32</v>
      </c>
    </row>
    <row r="147" spans="1:24">
      <c r="D147">
        <v>150003</v>
      </c>
      <c r="E147">
        <v>27672.675378878499</v>
      </c>
      <c r="F147">
        <v>27672.676068494024</v>
      </c>
      <c r="G147">
        <v>27672.676758109545</v>
      </c>
      <c r="H147">
        <v>27672.677447725069</v>
      </c>
      <c r="I147">
        <v>27672.67813734059</v>
      </c>
      <c r="J147">
        <v>27672.678826956115</v>
      </c>
      <c r="K147">
        <v>27672.679516571636</v>
      </c>
      <c r="L147">
        <v>27672.68020618716</v>
      </c>
      <c r="M147">
        <v>27672.680895802681</v>
      </c>
      <c r="N147">
        <v>27672.681585418202</v>
      </c>
      <c r="O147">
        <v>27672.682275033723</v>
      </c>
      <c r="R147">
        <f t="shared" si="12"/>
        <v>39436.32</v>
      </c>
      <c r="S147">
        <v>2884.32</v>
      </c>
      <c r="T147">
        <v>2884.32</v>
      </c>
      <c r="U147">
        <v>2884.32</v>
      </c>
      <c r="V147">
        <v>2884.32</v>
      </c>
      <c r="W147">
        <v>2884.32</v>
      </c>
      <c r="X147">
        <v>2884.32</v>
      </c>
    </row>
    <row r="148" spans="1:24">
      <c r="D148">
        <f t="shared" ref="D148" si="15">D147+100000</f>
        <v>250003</v>
      </c>
      <c r="E148">
        <v>46120.752991962458</v>
      </c>
      <c r="F148">
        <v>46120.753681577968</v>
      </c>
      <c r="G148">
        <v>46120.7543711935</v>
      </c>
      <c r="H148">
        <v>46120.755060809024</v>
      </c>
      <c r="I148">
        <v>46120.755750424541</v>
      </c>
      <c r="J148">
        <v>46120.756440040066</v>
      </c>
      <c r="K148">
        <v>46120.757129655576</v>
      </c>
      <c r="L148">
        <v>46120.757819271108</v>
      </c>
      <c r="M148">
        <v>46120.758508886633</v>
      </c>
      <c r="N148">
        <v>46120.75919850215</v>
      </c>
      <c r="O148">
        <v>46120.759888117675</v>
      </c>
      <c r="R148">
        <f t="shared" si="12"/>
        <v>44005.32</v>
      </c>
      <c r="S148">
        <v>2884.32</v>
      </c>
      <c r="T148">
        <v>2884.32</v>
      </c>
      <c r="U148">
        <v>2884.32</v>
      </c>
      <c r="V148">
        <v>2884.32</v>
      </c>
      <c r="W148">
        <v>2884.32</v>
      </c>
      <c r="X148">
        <v>2884.32</v>
      </c>
    </row>
    <row r="149" spans="1:24">
      <c r="D149">
        <v>150004</v>
      </c>
      <c r="E149">
        <v>27672.859859654633</v>
      </c>
      <c r="F149">
        <v>27672.860549270154</v>
      </c>
      <c r="G149">
        <v>27672.861238885675</v>
      </c>
      <c r="H149">
        <v>27672.861928501199</v>
      </c>
      <c r="I149">
        <v>27672.862618116724</v>
      </c>
      <c r="J149">
        <v>27672.863307732245</v>
      </c>
      <c r="K149">
        <v>27672.863997347766</v>
      </c>
      <c r="L149">
        <v>27672.864686963287</v>
      </c>
      <c r="M149">
        <v>27672.865376578815</v>
      </c>
      <c r="N149">
        <v>27672.866066194336</v>
      </c>
      <c r="O149">
        <v>27672.866755809857</v>
      </c>
      <c r="R149">
        <f t="shared" si="12"/>
        <v>48574.32</v>
      </c>
      <c r="S149">
        <v>2884.32</v>
      </c>
      <c r="T149">
        <v>2884.32</v>
      </c>
      <c r="U149">
        <v>2884.32</v>
      </c>
      <c r="V149">
        <v>2884.32</v>
      </c>
      <c r="W149">
        <v>2884.32</v>
      </c>
      <c r="X149">
        <v>2884.32</v>
      </c>
    </row>
    <row r="150" spans="1:24">
      <c r="D150">
        <f t="shared" ref="D150" si="16">D149+100000</f>
        <v>250004</v>
      </c>
      <c r="E150">
        <v>46120.937472738588</v>
      </c>
      <c r="F150">
        <v>46120.938162354105</v>
      </c>
      <c r="G150">
        <v>46120.938851969629</v>
      </c>
      <c r="H150">
        <v>46120.939541585154</v>
      </c>
      <c r="I150">
        <v>46120.940231200671</v>
      </c>
      <c r="J150">
        <v>46120.940920816196</v>
      </c>
      <c r="K150">
        <v>46120.941610431713</v>
      </c>
      <c r="L150">
        <v>46120.942300047238</v>
      </c>
      <c r="M150">
        <v>46120.942989662763</v>
      </c>
      <c r="N150">
        <v>46120.94367927828</v>
      </c>
      <c r="O150">
        <v>46120.944368893812</v>
      </c>
      <c r="R150">
        <f t="shared" si="12"/>
        <v>53143.32</v>
      </c>
      <c r="S150">
        <v>2884.32</v>
      </c>
      <c r="T150">
        <v>2884.32</v>
      </c>
      <c r="U150">
        <v>2884.32</v>
      </c>
      <c r="V150">
        <v>2884.32</v>
      </c>
      <c r="W150">
        <v>2884.32</v>
      </c>
      <c r="X150">
        <v>2884.32</v>
      </c>
    </row>
    <row r="151" spans="1:24">
      <c r="D151">
        <v>150005</v>
      </c>
      <c r="E151">
        <v>27673.044340430763</v>
      </c>
      <c r="F151">
        <v>27673.045030046287</v>
      </c>
      <c r="G151">
        <v>27673.045719661808</v>
      </c>
      <c r="H151">
        <v>27673.046409277329</v>
      </c>
      <c r="I151">
        <v>27673.04709889285</v>
      </c>
      <c r="J151">
        <v>27673.047788508378</v>
      </c>
      <c r="K151">
        <v>27673.048478123899</v>
      </c>
      <c r="L151">
        <v>27673.04916773942</v>
      </c>
      <c r="M151">
        <v>27673.049857354941</v>
      </c>
      <c r="N151">
        <v>27673.050546970462</v>
      </c>
      <c r="O151">
        <v>27673.05123658599</v>
      </c>
      <c r="R151">
        <f t="shared" si="12"/>
        <v>57712.32</v>
      </c>
      <c r="S151">
        <v>2884.32</v>
      </c>
      <c r="T151">
        <v>2884.32</v>
      </c>
      <c r="U151">
        <v>2884.32</v>
      </c>
      <c r="V151">
        <v>2884.32</v>
      </c>
      <c r="W151">
        <v>2884.32</v>
      </c>
      <c r="X151">
        <v>2884.32</v>
      </c>
    </row>
    <row r="152" spans="1:24">
      <c r="D152">
        <f t="shared" ref="D152" si="17">D151+100000</f>
        <v>250005</v>
      </c>
      <c r="E152">
        <v>46121.121953514717</v>
      </c>
      <c r="F152">
        <v>46121.122643130235</v>
      </c>
      <c r="G152">
        <v>46121.123332745759</v>
      </c>
      <c r="H152">
        <v>46121.124022361291</v>
      </c>
      <c r="I152">
        <v>46121.124711976801</v>
      </c>
      <c r="J152">
        <v>46121.125401592326</v>
      </c>
      <c r="K152">
        <v>46121.126091207843</v>
      </c>
      <c r="L152">
        <v>46121.126780823368</v>
      </c>
      <c r="M152">
        <v>46121.1274704389</v>
      </c>
      <c r="N152">
        <v>46121.12816005441</v>
      </c>
      <c r="O152">
        <v>46121.128849669942</v>
      </c>
      <c r="R152">
        <f t="shared" si="12"/>
        <v>62281.32</v>
      </c>
      <c r="S152">
        <v>2884.32</v>
      </c>
      <c r="T152">
        <v>2884.32</v>
      </c>
      <c r="U152">
        <v>2884.32</v>
      </c>
      <c r="V152">
        <v>2884.32</v>
      </c>
      <c r="W152">
        <v>2884.32</v>
      </c>
      <c r="X152">
        <v>2884.32</v>
      </c>
    </row>
    <row r="153" spans="1:24">
      <c r="D153">
        <v>150006</v>
      </c>
      <c r="E153">
        <v>27673.228821206892</v>
      </c>
      <c r="F153">
        <v>27673.229510822413</v>
      </c>
      <c r="G153">
        <v>27673.230200437942</v>
      </c>
      <c r="H153">
        <v>27673.230890053463</v>
      </c>
      <c r="I153">
        <v>27673.231579668984</v>
      </c>
      <c r="J153">
        <v>27673.232269284505</v>
      </c>
      <c r="K153">
        <v>27673.232958900026</v>
      </c>
      <c r="L153">
        <v>27673.23364851555</v>
      </c>
      <c r="M153">
        <v>27673.234338131075</v>
      </c>
      <c r="N153">
        <v>27673.235027746596</v>
      </c>
      <c r="O153">
        <v>27673.235717362117</v>
      </c>
      <c r="R153">
        <f t="shared" si="12"/>
        <v>66850.320000000007</v>
      </c>
      <c r="S153">
        <v>2884.32</v>
      </c>
      <c r="T153">
        <v>2884.32</v>
      </c>
      <c r="U153">
        <v>2884.32</v>
      </c>
      <c r="V153">
        <v>2884.32</v>
      </c>
      <c r="W153">
        <v>2884.32</v>
      </c>
      <c r="X153">
        <v>2884.32</v>
      </c>
    </row>
    <row r="154" spans="1:24">
      <c r="D154">
        <f t="shared" ref="D154" si="18">D153+100000</f>
        <v>250006</v>
      </c>
      <c r="E154">
        <v>46121.306434290855</v>
      </c>
      <c r="F154">
        <v>46121.307123906365</v>
      </c>
      <c r="G154">
        <v>46121.307813521889</v>
      </c>
      <c r="H154">
        <v>46121.308503137414</v>
      </c>
      <c r="I154">
        <v>46121.309192752931</v>
      </c>
      <c r="J154">
        <v>46121.309882368463</v>
      </c>
      <c r="K154">
        <v>46121.310571983973</v>
      </c>
      <c r="L154">
        <v>46121.311261599505</v>
      </c>
      <c r="M154">
        <v>46121.311951215022</v>
      </c>
      <c r="N154">
        <v>46121.31264083054</v>
      </c>
      <c r="O154">
        <v>46121.313330446072</v>
      </c>
      <c r="R154">
        <f t="shared" si="12"/>
        <v>71419.320000000007</v>
      </c>
      <c r="S154">
        <v>2884.32</v>
      </c>
      <c r="T154">
        <v>2884.32</v>
      </c>
      <c r="U154">
        <v>2884.32</v>
      </c>
      <c r="V154">
        <v>2884.32</v>
      </c>
      <c r="W154">
        <v>2884.32</v>
      </c>
      <c r="X154">
        <v>2884.32</v>
      </c>
    </row>
    <row r="155" spans="1:24">
      <c r="R155">
        <f t="shared" si="12"/>
        <v>75988.320000000007</v>
      </c>
      <c r="S155">
        <v>2884.32</v>
      </c>
      <c r="T155">
        <v>2884.32</v>
      </c>
      <c r="U155">
        <v>2884.32</v>
      </c>
      <c r="V155">
        <v>2884.32</v>
      </c>
      <c r="W155">
        <v>2884.32</v>
      </c>
      <c r="X155">
        <v>2884.32</v>
      </c>
    </row>
    <row r="156" spans="1:24">
      <c r="A156" s="44" t="s">
        <v>324</v>
      </c>
      <c r="B156" s="41" t="s">
        <v>327</v>
      </c>
      <c r="C156" s="41"/>
      <c r="D156" t="s">
        <v>328</v>
      </c>
      <c r="R156">
        <f t="shared" si="12"/>
        <v>80557.320000000007</v>
      </c>
      <c r="S156">
        <v>2884.32</v>
      </c>
      <c r="T156">
        <v>2884.32</v>
      </c>
      <c r="U156">
        <v>2884.32</v>
      </c>
      <c r="V156">
        <v>2884.32</v>
      </c>
      <c r="W156">
        <v>2884.32</v>
      </c>
      <c r="X156">
        <v>2884.32</v>
      </c>
    </row>
    <row r="157" spans="1:24">
      <c r="B157" t="s">
        <v>325</v>
      </c>
      <c r="R157">
        <f t="shared" si="12"/>
        <v>85126.32</v>
      </c>
      <c r="S157">
        <v>2884.32</v>
      </c>
      <c r="T157">
        <v>2884.32</v>
      </c>
      <c r="U157">
        <v>2884.32</v>
      </c>
      <c r="V157">
        <v>2884.32</v>
      </c>
      <c r="W157">
        <v>2884.32</v>
      </c>
      <c r="X157">
        <v>2884.32</v>
      </c>
    </row>
    <row r="158" spans="1:24">
      <c r="B158" s="46" t="s">
        <v>326</v>
      </c>
    </row>
    <row r="162" spans="1:11">
      <c r="A162" s="9" t="s">
        <v>329</v>
      </c>
      <c r="B162" s="9"/>
    </row>
    <row r="164" spans="1:11">
      <c r="A164" s="46" t="s">
        <v>330</v>
      </c>
      <c r="C164" t="s">
        <v>388</v>
      </c>
      <c r="F164" s="46"/>
    </row>
    <row r="166" spans="1:11">
      <c r="A166" s="9" t="s">
        <v>331</v>
      </c>
      <c r="B166" s="9"/>
      <c r="C166" s="41" t="s">
        <v>332</v>
      </c>
      <c r="D166" s="41"/>
      <c r="E166" s="41"/>
      <c r="F166" s="41"/>
      <c r="G166" s="41"/>
      <c r="H166" s="41"/>
    </row>
    <row r="167" spans="1:11">
      <c r="A167" s="9"/>
      <c r="B167" s="9"/>
      <c r="C167" s="41" t="s">
        <v>341</v>
      </c>
      <c r="D167" s="41"/>
      <c r="E167" s="41"/>
      <c r="F167" s="41"/>
      <c r="G167" s="41"/>
      <c r="H167" s="41"/>
    </row>
    <row r="168" spans="1:11">
      <c r="A168" s="9"/>
      <c r="B168" s="9"/>
      <c r="D168" t="s">
        <v>334</v>
      </c>
      <c r="H168" t="s">
        <v>337</v>
      </c>
      <c r="J168" t="s">
        <v>338</v>
      </c>
    </row>
    <row r="169" spans="1:11">
      <c r="A169" s="9"/>
      <c r="B169" s="9"/>
      <c r="G169" t="s">
        <v>333</v>
      </c>
      <c r="H169" t="s">
        <v>336</v>
      </c>
      <c r="J169" s="47">
        <v>0.34027777777777773</v>
      </c>
      <c r="K169" t="s">
        <v>339</v>
      </c>
    </row>
    <row r="170" spans="1:11">
      <c r="A170" s="9" t="s">
        <v>331</v>
      </c>
      <c r="B170" s="9"/>
      <c r="C170" t="s">
        <v>335</v>
      </c>
      <c r="G170" t="s">
        <v>333</v>
      </c>
      <c r="H170" s="8">
        <v>45211</v>
      </c>
      <c r="I170">
        <v>5</v>
      </c>
      <c r="J170" s="47">
        <v>0.5</v>
      </c>
      <c r="K170" t="s">
        <v>43</v>
      </c>
    </row>
    <row r="171" spans="1:11">
      <c r="G171" t="s">
        <v>333</v>
      </c>
      <c r="H171" s="8">
        <v>45061</v>
      </c>
      <c r="I171">
        <v>4</v>
      </c>
      <c r="K171" t="s">
        <v>43</v>
      </c>
    </row>
    <row r="172" spans="1:11">
      <c r="G172" t="s">
        <v>333</v>
      </c>
      <c r="H172" s="8">
        <v>45285</v>
      </c>
      <c r="I172">
        <v>5</v>
      </c>
      <c r="K172" t="s">
        <v>43</v>
      </c>
    </row>
    <row r="173" spans="1:11">
      <c r="G173" t="s">
        <v>333</v>
      </c>
      <c r="H173" s="8">
        <v>45306</v>
      </c>
      <c r="I173">
        <v>2</v>
      </c>
      <c r="K173">
        <v>80110</v>
      </c>
    </row>
    <row r="174" spans="1:11">
      <c r="G174" t="s">
        <v>333</v>
      </c>
      <c r="I174">
        <v>3</v>
      </c>
      <c r="K174" t="s">
        <v>43</v>
      </c>
    </row>
    <row r="175" spans="1:11">
      <c r="G175" t="s">
        <v>333</v>
      </c>
      <c r="I175">
        <v>1</v>
      </c>
      <c r="K175" t="s">
        <v>43</v>
      </c>
    </row>
    <row r="176" spans="1:11">
      <c r="G176" t="s">
        <v>333</v>
      </c>
      <c r="I176">
        <v>5</v>
      </c>
      <c r="K176" t="s">
        <v>43</v>
      </c>
    </row>
    <row r="177" spans="7:11">
      <c r="G177" t="s">
        <v>333</v>
      </c>
      <c r="I177">
        <v>5</v>
      </c>
      <c r="K177" t="s">
        <v>43</v>
      </c>
    </row>
    <row r="178" spans="7:11">
      <c r="G178" t="s">
        <v>333</v>
      </c>
      <c r="I178">
        <v>5</v>
      </c>
      <c r="K178" t="s">
        <v>43</v>
      </c>
    </row>
    <row r="179" spans="7:11">
      <c r="G179" t="s">
        <v>333</v>
      </c>
      <c r="I179">
        <v>5</v>
      </c>
      <c r="K179" t="s">
        <v>43</v>
      </c>
    </row>
    <row r="180" spans="7:11">
      <c r="G180" t="s">
        <v>333</v>
      </c>
      <c r="I180">
        <v>5</v>
      </c>
      <c r="K180" t="s">
        <v>43</v>
      </c>
    </row>
    <row r="181" spans="7:11">
      <c r="G181" t="s">
        <v>333</v>
      </c>
      <c r="I181">
        <v>5</v>
      </c>
      <c r="K181" t="s">
        <v>43</v>
      </c>
    </row>
    <row r="182" spans="7:11">
      <c r="G182" t="s">
        <v>333</v>
      </c>
      <c r="I182">
        <v>5</v>
      </c>
      <c r="K182" t="s">
        <v>43</v>
      </c>
    </row>
    <row r="183" spans="7:11">
      <c r="G183" t="s">
        <v>333</v>
      </c>
      <c r="I183">
        <v>5</v>
      </c>
      <c r="K183" t="s">
        <v>43</v>
      </c>
    </row>
    <row r="184" spans="7:11">
      <c r="G184" t="s">
        <v>333</v>
      </c>
      <c r="I184">
        <v>5</v>
      </c>
      <c r="K184" t="s">
        <v>43</v>
      </c>
    </row>
    <row r="185" spans="7:11">
      <c r="G185" t="s">
        <v>333</v>
      </c>
      <c r="I185">
        <v>5</v>
      </c>
      <c r="K185" t="s">
        <v>44</v>
      </c>
    </row>
    <row r="186" spans="7:11">
      <c r="G186" t="s">
        <v>333</v>
      </c>
      <c r="I186">
        <v>5</v>
      </c>
      <c r="K186" t="s">
        <v>340</v>
      </c>
    </row>
    <row r="187" spans="7:11">
      <c r="G187" t="s">
        <v>333</v>
      </c>
      <c r="I187">
        <v>5</v>
      </c>
    </row>
    <row r="188" spans="7:11">
      <c r="G188" t="s">
        <v>333</v>
      </c>
      <c r="I188">
        <v>5</v>
      </c>
    </row>
    <row r="189" spans="7:11">
      <c r="G189" t="s">
        <v>333</v>
      </c>
    </row>
    <row r="193" spans="1:11">
      <c r="A193" s="9" t="s">
        <v>342</v>
      </c>
      <c r="B193" s="9"/>
      <c r="C193" s="9"/>
    </row>
    <row r="195" spans="1:11">
      <c r="A195" s="48" t="s">
        <v>343</v>
      </c>
      <c r="B195" s="48"/>
      <c r="C195" s="41" t="s">
        <v>344</v>
      </c>
      <c r="D195" s="41"/>
      <c r="E195" s="41"/>
    </row>
    <row r="196" spans="1:11">
      <c r="H196" s="47"/>
    </row>
    <row r="197" spans="1:11">
      <c r="A197" t="s">
        <v>345</v>
      </c>
      <c r="B197" t="s">
        <v>346</v>
      </c>
      <c r="H197" s="47"/>
      <c r="J197" s="47"/>
    </row>
    <row r="198" spans="1:11">
      <c r="H198" s="47"/>
      <c r="J198" s="47"/>
    </row>
    <row r="199" spans="1:11">
      <c r="A199" t="s">
        <v>347</v>
      </c>
      <c r="C199" t="s">
        <v>348</v>
      </c>
      <c r="H199" s="47"/>
    </row>
    <row r="200" spans="1:11">
      <c r="H200" s="47"/>
    </row>
    <row r="201" spans="1:11">
      <c r="H201" s="47"/>
    </row>
    <row r="202" spans="1:11">
      <c r="H202" s="47"/>
    </row>
    <row r="203" spans="1:11">
      <c r="A203" s="9" t="s">
        <v>349</v>
      </c>
      <c r="B203" s="9"/>
      <c r="C203" s="9"/>
      <c r="H203" s="47"/>
      <c r="K203" s="47"/>
    </row>
    <row r="204" spans="1:11">
      <c r="H204" s="47"/>
    </row>
    <row r="205" spans="1:11">
      <c r="A205" s="27" t="s">
        <v>350</v>
      </c>
      <c r="B205" s="27"/>
      <c r="C205" s="27"/>
      <c r="D205" s="27"/>
      <c r="E205" t="s">
        <v>315</v>
      </c>
      <c r="F205">
        <v>120000</v>
      </c>
      <c r="H205" s="47"/>
    </row>
    <row r="206" spans="1:11">
      <c r="E206" t="s">
        <v>316</v>
      </c>
      <c r="F206" s="42">
        <v>0.15</v>
      </c>
      <c r="H206" s="47"/>
    </row>
    <row r="207" spans="1:11">
      <c r="F207">
        <f>F205*F206</f>
        <v>18000</v>
      </c>
      <c r="H207" s="47"/>
    </row>
    <row r="208" spans="1:11">
      <c r="A208" s="27" t="s">
        <v>351</v>
      </c>
      <c r="B208" s="27" t="s">
        <v>352</v>
      </c>
      <c r="C208" s="27"/>
      <c r="D208" s="27"/>
      <c r="H208" s="47"/>
    </row>
    <row r="209" spans="1:10">
      <c r="E209" t="s">
        <v>351</v>
      </c>
      <c r="H209" s="47"/>
    </row>
    <row r="210" spans="1:10">
      <c r="E210" t="s">
        <v>315</v>
      </c>
      <c r="F210">
        <v>120000</v>
      </c>
      <c r="H210" s="47"/>
    </row>
    <row r="211" spans="1:10">
      <c r="E211" t="s">
        <v>316</v>
      </c>
      <c r="F211" s="42">
        <v>1.0000000000000002</v>
      </c>
      <c r="H211" s="47"/>
    </row>
    <row r="212" spans="1:10">
      <c r="F212">
        <f>F210*F211</f>
        <v>120000.00000000003</v>
      </c>
      <c r="H212" s="47"/>
    </row>
    <row r="213" spans="1:10">
      <c r="H213" s="47"/>
    </row>
    <row r="214" spans="1:10">
      <c r="E214" t="s">
        <v>353</v>
      </c>
      <c r="F214">
        <v>70</v>
      </c>
      <c r="H214" s="47"/>
    </row>
    <row r="215" spans="1:10">
      <c r="E215" t="s">
        <v>354</v>
      </c>
      <c r="F215">
        <v>80</v>
      </c>
      <c r="H215" s="47"/>
    </row>
    <row r="216" spans="1:10">
      <c r="E216" t="s">
        <v>355</v>
      </c>
      <c r="F216">
        <v>90</v>
      </c>
      <c r="H216" s="47"/>
    </row>
    <row r="217" spans="1:10">
      <c r="E217" t="s">
        <v>82</v>
      </c>
      <c r="F217">
        <f>SUM(F214:F216)</f>
        <v>240</v>
      </c>
      <c r="H217" s="47"/>
    </row>
    <row r="218" spans="1:10">
      <c r="H218" s="47"/>
    </row>
    <row r="219" spans="1:10">
      <c r="A219" s="27" t="s">
        <v>356</v>
      </c>
      <c r="B219" s="27"/>
      <c r="C219" s="27"/>
      <c r="D219" s="27"/>
      <c r="E219" s="27"/>
      <c r="F219" s="3" t="s">
        <v>357</v>
      </c>
      <c r="G219" s="3"/>
      <c r="H219" s="49"/>
      <c r="I219" s="3"/>
      <c r="J219" s="3"/>
    </row>
    <row r="220" spans="1:10">
      <c r="A220" t="s">
        <v>358</v>
      </c>
      <c r="H220" s="47"/>
    </row>
    <row r="221" spans="1:10">
      <c r="E221" t="s">
        <v>315</v>
      </c>
      <c r="F221">
        <v>120000</v>
      </c>
      <c r="H221" s="47"/>
    </row>
    <row r="222" spans="1:10">
      <c r="E222" t="s">
        <v>316</v>
      </c>
      <c r="F222" s="42">
        <v>0.15</v>
      </c>
      <c r="H222" s="47"/>
    </row>
    <row r="223" spans="1:10">
      <c r="F223">
        <f>F221*F222</f>
        <v>18000</v>
      </c>
      <c r="H223" s="47"/>
    </row>
    <row r="224" spans="1:10">
      <c r="H224" s="47"/>
    </row>
    <row r="225" spans="1:11">
      <c r="F225" t="s">
        <v>299</v>
      </c>
      <c r="G225" t="s">
        <v>64</v>
      </c>
      <c r="H225" s="47" t="s">
        <v>300</v>
      </c>
      <c r="I225" t="s">
        <v>301</v>
      </c>
      <c r="J225" t="s">
        <v>302</v>
      </c>
      <c r="K225" t="s">
        <v>82</v>
      </c>
    </row>
    <row r="226" spans="1:11">
      <c r="F226">
        <v>1</v>
      </c>
      <c r="G226" t="s">
        <v>273</v>
      </c>
      <c r="H226">
        <v>50</v>
      </c>
      <c r="I226">
        <v>20</v>
      </c>
      <c r="J226">
        <v>40</v>
      </c>
      <c r="K226">
        <f>SUM(H226:J226)</f>
        <v>110</v>
      </c>
    </row>
    <row r="227" spans="1:11">
      <c r="F227">
        <v>2</v>
      </c>
      <c r="G227" t="s">
        <v>304</v>
      </c>
      <c r="H227">
        <v>60</v>
      </c>
      <c r="I227">
        <v>30</v>
      </c>
      <c r="J227">
        <v>50</v>
      </c>
      <c r="K227">
        <f t="shared" ref="K227:K235" si="19">SUM(H227:J227)</f>
        <v>140</v>
      </c>
    </row>
    <row r="228" spans="1:11">
      <c r="F228">
        <v>3</v>
      </c>
      <c r="G228">
        <v>1</v>
      </c>
      <c r="H228">
        <v>70</v>
      </c>
      <c r="I228">
        <v>40</v>
      </c>
      <c r="J228">
        <v>60</v>
      </c>
      <c r="K228">
        <f t="shared" si="19"/>
        <v>170</v>
      </c>
    </row>
    <row r="229" spans="1:11">
      <c r="F229">
        <v>4</v>
      </c>
      <c r="G229" t="s">
        <v>359</v>
      </c>
      <c r="H229">
        <v>80</v>
      </c>
      <c r="I229">
        <v>50</v>
      </c>
      <c r="J229">
        <v>70</v>
      </c>
      <c r="K229">
        <f t="shared" si="19"/>
        <v>200</v>
      </c>
    </row>
    <row r="230" spans="1:11">
      <c r="F230">
        <v>5</v>
      </c>
      <c r="G230" t="s">
        <v>306</v>
      </c>
      <c r="H230">
        <v>90</v>
      </c>
      <c r="I230">
        <v>60</v>
      </c>
      <c r="J230">
        <v>80</v>
      </c>
      <c r="K230">
        <f t="shared" si="19"/>
        <v>230</v>
      </c>
    </row>
    <row r="231" spans="1:11">
      <c r="F231">
        <v>6</v>
      </c>
      <c r="G231" t="s">
        <v>307</v>
      </c>
      <c r="H231">
        <v>100</v>
      </c>
      <c r="I231">
        <v>70</v>
      </c>
      <c r="J231">
        <v>90</v>
      </c>
      <c r="K231">
        <f t="shared" si="19"/>
        <v>260</v>
      </c>
    </row>
    <row r="232" spans="1:11">
      <c r="F232">
        <v>7</v>
      </c>
      <c r="G232">
        <v>2</v>
      </c>
      <c r="H232">
        <v>110</v>
      </c>
      <c r="I232">
        <v>80</v>
      </c>
      <c r="J232">
        <v>100</v>
      </c>
      <c r="K232">
        <f t="shared" si="19"/>
        <v>290</v>
      </c>
    </row>
    <row r="233" spans="1:11">
      <c r="F233">
        <v>8</v>
      </c>
      <c r="G233" t="s">
        <v>309</v>
      </c>
      <c r="H233">
        <v>120</v>
      </c>
      <c r="I233">
        <v>90</v>
      </c>
      <c r="J233">
        <v>110</v>
      </c>
      <c r="K233">
        <f t="shared" si="19"/>
        <v>320</v>
      </c>
    </row>
    <row r="234" spans="1:11">
      <c r="F234">
        <v>9</v>
      </c>
      <c r="G234" t="s">
        <v>278</v>
      </c>
      <c r="H234">
        <v>130</v>
      </c>
      <c r="I234">
        <v>100</v>
      </c>
      <c r="J234">
        <v>120</v>
      </c>
      <c r="K234">
        <f t="shared" si="19"/>
        <v>350</v>
      </c>
    </row>
    <row r="235" spans="1:11">
      <c r="F235">
        <v>10</v>
      </c>
      <c r="G235" t="s">
        <v>360</v>
      </c>
      <c r="H235">
        <v>140</v>
      </c>
      <c r="I235">
        <v>110</v>
      </c>
      <c r="J235">
        <v>130</v>
      </c>
      <c r="K235">
        <f t="shared" si="19"/>
        <v>380</v>
      </c>
    </row>
    <row r="239" spans="1:11">
      <c r="A239" s="9" t="s">
        <v>361</v>
      </c>
      <c r="B239" s="9"/>
    </row>
    <row r="240" spans="1:11">
      <c r="A240" t="s">
        <v>362</v>
      </c>
      <c r="D240" t="s">
        <v>363</v>
      </c>
      <c r="K240" t="s">
        <v>364</v>
      </c>
    </row>
    <row r="241" spans="1:16">
      <c r="D241" t="str">
        <f ca="1">CHAR(RANDBETWEEN(69,90))</f>
        <v>L</v>
      </c>
      <c r="E241" t="str">
        <f t="shared" ref="E241:J241" ca="1" si="20">CHAR(RANDBETWEEN(69,90))</f>
        <v>S</v>
      </c>
      <c r="F241" t="str">
        <f t="shared" ca="1" si="20"/>
        <v>P</v>
      </c>
      <c r="G241" t="str">
        <f t="shared" ca="1" si="20"/>
        <v>U</v>
      </c>
      <c r="H241" t="str">
        <f t="shared" ca="1" si="20"/>
        <v>L</v>
      </c>
      <c r="I241" t="str">
        <f t="shared" ca="1" si="20"/>
        <v>G</v>
      </c>
      <c r="J241" t="str">
        <f t="shared" ca="1" si="20"/>
        <v>U</v>
      </c>
      <c r="K241" t="str">
        <f ca="1">CHAR(RANDBETWEEN(40,90))</f>
        <v>H</v>
      </c>
      <c r="L241" t="str">
        <f t="shared" ref="L241:P241" ca="1" si="21">CHAR(RANDBETWEEN(40,90))</f>
        <v>/</v>
      </c>
      <c r="M241" t="str">
        <f t="shared" ca="1" si="21"/>
        <v>0</v>
      </c>
      <c r="N241" t="str">
        <f t="shared" ca="1" si="21"/>
        <v>O</v>
      </c>
      <c r="O241" t="str">
        <f t="shared" ca="1" si="21"/>
        <v>O</v>
      </c>
      <c r="P241" t="str">
        <f t="shared" ca="1" si="21"/>
        <v>J</v>
      </c>
    </row>
    <row r="242" spans="1:16">
      <c r="D242" t="str">
        <f t="shared" ref="D242:J249" ca="1" si="22">CHAR(RANDBETWEEN(69,90))</f>
        <v>R</v>
      </c>
      <c r="E242" t="str">
        <f t="shared" ca="1" si="22"/>
        <v>R</v>
      </c>
      <c r="F242" t="str">
        <f t="shared" ca="1" si="22"/>
        <v>J</v>
      </c>
      <c r="G242" t="str">
        <f t="shared" ca="1" si="22"/>
        <v>V</v>
      </c>
      <c r="H242" t="str">
        <f t="shared" ca="1" si="22"/>
        <v>Z</v>
      </c>
      <c r="I242" t="str">
        <f t="shared" ca="1" si="22"/>
        <v>I</v>
      </c>
      <c r="J242" t="str">
        <f t="shared" ca="1" si="22"/>
        <v>S</v>
      </c>
      <c r="K242" t="str">
        <f t="shared" ref="K242:P247" ca="1" si="23">CHAR(RANDBETWEEN(40,90))</f>
        <v>T</v>
      </c>
      <c r="L242" t="str">
        <f t="shared" ca="1" si="23"/>
        <v>W</v>
      </c>
      <c r="M242" t="str">
        <f t="shared" ca="1" si="23"/>
        <v>H</v>
      </c>
      <c r="N242" t="str">
        <f t="shared" ca="1" si="23"/>
        <v>:</v>
      </c>
      <c r="O242" t="str">
        <f t="shared" ca="1" si="23"/>
        <v>K</v>
      </c>
      <c r="P242" t="str">
        <f t="shared" ca="1" si="23"/>
        <v>J</v>
      </c>
    </row>
    <row r="243" spans="1:16">
      <c r="D243" t="str">
        <f t="shared" ca="1" si="22"/>
        <v>T</v>
      </c>
      <c r="E243" t="str">
        <f t="shared" ca="1" si="22"/>
        <v>P</v>
      </c>
      <c r="F243" t="str">
        <f t="shared" ca="1" si="22"/>
        <v>H</v>
      </c>
      <c r="G243" t="str">
        <f t="shared" ca="1" si="22"/>
        <v>M</v>
      </c>
      <c r="H243" t="str">
        <f t="shared" ca="1" si="22"/>
        <v>Z</v>
      </c>
      <c r="I243" t="str">
        <f t="shared" ca="1" si="22"/>
        <v>S</v>
      </c>
      <c r="J243" t="str">
        <f t="shared" ca="1" si="22"/>
        <v>M</v>
      </c>
      <c r="K243" t="str">
        <f t="shared" ca="1" si="23"/>
        <v>Z</v>
      </c>
      <c r="L243" t="str">
        <f t="shared" ca="1" si="23"/>
        <v>(</v>
      </c>
      <c r="M243" t="str">
        <f t="shared" ca="1" si="23"/>
        <v>L</v>
      </c>
      <c r="N243" t="str">
        <f t="shared" ca="1" si="23"/>
        <v>T</v>
      </c>
      <c r="O243" t="str">
        <f t="shared" ca="1" si="23"/>
        <v>F</v>
      </c>
      <c r="P243" t="str">
        <f t="shared" ca="1" si="23"/>
        <v>?</v>
      </c>
    </row>
    <row r="244" spans="1:16">
      <c r="D244" t="str">
        <f t="shared" ca="1" si="22"/>
        <v>E</v>
      </c>
      <c r="E244" t="str">
        <f t="shared" ca="1" si="22"/>
        <v>R</v>
      </c>
      <c r="F244" t="str">
        <f t="shared" ca="1" si="22"/>
        <v>Y</v>
      </c>
      <c r="G244" t="str">
        <f t="shared" ca="1" si="22"/>
        <v>Y</v>
      </c>
      <c r="H244" t="str">
        <f t="shared" ca="1" si="22"/>
        <v>P</v>
      </c>
      <c r="I244" t="str">
        <f t="shared" ca="1" si="22"/>
        <v>R</v>
      </c>
      <c r="J244" t="str">
        <f t="shared" ca="1" si="22"/>
        <v>T</v>
      </c>
      <c r="K244" t="str">
        <f t="shared" ca="1" si="23"/>
        <v>X</v>
      </c>
      <c r="L244" t="str">
        <f t="shared" ca="1" si="23"/>
        <v>A</v>
      </c>
      <c r="M244" t="str">
        <f t="shared" ca="1" si="23"/>
        <v>6</v>
      </c>
      <c r="N244" t="str">
        <f t="shared" ca="1" si="23"/>
        <v>8</v>
      </c>
      <c r="O244" t="str">
        <f t="shared" ca="1" si="23"/>
        <v>Q</v>
      </c>
      <c r="P244" t="str">
        <f t="shared" ca="1" si="23"/>
        <v>6</v>
      </c>
    </row>
    <row r="245" spans="1:16">
      <c r="D245" t="str">
        <f t="shared" ca="1" si="22"/>
        <v>H</v>
      </c>
      <c r="E245" t="str">
        <f t="shared" ca="1" si="22"/>
        <v>E</v>
      </c>
      <c r="F245" t="str">
        <f t="shared" ca="1" si="22"/>
        <v>E</v>
      </c>
      <c r="G245" t="str">
        <f t="shared" ca="1" si="22"/>
        <v>G</v>
      </c>
      <c r="H245" t="str">
        <f t="shared" ca="1" si="22"/>
        <v>U</v>
      </c>
      <c r="I245" t="str">
        <f t="shared" ca="1" si="22"/>
        <v>E</v>
      </c>
      <c r="J245" t="str">
        <f t="shared" ca="1" si="22"/>
        <v>M</v>
      </c>
      <c r="K245" t="str">
        <f t="shared" ca="1" si="23"/>
        <v>@</v>
      </c>
      <c r="L245" t="str">
        <f t="shared" ca="1" si="23"/>
        <v>M</v>
      </c>
      <c r="M245" t="str">
        <f t="shared" ca="1" si="23"/>
        <v>Y</v>
      </c>
      <c r="N245" t="str">
        <f t="shared" ca="1" si="23"/>
        <v>Y</v>
      </c>
      <c r="O245" t="str">
        <f t="shared" ca="1" si="23"/>
        <v>L</v>
      </c>
      <c r="P245" t="str">
        <f t="shared" ca="1" si="23"/>
        <v>6</v>
      </c>
    </row>
    <row r="246" spans="1:16">
      <c r="D246" t="str">
        <f t="shared" ca="1" si="22"/>
        <v>N</v>
      </c>
      <c r="E246" t="str">
        <f t="shared" ca="1" si="22"/>
        <v>N</v>
      </c>
      <c r="F246" t="str">
        <f t="shared" ca="1" si="22"/>
        <v>Y</v>
      </c>
      <c r="G246" t="str">
        <f t="shared" ca="1" si="22"/>
        <v>T</v>
      </c>
      <c r="H246" t="str">
        <f t="shared" ca="1" si="22"/>
        <v>G</v>
      </c>
      <c r="I246" t="str">
        <f t="shared" ca="1" si="22"/>
        <v>V</v>
      </c>
      <c r="J246" t="str">
        <f t="shared" ca="1" si="22"/>
        <v>I</v>
      </c>
      <c r="K246" t="str">
        <f t="shared" ca="1" si="23"/>
        <v>+</v>
      </c>
      <c r="L246" t="str">
        <f t="shared" ca="1" si="23"/>
        <v>.</v>
      </c>
      <c r="M246" t="str">
        <f t="shared" ca="1" si="23"/>
        <v>X</v>
      </c>
      <c r="N246" t="str">
        <f t="shared" ca="1" si="23"/>
        <v>*</v>
      </c>
      <c r="O246" t="str">
        <f t="shared" ca="1" si="23"/>
        <v>0</v>
      </c>
      <c r="P246" t="str">
        <f t="shared" ca="1" si="23"/>
        <v>)</v>
      </c>
    </row>
    <row r="247" spans="1:16">
      <c r="D247" t="str">
        <f t="shared" ca="1" si="22"/>
        <v>J</v>
      </c>
      <c r="E247" t="str">
        <f t="shared" ca="1" si="22"/>
        <v>W</v>
      </c>
      <c r="F247" t="str">
        <f t="shared" ca="1" si="22"/>
        <v>P</v>
      </c>
      <c r="G247" t="str">
        <f t="shared" ca="1" si="22"/>
        <v>I</v>
      </c>
      <c r="H247" t="str">
        <f t="shared" ca="1" si="22"/>
        <v>J</v>
      </c>
      <c r="I247" t="str">
        <f t="shared" ca="1" si="22"/>
        <v>W</v>
      </c>
      <c r="J247" t="str">
        <f t="shared" ca="1" si="22"/>
        <v>V</v>
      </c>
      <c r="K247" t="str">
        <f t="shared" ca="1" si="23"/>
        <v>Q</v>
      </c>
      <c r="L247" t="str">
        <f t="shared" ca="1" si="23"/>
        <v>3</v>
      </c>
      <c r="M247" t="str">
        <f t="shared" ca="1" si="23"/>
        <v>O</v>
      </c>
      <c r="N247" t="str">
        <f t="shared" ca="1" si="23"/>
        <v>N</v>
      </c>
      <c r="O247" t="str">
        <f t="shared" ca="1" si="23"/>
        <v>+</v>
      </c>
      <c r="P247" t="str">
        <f t="shared" ca="1" si="23"/>
        <v>3</v>
      </c>
    </row>
    <row r="248" spans="1:16">
      <c r="D248" t="str">
        <f t="shared" ca="1" si="22"/>
        <v>T</v>
      </c>
      <c r="E248" t="str">
        <f t="shared" ca="1" si="22"/>
        <v>P</v>
      </c>
      <c r="F248" t="str">
        <f t="shared" ca="1" si="22"/>
        <v>S</v>
      </c>
      <c r="G248" t="str">
        <f t="shared" ca="1" si="22"/>
        <v>I</v>
      </c>
      <c r="H248" t="str">
        <f t="shared" ca="1" si="22"/>
        <v>L</v>
      </c>
      <c r="I248" t="str">
        <f t="shared" ca="1" si="22"/>
        <v>V</v>
      </c>
      <c r="J248" t="str">
        <f t="shared" ca="1" si="22"/>
        <v>X</v>
      </c>
    </row>
    <row r="249" spans="1:16">
      <c r="D249" t="str">
        <f t="shared" ca="1" si="22"/>
        <v>V</v>
      </c>
      <c r="E249" t="str">
        <f t="shared" ca="1" si="22"/>
        <v>R</v>
      </c>
      <c r="F249" t="str">
        <f t="shared" ca="1" si="22"/>
        <v>Y</v>
      </c>
      <c r="G249" t="str">
        <f t="shared" ca="1" si="22"/>
        <v>J</v>
      </c>
      <c r="H249" t="str">
        <f t="shared" ca="1" si="22"/>
        <v>J</v>
      </c>
      <c r="I249" t="str">
        <f t="shared" ca="1" si="22"/>
        <v>P</v>
      </c>
      <c r="J249" t="str">
        <f t="shared" ca="1" si="22"/>
        <v>S</v>
      </c>
    </row>
    <row r="251" spans="1:16">
      <c r="A251" t="s">
        <v>365</v>
      </c>
      <c r="C251" s="51" t="s">
        <v>379</v>
      </c>
      <c r="D251" s="51"/>
      <c r="E251" s="51"/>
      <c r="F251" s="51"/>
    </row>
    <row r="252" spans="1:16">
      <c r="C252" t="s">
        <v>366</v>
      </c>
      <c r="E252" t="s">
        <v>367</v>
      </c>
      <c r="F252" t="s">
        <v>368</v>
      </c>
      <c r="G252" t="s">
        <v>369</v>
      </c>
      <c r="H252" t="s">
        <v>383</v>
      </c>
    </row>
    <row r="253" spans="1:16">
      <c r="C253" t="s">
        <v>367</v>
      </c>
      <c r="E253" t="s">
        <v>370</v>
      </c>
      <c r="F253" t="s">
        <v>373</v>
      </c>
      <c r="G253" t="s">
        <v>376</v>
      </c>
    </row>
    <row r="254" spans="1:16">
      <c r="C254" t="s">
        <v>368</v>
      </c>
      <c r="E254" t="s">
        <v>371</v>
      </c>
      <c r="F254" t="s">
        <v>374</v>
      </c>
      <c r="G254" t="s">
        <v>377</v>
      </c>
    </row>
    <row r="255" spans="1:16">
      <c r="C255" t="s">
        <v>369</v>
      </c>
      <c r="E255" t="s">
        <v>372</v>
      </c>
      <c r="F255" t="s">
        <v>375</v>
      </c>
      <c r="G255" t="s">
        <v>378</v>
      </c>
    </row>
    <row r="256" spans="1:16">
      <c r="E256" t="s">
        <v>380</v>
      </c>
      <c r="F256" t="s">
        <v>380</v>
      </c>
      <c r="G256" t="s">
        <v>381</v>
      </c>
      <c r="H256" s="41" t="s">
        <v>382</v>
      </c>
      <c r="I256" s="41"/>
      <c r="J256" s="41"/>
      <c r="K256" s="41"/>
      <c r="L256" s="41"/>
      <c r="M256" s="41"/>
    </row>
    <row r="258" spans="1:4">
      <c r="A258" t="s">
        <v>384</v>
      </c>
      <c r="C258" t="s">
        <v>385</v>
      </c>
    </row>
    <row r="259" spans="1:4">
      <c r="C259" t="s">
        <v>386</v>
      </c>
    </row>
    <row r="262" spans="1:4">
      <c r="A262" s="9" t="s">
        <v>387</v>
      </c>
      <c r="B262" s="9"/>
    </row>
    <row r="264" spans="1:4">
      <c r="A264" s="50" t="s">
        <v>389</v>
      </c>
      <c r="B264" s="50" t="s">
        <v>390</v>
      </c>
      <c r="C264" s="50"/>
    </row>
    <row r="266" spans="1:4">
      <c r="A266" s="9" t="s">
        <v>391</v>
      </c>
      <c r="B266" s="9"/>
      <c r="C266" t="s">
        <v>393</v>
      </c>
      <c r="D266" t="s">
        <v>392</v>
      </c>
    </row>
    <row r="267" spans="1:4">
      <c r="C267" t="s">
        <v>394</v>
      </c>
      <c r="D267" t="s">
        <v>395</v>
      </c>
    </row>
    <row r="268" spans="1:4">
      <c r="A268" s="52"/>
    </row>
    <row r="269" spans="1:4">
      <c r="D269" s="53">
        <f>TIME(23,30,25)</f>
        <v>0.97945601851851849</v>
      </c>
    </row>
    <row r="270" spans="1:4">
      <c r="D270" s="53">
        <f>TIME(10,51,25)</f>
        <v>0.4523726851851852</v>
      </c>
    </row>
    <row r="271" spans="1:4">
      <c r="D271" s="52">
        <f>TIMEVALUE("17:32")</f>
        <v>0.73055555555555562</v>
      </c>
    </row>
    <row r="273" spans="1:5">
      <c r="D273" s="52">
        <f ca="1">NOW()</f>
        <v>45309.747134953701</v>
      </c>
      <c r="E273" s="8">
        <f ca="1">TODAY()</f>
        <v>45309</v>
      </c>
    </row>
    <row r="274" spans="1:5">
      <c r="D274" s="52">
        <f t="shared" ref="D274:D276" ca="1" si="24">NOW()</f>
        <v>45309.747134953701</v>
      </c>
      <c r="E274" s="8">
        <f t="shared" ref="E274:E276" ca="1" si="25">TODAY()</f>
        <v>45309</v>
      </c>
    </row>
    <row r="275" spans="1:5">
      <c r="D275" s="52">
        <f t="shared" ca="1" si="24"/>
        <v>45309.747134953701</v>
      </c>
      <c r="E275" s="8">
        <f t="shared" ca="1" si="25"/>
        <v>45309</v>
      </c>
    </row>
    <row r="276" spans="1:5">
      <c r="D276" s="52">
        <f t="shared" ca="1" si="24"/>
        <v>45309.747134953701</v>
      </c>
      <c r="E276" s="8">
        <f t="shared" ca="1" si="25"/>
        <v>45309</v>
      </c>
    </row>
    <row r="277" spans="1:5">
      <c r="D277" s="52"/>
      <c r="E277" s="8"/>
    </row>
    <row r="278" spans="1:5">
      <c r="A278" t="s">
        <v>396</v>
      </c>
      <c r="C278" t="s">
        <v>397</v>
      </c>
      <c r="D278" s="52"/>
      <c r="E278" s="8"/>
    </row>
    <row r="279" spans="1:5">
      <c r="D279" s="52"/>
      <c r="E279" s="8"/>
    </row>
    <row r="280" spans="1:5">
      <c r="D280" s="52"/>
      <c r="E280" s="8"/>
    </row>
    <row r="281" spans="1:5">
      <c r="D281" s="52"/>
      <c r="E281" s="8"/>
    </row>
    <row r="282" spans="1:5">
      <c r="D282" s="52"/>
      <c r="E282" s="8"/>
    </row>
    <row r="283" spans="1:5">
      <c r="D283" s="52"/>
      <c r="E283" s="8"/>
    </row>
    <row r="284" spans="1:5">
      <c r="D284" s="52"/>
      <c r="E284" s="8"/>
    </row>
    <row r="285" spans="1:5">
      <c r="D285" s="52"/>
      <c r="E285" s="8"/>
    </row>
    <row r="286" spans="1:5">
      <c r="D286" s="52"/>
      <c r="E286" s="8"/>
    </row>
    <row r="287" spans="1:5">
      <c r="D287" s="52"/>
      <c r="E287" s="8"/>
    </row>
    <row r="288" spans="1:5" ht="28.8">
      <c r="A288" s="109" t="s">
        <v>398</v>
      </c>
      <c r="B288" s="109"/>
      <c r="C288" s="109"/>
      <c r="D288" s="52"/>
      <c r="E288" s="8"/>
    </row>
    <row r="289" spans="4:5">
      <c r="D289" s="52"/>
      <c r="E289" s="8"/>
    </row>
    <row r="290" spans="4:5">
      <c r="D290" s="52"/>
      <c r="E290" s="8"/>
    </row>
    <row r="291" spans="4:5">
      <c r="D291" s="52"/>
    </row>
    <row r="292" spans="4:5">
      <c r="D292" s="52"/>
    </row>
  </sheetData>
  <scenarios current="0" show="0" sqref="F207">
    <scenario name="10%" locked="1" count="1" user="Author" comment="Created by Author on 29-12-2023">
      <inputCells r="F222" val="0.15" numFmtId="9"/>
    </scenario>
    <scenario name="15%" locked="1" count="1" user="Author" comment="Created by Author on 29-12-2023">
      <inputCells r="F222" val="0.15" numFmtId="9"/>
    </scenario>
    <scenario name="20%" locked="1" count="1" user="Author" comment="Created by Author on 29-12-2023">
      <inputCells r="F222" val="0.15" numFmtId="9"/>
    </scenario>
    <scenario name="8%" locked="1" count="1" user="Author" comment="Created by Author on 29-12-2023">
      <inputCells r="F222" val="0.15" numFmtId="9"/>
    </scenario>
  </scenarios>
  <mergeCells count="4">
    <mergeCell ref="A1:I3"/>
    <mergeCell ref="I91:L91"/>
    <mergeCell ref="B133:H133"/>
    <mergeCell ref="A288:C288"/>
  </mergeCells>
  <conditionalFormatting sqref="D78 H72">
    <cfRule type="cellIs" dxfId="47" priority="12" operator="equal">
      <formula>TODAY()</formula>
    </cfRule>
  </conditionalFormatting>
  <conditionalFormatting sqref="J94:J103 J106:J109">
    <cfRule type="uniqueValues" dxfId="46" priority="6"/>
    <cfRule type="uniqueValues" dxfId="45" priority="7"/>
    <cfRule type="uniqueValues" priority="8"/>
    <cfRule type="duplicateValues" priority="9"/>
    <cfRule type="duplicateValues" dxfId="44" priority="10"/>
  </conditionalFormatting>
  <conditionalFormatting sqref="O94:O101">
    <cfRule type="uniqueValues" dxfId="43" priority="1"/>
    <cfRule type="uniqueValues" dxfId="42" priority="2"/>
    <cfRule type="uniqueValues" priority="3"/>
    <cfRule type="duplicateValues" priority="4"/>
    <cfRule type="duplicateValues" dxfId="41" priority="5"/>
  </conditionalFormatting>
  <dataValidations count="9">
    <dataValidation type="list" allowBlank="1" showInputMessage="1" showErrorMessage="1" sqref="R180">
      <formula1>"d169=""sell"""</formula1>
    </dataValidation>
    <dataValidation type="list" allowBlank="1" showInputMessage="1" showErrorMessage="1" sqref="D168">
      <formula1>"purchase, sell"</formula1>
    </dataValidation>
    <dataValidation type="custom" allowBlank="1" showInputMessage="1" showErrorMessage="1" sqref="D169">
      <formula1>D169="purcchase"</formula1>
    </dataValidation>
    <dataValidation type="list" allowBlank="1" showInputMessage="1" showErrorMessage="1" sqref="G169:G189">
      <formula1>"purchase,sell"</formula1>
    </dataValidation>
    <dataValidation type="date" allowBlank="1" showInputMessage="1" showErrorMessage="1" sqref="H169:H186">
      <formula1>45002</formula1>
      <formula2>45368</formula2>
    </dataValidation>
    <dataValidation type="decimal" allowBlank="1" showInputMessage="1" showErrorMessage="1" sqref="I169">
      <formula1>1</formula1>
      <formula2>5</formula2>
    </dataValidation>
    <dataValidation type="whole" allowBlank="1" showInputMessage="1" showErrorMessage="1" sqref="I170:I188">
      <formula1>1</formula1>
      <formula2>5</formula2>
    </dataValidation>
    <dataValidation type="time" allowBlank="1" showInputMessage="1" showErrorMessage="1" sqref="J169:J188">
      <formula1>0.333333333333333</formula1>
      <formula2>0.5</formula2>
    </dataValidation>
    <dataValidation type="textLength" allowBlank="1" showInputMessage="1" showErrorMessage="1" sqref="K170:K186">
      <formula1>5</formula1>
      <formula2>10</formula2>
    </dataValidation>
  </dataValidations>
  <hyperlinks>
    <hyperlink ref="B158" r:id="rId1"/>
    <hyperlink ref="A164" r:id="rId2"/>
  </hyperlinks>
  <pageMargins left="0.7" right="0.7" top="0.75" bottom="0.75" header="0.3" footer="0.3"/>
  <pageSetup orientation="portrait" r:id="rId3"/>
  <drawing r:id="rId4"/>
  <legacyDrawing r:id="rId5"/>
  <tableParts count="3">
    <tablePart r:id="rId6"/>
    <tablePart r:id="rId7"/>
    <tablePart r:id="rId8"/>
  </tableParts>
</worksheet>
</file>

<file path=xl/worksheets/sheet3.xml><?xml version="1.0" encoding="utf-8"?>
<worksheet xmlns="http://schemas.openxmlformats.org/spreadsheetml/2006/main" xmlns:r="http://schemas.openxmlformats.org/officeDocument/2006/relationships">
  <sheetPr codeName="Sheet4">
    <tabColor rgb="FF7030A0"/>
  </sheetPr>
  <dimension ref="A1:P253"/>
  <sheetViews>
    <sheetView topLeftCell="A248" workbookViewId="0">
      <selection activeCell="J255" sqref="J255"/>
    </sheetView>
  </sheetViews>
  <sheetFormatPr defaultRowHeight="14.4"/>
  <cols>
    <col min="1" max="1" width="10.33203125" bestFit="1" customWidth="1"/>
    <col min="2" max="2" width="19.44140625" customWidth="1"/>
    <col min="5" max="5" width="20.88671875" bestFit="1" customWidth="1"/>
    <col min="6" max="6" width="12.5546875" bestFit="1" customWidth="1"/>
    <col min="7" max="7" width="11.44140625" customWidth="1"/>
    <col min="8" max="8" width="11.44140625" bestFit="1" customWidth="1"/>
    <col min="9" max="9" width="12.5546875" customWidth="1"/>
    <col min="10" max="10" width="15.5546875" customWidth="1"/>
    <col min="11" max="11" width="10.77734375" bestFit="1" customWidth="1"/>
    <col min="13" max="13" width="12.5546875" bestFit="1" customWidth="1"/>
    <col min="14" max="16" width="11.44140625" bestFit="1" customWidth="1"/>
    <col min="17" max="17" width="11.33203125" bestFit="1" customWidth="1"/>
  </cols>
  <sheetData>
    <row r="1" spans="1:16" ht="46.2">
      <c r="A1" s="111" t="s">
        <v>399</v>
      </c>
      <c r="B1" s="111"/>
      <c r="C1" s="111"/>
      <c r="D1" s="111"/>
      <c r="E1" s="111"/>
    </row>
    <row r="3" spans="1:16" ht="15.6">
      <c r="A3" s="112" t="s">
        <v>400</v>
      </c>
      <c r="B3" s="113"/>
      <c r="C3" s="113"/>
      <c r="D3" s="113"/>
      <c r="F3" s="114" t="s">
        <v>401</v>
      </c>
      <c r="G3" s="114"/>
      <c r="H3" s="114"/>
      <c r="I3" s="114"/>
      <c r="J3" s="114"/>
      <c r="K3" s="114"/>
      <c r="L3" s="114"/>
      <c r="M3" s="114"/>
      <c r="N3" s="114"/>
      <c r="O3" s="114"/>
      <c r="P3" s="114"/>
    </row>
    <row r="4" spans="1:16">
      <c r="A4" s="8" t="s">
        <v>336</v>
      </c>
      <c r="B4" s="54">
        <f ca="1">NOW()</f>
        <v>45309.747134953701</v>
      </c>
      <c r="F4" s="114"/>
      <c r="G4" s="114"/>
      <c r="H4" s="114"/>
      <c r="I4" s="114"/>
      <c r="J4" s="114"/>
      <c r="K4" s="114"/>
      <c r="L4" s="114"/>
      <c r="M4" s="114"/>
      <c r="N4" s="114"/>
      <c r="O4" s="114"/>
      <c r="P4" s="114"/>
    </row>
    <row r="5" spans="1:16">
      <c r="F5" s="114"/>
      <c r="G5" s="114"/>
      <c r="H5" s="114"/>
      <c r="I5" s="114"/>
      <c r="J5" s="114"/>
      <c r="K5" s="114"/>
      <c r="L5" s="114"/>
      <c r="M5" s="114"/>
      <c r="N5" s="114"/>
      <c r="O5" s="114"/>
      <c r="P5" s="114"/>
    </row>
    <row r="6" spans="1:16" ht="1.8" customHeight="1">
      <c r="F6" s="114"/>
      <c r="G6" s="114"/>
      <c r="H6" s="114"/>
      <c r="I6" s="114"/>
      <c r="J6" s="114"/>
      <c r="K6" s="114"/>
      <c r="L6" s="114"/>
      <c r="M6" s="114"/>
      <c r="N6" s="114"/>
      <c r="O6" s="114"/>
      <c r="P6" s="114"/>
    </row>
    <row r="7" spans="1:16" hidden="1">
      <c r="F7" s="114"/>
      <c r="G7" s="114"/>
      <c r="H7" s="114"/>
      <c r="I7" s="114"/>
      <c r="J7" s="114"/>
      <c r="K7" s="114"/>
      <c r="L7" s="114"/>
      <c r="M7" s="114"/>
      <c r="N7" s="114"/>
      <c r="O7" s="114"/>
      <c r="P7" s="114"/>
    </row>
    <row r="8" spans="1:16">
      <c r="A8" s="41" t="s">
        <v>881</v>
      </c>
      <c r="B8" s="41"/>
      <c r="C8" s="41"/>
      <c r="D8" s="41"/>
      <c r="E8" t="s">
        <v>885</v>
      </c>
      <c r="G8" s="25" t="s">
        <v>883</v>
      </c>
      <c r="H8" s="25"/>
      <c r="I8" s="25"/>
    </row>
    <row r="9" spans="1:16">
      <c r="A9" t="s">
        <v>884</v>
      </c>
      <c r="E9" t="s">
        <v>886</v>
      </c>
    </row>
    <row r="11" spans="1:16">
      <c r="A11" t="s">
        <v>888</v>
      </c>
    </row>
    <row r="13" spans="1:16">
      <c r="A13" t="s">
        <v>890</v>
      </c>
    </row>
    <row r="15" spans="1:16">
      <c r="A15" t="s">
        <v>891</v>
      </c>
      <c r="B15" t="s">
        <v>892</v>
      </c>
    </row>
    <row r="20" spans="1:10" ht="30.6">
      <c r="A20" s="9" t="s">
        <v>895</v>
      </c>
      <c r="B20" s="57" t="s">
        <v>896</v>
      </c>
    </row>
    <row r="23" spans="1:10">
      <c r="A23" t="s">
        <v>897</v>
      </c>
      <c r="C23" t="s">
        <v>898</v>
      </c>
      <c r="F23" t="s">
        <v>899</v>
      </c>
    </row>
    <row r="25" spans="1:10">
      <c r="A25" t="s">
        <v>904</v>
      </c>
      <c r="B25" t="s">
        <v>905</v>
      </c>
      <c r="F25" t="s">
        <v>906</v>
      </c>
    </row>
    <row r="28" spans="1:10">
      <c r="A28" t="s">
        <v>907</v>
      </c>
      <c r="B28" t="s">
        <v>908</v>
      </c>
    </row>
    <row r="32" spans="1:10" ht="30.6">
      <c r="A32" s="9" t="s">
        <v>909</v>
      </c>
      <c r="B32" s="57" t="s">
        <v>910</v>
      </c>
      <c r="E32" s="9" t="s">
        <v>928</v>
      </c>
      <c r="F32" s="25" t="s">
        <v>929</v>
      </c>
      <c r="G32" s="25"/>
      <c r="H32" s="25"/>
      <c r="I32" s="25"/>
      <c r="J32" s="41" t="s">
        <v>930</v>
      </c>
    </row>
    <row r="33" spans="5:15">
      <c r="E33" s="23" t="s">
        <v>911</v>
      </c>
      <c r="F33" s="23" t="s">
        <v>912</v>
      </c>
      <c r="I33" t="s">
        <v>913</v>
      </c>
    </row>
    <row r="34" spans="5:15">
      <c r="E34" s="23" t="s">
        <v>913</v>
      </c>
      <c r="F34" s="23">
        <v>202106</v>
      </c>
      <c r="H34" t="s">
        <v>911</v>
      </c>
      <c r="I34">
        <f>VLOOKUP(I33,E34:F38,2,)</f>
        <v>202106</v>
      </c>
    </row>
    <row r="35" spans="5:15">
      <c r="E35" s="23" t="s">
        <v>914</v>
      </c>
      <c r="F35" s="23">
        <v>202107</v>
      </c>
      <c r="H35" t="s">
        <v>918</v>
      </c>
      <c r="I35" t="str">
        <f>VLOOKUP(VLOOKUP(I33,E34:F38,2,),E42:G47,2)</f>
        <v>Navin</v>
      </c>
      <c r="J35" t="str">
        <f>VLOOKUP(I34,E43:F47,2,)</f>
        <v>Navin</v>
      </c>
    </row>
    <row r="36" spans="5:15">
      <c r="E36" s="23" t="s">
        <v>915</v>
      </c>
      <c r="F36" s="23">
        <v>202108</v>
      </c>
      <c r="H36" t="s">
        <v>924</v>
      </c>
      <c r="I36" t="str">
        <f>VLOOKUP(I35,F43:G47,2,)</f>
        <v>Final</v>
      </c>
    </row>
    <row r="37" spans="5:15">
      <c r="E37" s="23" t="s">
        <v>916</v>
      </c>
      <c r="F37" s="23">
        <v>202109</v>
      </c>
    </row>
    <row r="38" spans="5:15">
      <c r="E38" s="23" t="s">
        <v>917</v>
      </c>
      <c r="F38" s="23">
        <v>202110</v>
      </c>
    </row>
    <row r="39" spans="5:15">
      <c r="H39" s="59" t="s">
        <v>931</v>
      </c>
      <c r="I39" s="59"/>
      <c r="J39" s="59"/>
      <c r="K39" s="59"/>
      <c r="L39" s="59"/>
    </row>
    <row r="40" spans="5:15">
      <c r="H40" s="60" t="s">
        <v>932</v>
      </c>
      <c r="I40" s="60"/>
      <c r="J40" s="60"/>
    </row>
    <row r="41" spans="5:15">
      <c r="H41" s="59" t="s">
        <v>933</v>
      </c>
      <c r="I41" s="59"/>
      <c r="J41" s="59"/>
      <c r="K41" s="59"/>
      <c r="L41" s="59"/>
      <c r="M41" s="59"/>
      <c r="N41" s="59"/>
      <c r="O41" s="59"/>
    </row>
    <row r="42" spans="5:15">
      <c r="E42" s="23" t="s">
        <v>912</v>
      </c>
      <c r="F42" s="23" t="s">
        <v>918</v>
      </c>
      <c r="G42" s="23" t="s">
        <v>924</v>
      </c>
    </row>
    <row r="43" spans="5:15">
      <c r="E43" s="58">
        <v>202106</v>
      </c>
      <c r="F43" s="23" t="s">
        <v>919</v>
      </c>
      <c r="G43" s="23" t="s">
        <v>925</v>
      </c>
    </row>
    <row r="44" spans="5:15">
      <c r="E44" s="58">
        <v>202107</v>
      </c>
      <c r="F44" s="23" t="s">
        <v>921</v>
      </c>
      <c r="G44" s="23" t="s">
        <v>926</v>
      </c>
    </row>
    <row r="45" spans="5:15">
      <c r="E45" s="58">
        <v>202108</v>
      </c>
      <c r="F45" s="23" t="s">
        <v>920</v>
      </c>
      <c r="G45" s="23" t="s">
        <v>926</v>
      </c>
    </row>
    <row r="46" spans="5:15">
      <c r="E46" s="58">
        <v>202109</v>
      </c>
      <c r="F46" s="23" t="s">
        <v>922</v>
      </c>
      <c r="G46" s="23" t="s">
        <v>927</v>
      </c>
    </row>
    <row r="47" spans="5:15">
      <c r="E47" s="58">
        <v>202110</v>
      </c>
      <c r="F47" s="23" t="s">
        <v>923</v>
      </c>
      <c r="G47" s="23" t="s">
        <v>927</v>
      </c>
    </row>
    <row r="49" spans="1:9">
      <c r="A49" s="9"/>
      <c r="B49" s="9"/>
      <c r="C49" s="9"/>
    </row>
    <row r="50" spans="1:9">
      <c r="A50" s="61" t="s">
        <v>934</v>
      </c>
      <c r="B50" s="9"/>
      <c r="C50" s="9"/>
    </row>
    <row r="51" spans="1:9">
      <c r="D51" s="62" t="s">
        <v>941</v>
      </c>
      <c r="E51" s="62" t="s">
        <v>315</v>
      </c>
      <c r="F51" s="62" t="s">
        <v>942</v>
      </c>
      <c r="G51" s="62" t="s">
        <v>943</v>
      </c>
      <c r="H51" s="62" t="s">
        <v>944</v>
      </c>
    </row>
    <row r="52" spans="1:9">
      <c r="A52" s="36" t="s">
        <v>935</v>
      </c>
      <c r="B52" s="43"/>
      <c r="D52" t="s">
        <v>936</v>
      </c>
      <c r="E52">
        <v>540000</v>
      </c>
      <c r="F52">
        <v>5</v>
      </c>
      <c r="G52">
        <v>10000</v>
      </c>
      <c r="H52">
        <v>106000</v>
      </c>
      <c r="I52" s="43">
        <f>SLN(E52,G52,F52)</f>
        <v>106000</v>
      </c>
    </row>
    <row r="53" spans="1:9">
      <c r="B53" s="43"/>
      <c r="D53" t="s">
        <v>937</v>
      </c>
      <c r="E53">
        <v>700000</v>
      </c>
      <c r="F53">
        <v>10</v>
      </c>
      <c r="G53">
        <v>25000</v>
      </c>
      <c r="H53">
        <v>67500</v>
      </c>
      <c r="I53" s="43">
        <f t="shared" ref="I53:I56" si="0">SLN(E53,G53,F53)</f>
        <v>67500</v>
      </c>
    </row>
    <row r="54" spans="1:9">
      <c r="D54" t="s">
        <v>938</v>
      </c>
      <c r="E54">
        <v>300000</v>
      </c>
      <c r="F54">
        <v>3</v>
      </c>
      <c r="G54">
        <v>3000</v>
      </c>
      <c r="H54">
        <v>99000</v>
      </c>
      <c r="I54" s="43">
        <f t="shared" si="0"/>
        <v>99000</v>
      </c>
    </row>
    <row r="55" spans="1:9">
      <c r="D55" t="s">
        <v>939</v>
      </c>
      <c r="E55">
        <v>250000</v>
      </c>
      <c r="F55">
        <v>4</v>
      </c>
      <c r="G55">
        <v>2000</v>
      </c>
      <c r="H55">
        <v>62000</v>
      </c>
      <c r="I55" s="43">
        <f t="shared" si="0"/>
        <v>62000</v>
      </c>
    </row>
    <row r="56" spans="1:9">
      <c r="D56" t="s">
        <v>940</v>
      </c>
      <c r="E56">
        <v>900000</v>
      </c>
      <c r="F56">
        <v>8</v>
      </c>
      <c r="G56">
        <v>5000</v>
      </c>
      <c r="H56">
        <v>111875</v>
      </c>
      <c r="I56" s="43">
        <f t="shared" si="0"/>
        <v>111875</v>
      </c>
    </row>
    <row r="58" spans="1:9">
      <c r="D58" s="27" t="s">
        <v>945</v>
      </c>
      <c r="E58" s="27"/>
      <c r="F58" s="27"/>
      <c r="G58" s="27"/>
    </row>
    <row r="61" spans="1:9">
      <c r="A61" s="27" t="s">
        <v>947</v>
      </c>
      <c r="D61" s="63" t="s">
        <v>946</v>
      </c>
    </row>
    <row r="63" spans="1:9">
      <c r="D63">
        <v>1</v>
      </c>
      <c r="E63" s="43">
        <f>SYD(E52,G52,F52,D63)</f>
        <v>176666.66666666666</v>
      </c>
    </row>
    <row r="64" spans="1:9">
      <c r="D64">
        <v>2</v>
      </c>
      <c r="E64" s="43">
        <f>SYD(E53,G53,F53,D64)</f>
        <v>110454.54545454546</v>
      </c>
    </row>
    <row r="65" spans="1:9">
      <c r="D65">
        <v>3</v>
      </c>
      <c r="E65" s="43">
        <f>SYD(E54,G54,F54,D65)</f>
        <v>49500</v>
      </c>
    </row>
    <row r="66" spans="1:9">
      <c r="D66">
        <v>4</v>
      </c>
      <c r="E66" s="43">
        <f>SYD(E55,G55,F55,D66)</f>
        <v>24800</v>
      </c>
    </row>
    <row r="67" spans="1:9">
      <c r="D67">
        <v>5</v>
      </c>
      <c r="E67" s="43">
        <f>SYD(E56,G56,F56,D67)</f>
        <v>99444.444444444438</v>
      </c>
    </row>
    <row r="68" spans="1:9">
      <c r="D68">
        <v>6</v>
      </c>
      <c r="E68" s="43"/>
    </row>
    <row r="69" spans="1:9">
      <c r="D69">
        <v>7</v>
      </c>
      <c r="E69" s="43"/>
    </row>
    <row r="70" spans="1:9">
      <c r="A70" s="63" t="s">
        <v>948</v>
      </c>
    </row>
    <row r="71" spans="1:9">
      <c r="A71" s="63" t="s">
        <v>949</v>
      </c>
    </row>
    <row r="73" spans="1:9">
      <c r="A73" t="s">
        <v>950</v>
      </c>
      <c r="B73" s="43" t="s">
        <v>951</v>
      </c>
    </row>
    <row r="78" spans="1:9" ht="15.6">
      <c r="A78" s="9" t="s">
        <v>952</v>
      </c>
      <c r="B78" s="57" t="s">
        <v>953</v>
      </c>
      <c r="D78" s="29" t="s">
        <v>984</v>
      </c>
      <c r="E78" s="29"/>
    </row>
    <row r="80" spans="1:9">
      <c r="D80" s="29" t="s">
        <v>985</v>
      </c>
      <c r="E80" s="29"/>
      <c r="F80" s="29"/>
      <c r="G80" s="29"/>
      <c r="H80" s="29"/>
      <c r="I80" s="29"/>
    </row>
    <row r="82" spans="1:11">
      <c r="D82" s="9" t="s">
        <v>986</v>
      </c>
      <c r="E82" s="9"/>
      <c r="F82" s="9"/>
      <c r="G82" s="9"/>
    </row>
    <row r="84" spans="1:11">
      <c r="D84" t="s">
        <v>175</v>
      </c>
    </row>
    <row r="86" spans="1:11" ht="30.6">
      <c r="A86" s="9" t="s">
        <v>987</v>
      </c>
      <c r="B86" s="57" t="s">
        <v>988</v>
      </c>
    </row>
    <row r="88" spans="1:11">
      <c r="E88" t="s">
        <v>336</v>
      </c>
      <c r="F88" t="s">
        <v>989</v>
      </c>
      <c r="G88" t="s">
        <v>991</v>
      </c>
      <c r="I88" s="55" t="s">
        <v>993</v>
      </c>
      <c r="J88" s="55" t="s">
        <v>992</v>
      </c>
    </row>
    <row r="89" spans="1:11">
      <c r="E89" s="76">
        <v>45293</v>
      </c>
      <c r="F89" t="s">
        <v>990</v>
      </c>
      <c r="G89">
        <v>12</v>
      </c>
      <c r="I89" s="55" t="s">
        <v>893</v>
      </c>
      <c r="J89" t="s">
        <v>990</v>
      </c>
      <c r="K89" t="s">
        <v>894</v>
      </c>
    </row>
    <row r="90" spans="1:11">
      <c r="E90" s="76">
        <v>45294</v>
      </c>
      <c r="F90" t="s">
        <v>990</v>
      </c>
      <c r="G90">
        <v>20</v>
      </c>
      <c r="I90" s="77">
        <v>45293</v>
      </c>
      <c r="J90" s="93">
        <v>12</v>
      </c>
      <c r="K90" s="93">
        <v>12</v>
      </c>
    </row>
    <row r="91" spans="1:11">
      <c r="E91" s="76">
        <v>45295</v>
      </c>
      <c r="F91" t="s">
        <v>990</v>
      </c>
      <c r="G91">
        <v>30</v>
      </c>
      <c r="I91" s="77">
        <v>45294</v>
      </c>
      <c r="J91" s="93">
        <v>20</v>
      </c>
      <c r="K91" s="93">
        <v>20</v>
      </c>
    </row>
    <row r="92" spans="1:11">
      <c r="E92" s="76">
        <v>45296</v>
      </c>
      <c r="F92" t="s">
        <v>990</v>
      </c>
      <c r="G92">
        <v>45</v>
      </c>
      <c r="I92" s="77">
        <v>45295</v>
      </c>
      <c r="J92" s="93">
        <v>30</v>
      </c>
      <c r="K92" s="93">
        <v>30</v>
      </c>
    </row>
    <row r="93" spans="1:11">
      <c r="E93" s="76">
        <v>45297</v>
      </c>
      <c r="F93" t="s">
        <v>990</v>
      </c>
      <c r="G93">
        <v>60</v>
      </c>
      <c r="I93" s="77">
        <v>45296</v>
      </c>
      <c r="J93" s="93">
        <v>45</v>
      </c>
      <c r="K93" s="93">
        <v>45</v>
      </c>
    </row>
    <row r="94" spans="1:11">
      <c r="E94" s="76">
        <v>45298</v>
      </c>
      <c r="F94" t="s">
        <v>990</v>
      </c>
      <c r="G94">
        <v>70</v>
      </c>
      <c r="I94" s="77">
        <v>45297</v>
      </c>
      <c r="J94" s="93">
        <v>60</v>
      </c>
      <c r="K94" s="93">
        <v>60</v>
      </c>
    </row>
    <row r="95" spans="1:11">
      <c r="E95" s="76">
        <v>45299</v>
      </c>
      <c r="F95" t="s">
        <v>990</v>
      </c>
      <c r="G95">
        <v>80</v>
      </c>
      <c r="I95" s="77">
        <v>45298</v>
      </c>
      <c r="J95" s="93">
        <v>70</v>
      </c>
      <c r="K95" s="93">
        <v>70</v>
      </c>
    </row>
    <row r="96" spans="1:11">
      <c r="E96" s="76">
        <v>45300</v>
      </c>
      <c r="F96" t="s">
        <v>990</v>
      </c>
      <c r="G96">
        <v>90</v>
      </c>
      <c r="I96" s="77">
        <v>45299</v>
      </c>
      <c r="J96" s="93">
        <v>80</v>
      </c>
      <c r="K96" s="93">
        <v>80</v>
      </c>
    </row>
    <row r="97" spans="1:11">
      <c r="E97" s="76">
        <v>45301</v>
      </c>
      <c r="F97" t="s">
        <v>990</v>
      </c>
      <c r="G97">
        <v>80</v>
      </c>
      <c r="I97" s="77">
        <v>45300</v>
      </c>
      <c r="J97" s="93">
        <v>90</v>
      </c>
      <c r="K97" s="93">
        <v>90</v>
      </c>
    </row>
    <row r="98" spans="1:11">
      <c r="E98" s="76">
        <v>45302</v>
      </c>
      <c r="F98" t="s">
        <v>990</v>
      </c>
      <c r="G98">
        <v>100</v>
      </c>
      <c r="I98" s="77">
        <v>45301</v>
      </c>
      <c r="J98" s="93">
        <v>80</v>
      </c>
      <c r="K98" s="93">
        <v>80</v>
      </c>
    </row>
    <row r="99" spans="1:11">
      <c r="I99" s="77">
        <v>45302</v>
      </c>
      <c r="J99" s="93">
        <v>100</v>
      </c>
      <c r="K99" s="93">
        <v>100</v>
      </c>
    </row>
    <row r="100" spans="1:11">
      <c r="I100" s="77" t="s">
        <v>894</v>
      </c>
      <c r="J100" s="93">
        <v>587</v>
      </c>
      <c r="K100" s="93">
        <v>587</v>
      </c>
    </row>
    <row r="103" spans="1:11">
      <c r="A103" s="9" t="s">
        <v>994</v>
      </c>
      <c r="C103" s="44" t="s">
        <v>995</v>
      </c>
      <c r="D103" s="44"/>
      <c r="E103" s="44"/>
      <c r="F103" s="44"/>
      <c r="G103" s="44"/>
      <c r="H103" s="44"/>
      <c r="I103" s="44"/>
      <c r="J103" s="44"/>
    </row>
    <row r="105" spans="1:11">
      <c r="A105" s="9" t="s">
        <v>996</v>
      </c>
      <c r="B105" t="s">
        <v>997</v>
      </c>
    </row>
    <row r="107" spans="1:11">
      <c r="B107" s="44" t="s">
        <v>998</v>
      </c>
    </row>
    <row r="109" spans="1:11">
      <c r="A109" s="9" t="s">
        <v>999</v>
      </c>
      <c r="B109" s="9"/>
    </row>
    <row r="111" spans="1:11">
      <c r="A111" s="9" t="s">
        <v>1000</v>
      </c>
      <c r="B111" s="9"/>
      <c r="D111" s="27" t="s">
        <v>1001</v>
      </c>
      <c r="E111" s="27"/>
      <c r="F111" s="27"/>
      <c r="G111" s="27"/>
    </row>
    <row r="115" spans="1:7">
      <c r="A115" s="9"/>
      <c r="B115" s="9"/>
      <c r="C115" s="9"/>
      <c r="D115" s="9"/>
      <c r="E115" s="9"/>
    </row>
    <row r="116" spans="1:7" ht="21">
      <c r="A116" s="38" t="s">
        <v>1002</v>
      </c>
      <c r="B116" s="9"/>
      <c r="C116" s="9"/>
      <c r="D116" s="9"/>
      <c r="E116" s="9"/>
    </row>
    <row r="117" spans="1:7">
      <c r="A117" s="9"/>
      <c r="B117" s="9"/>
      <c r="C117" s="9"/>
      <c r="D117" s="9"/>
      <c r="E117" s="9"/>
    </row>
    <row r="120" spans="1:7">
      <c r="A120" s="36" t="s">
        <v>1003</v>
      </c>
      <c r="B120" s="36"/>
      <c r="C120" s="63" t="s">
        <v>1004</v>
      </c>
      <c r="D120" s="63"/>
      <c r="E120" s="63"/>
      <c r="F120" s="63"/>
    </row>
    <row r="121" spans="1:7">
      <c r="A121" s="36" t="s">
        <v>1006</v>
      </c>
      <c r="B121" s="36"/>
      <c r="C121" s="63" t="s">
        <v>1005</v>
      </c>
      <c r="D121" s="63"/>
      <c r="E121" s="63"/>
      <c r="F121" s="63"/>
    </row>
    <row r="122" spans="1:7">
      <c r="A122" s="36" t="s">
        <v>1007</v>
      </c>
      <c r="B122" s="36"/>
      <c r="C122" s="63" t="s">
        <v>1005</v>
      </c>
      <c r="D122" s="63"/>
      <c r="E122" s="63"/>
      <c r="F122" s="63"/>
      <c r="G122" t="s">
        <v>1008</v>
      </c>
    </row>
    <row r="125" spans="1:7">
      <c r="A125" s="36" t="s">
        <v>1009</v>
      </c>
      <c r="C125" s="63" t="s">
        <v>1010</v>
      </c>
    </row>
    <row r="126" spans="1:7">
      <c r="C126" s="63" t="s">
        <v>1011</v>
      </c>
      <c r="E126" t="s">
        <v>175</v>
      </c>
      <c r="F126" t="s">
        <v>1012</v>
      </c>
    </row>
    <row r="128" spans="1:7">
      <c r="C128" t="s">
        <v>1013</v>
      </c>
    </row>
    <row r="129" spans="1:9">
      <c r="C129" t="s">
        <v>1014</v>
      </c>
    </row>
    <row r="130" spans="1:9">
      <c r="C130" t="s">
        <v>1015</v>
      </c>
    </row>
    <row r="131" spans="1:9">
      <c r="C131" t="s">
        <v>1016</v>
      </c>
    </row>
    <row r="135" spans="1:9">
      <c r="A135" s="9" t="s">
        <v>1017</v>
      </c>
      <c r="B135" s="9"/>
      <c r="C135" s="9"/>
      <c r="D135" s="9"/>
    </row>
    <row r="136" spans="1:9">
      <c r="A136" s="9"/>
      <c r="B136" s="9"/>
      <c r="C136" s="9"/>
      <c r="D136" s="9"/>
      <c r="F136" s="79" t="s">
        <v>1020</v>
      </c>
      <c r="G136" s="79"/>
      <c r="H136" s="79"/>
      <c r="I136" s="79"/>
    </row>
    <row r="137" spans="1:9">
      <c r="A137" t="s">
        <v>1018</v>
      </c>
      <c r="E137" t="s">
        <v>299</v>
      </c>
      <c r="F137" t="s">
        <v>64</v>
      </c>
      <c r="G137" t="s">
        <v>300</v>
      </c>
      <c r="H137" t="s">
        <v>301</v>
      </c>
      <c r="I137" t="s">
        <v>302</v>
      </c>
    </row>
    <row r="138" spans="1:9">
      <c r="E138">
        <v>1</v>
      </c>
      <c r="F138" t="s">
        <v>273</v>
      </c>
      <c r="G138">
        <v>50</v>
      </c>
      <c r="H138">
        <f>G138+10</f>
        <v>60</v>
      </c>
      <c r="I138">
        <v>100</v>
      </c>
    </row>
    <row r="139" spans="1:9">
      <c r="A139" t="s">
        <v>1019</v>
      </c>
      <c r="B139" t="s">
        <v>1021</v>
      </c>
      <c r="E139">
        <v>2</v>
      </c>
      <c r="F139" t="s">
        <v>43</v>
      </c>
      <c r="G139">
        <v>100</v>
      </c>
      <c r="H139">
        <f t="shared" ref="H139:H147" si="1">G139+10</f>
        <v>110</v>
      </c>
      <c r="I139">
        <f>I138+100</f>
        <v>200</v>
      </c>
    </row>
    <row r="140" spans="1:9">
      <c r="E140">
        <v>3</v>
      </c>
      <c r="F140" t="s">
        <v>304</v>
      </c>
      <c r="G140">
        <v>60</v>
      </c>
      <c r="H140">
        <f t="shared" si="1"/>
        <v>70</v>
      </c>
      <c r="I140">
        <f t="shared" ref="I140:I147" si="2">I139+100</f>
        <v>300</v>
      </c>
    </row>
    <row r="141" spans="1:9">
      <c r="A141" t="s">
        <v>1022</v>
      </c>
      <c r="E141">
        <v>4</v>
      </c>
      <c r="F141">
        <v>1</v>
      </c>
      <c r="G141">
        <v>70</v>
      </c>
      <c r="H141">
        <f t="shared" si="1"/>
        <v>80</v>
      </c>
      <c r="I141">
        <f t="shared" si="2"/>
        <v>400</v>
      </c>
    </row>
    <row r="142" spans="1:9">
      <c r="A142" t="s">
        <v>1023</v>
      </c>
      <c r="E142">
        <v>5</v>
      </c>
      <c r="F142" t="s">
        <v>273</v>
      </c>
      <c r="G142">
        <v>90</v>
      </c>
      <c r="H142">
        <f t="shared" si="1"/>
        <v>100</v>
      </c>
      <c r="I142">
        <f t="shared" si="2"/>
        <v>500</v>
      </c>
    </row>
    <row r="143" spans="1:9">
      <c r="E143">
        <v>6</v>
      </c>
      <c r="F143" t="s">
        <v>43</v>
      </c>
      <c r="G143">
        <v>65</v>
      </c>
      <c r="H143">
        <f t="shared" si="1"/>
        <v>75</v>
      </c>
      <c r="I143">
        <f t="shared" si="2"/>
        <v>600</v>
      </c>
    </row>
    <row r="144" spans="1:9">
      <c r="A144" t="s">
        <v>1024</v>
      </c>
      <c r="E144">
        <v>7</v>
      </c>
      <c r="F144" t="s">
        <v>304</v>
      </c>
      <c r="G144">
        <v>54</v>
      </c>
      <c r="H144">
        <f t="shared" si="1"/>
        <v>64</v>
      </c>
      <c r="I144">
        <f t="shared" si="2"/>
        <v>700</v>
      </c>
    </row>
    <row r="145" spans="1:11">
      <c r="A145" t="s">
        <v>1025</v>
      </c>
      <c r="E145">
        <v>8</v>
      </c>
      <c r="F145">
        <v>2</v>
      </c>
      <c r="G145">
        <v>69</v>
      </c>
      <c r="H145">
        <f t="shared" si="1"/>
        <v>79</v>
      </c>
      <c r="I145">
        <f t="shared" si="2"/>
        <v>800</v>
      </c>
    </row>
    <row r="146" spans="1:11">
      <c r="E146">
        <v>9</v>
      </c>
      <c r="F146" t="s">
        <v>273</v>
      </c>
      <c r="G146">
        <v>96</v>
      </c>
      <c r="H146">
        <f t="shared" si="1"/>
        <v>106</v>
      </c>
      <c r="I146">
        <f t="shared" si="2"/>
        <v>900</v>
      </c>
    </row>
    <row r="147" spans="1:11">
      <c r="E147">
        <v>10</v>
      </c>
      <c r="F147" t="s">
        <v>43</v>
      </c>
      <c r="G147">
        <v>99</v>
      </c>
      <c r="H147">
        <f t="shared" si="1"/>
        <v>109</v>
      </c>
      <c r="I147">
        <f t="shared" si="2"/>
        <v>1000</v>
      </c>
    </row>
    <row r="150" spans="1:11">
      <c r="A150" s="107" t="s">
        <v>1026</v>
      </c>
      <c r="B150" s="107"/>
    </row>
    <row r="151" spans="1:11">
      <c r="A151" s="107"/>
      <c r="B151" s="107"/>
    </row>
    <row r="153" spans="1:11">
      <c r="E153" t="s">
        <v>299</v>
      </c>
      <c r="F153" t="s">
        <v>64</v>
      </c>
      <c r="G153" t="s">
        <v>300</v>
      </c>
      <c r="H153" t="s">
        <v>301</v>
      </c>
      <c r="I153" t="s">
        <v>302</v>
      </c>
      <c r="J153" t="s">
        <v>82</v>
      </c>
      <c r="K153" s="50" t="s">
        <v>1028</v>
      </c>
    </row>
    <row r="154" spans="1:11">
      <c r="A154" t="s">
        <v>1027</v>
      </c>
      <c r="B154" t="s">
        <v>1029</v>
      </c>
      <c r="E154">
        <v>1</v>
      </c>
      <c r="F154" t="s">
        <v>273</v>
      </c>
      <c r="G154">
        <v>50</v>
      </c>
      <c r="H154">
        <f>G154+10</f>
        <v>60</v>
      </c>
      <c r="I154">
        <v>100</v>
      </c>
      <c r="J154">
        <f>SUM(G154:I154)</f>
        <v>210</v>
      </c>
    </row>
    <row r="155" spans="1:11">
      <c r="E155">
        <v>2</v>
      </c>
      <c r="F155" t="s">
        <v>43</v>
      </c>
      <c r="G155">
        <v>100</v>
      </c>
      <c r="H155">
        <f t="shared" ref="H155:H163" si="3">G155+10</f>
        <v>110</v>
      </c>
      <c r="I155">
        <f>I154+100</f>
        <v>200</v>
      </c>
      <c r="J155">
        <f t="shared" ref="J155:J163" si="4">SUM(G155:I155)</f>
        <v>410</v>
      </c>
    </row>
    <row r="156" spans="1:11">
      <c r="A156" t="s">
        <v>1032</v>
      </c>
      <c r="E156">
        <v>3</v>
      </c>
      <c r="F156" t="s">
        <v>304</v>
      </c>
      <c r="G156">
        <v>60</v>
      </c>
      <c r="H156">
        <f t="shared" si="3"/>
        <v>70</v>
      </c>
      <c r="I156">
        <f t="shared" ref="I156:I163" si="5">I155+100</f>
        <v>300</v>
      </c>
      <c r="J156">
        <f t="shared" si="4"/>
        <v>430</v>
      </c>
    </row>
    <row r="157" spans="1:11">
      <c r="A157" t="s">
        <v>1033</v>
      </c>
      <c r="E157">
        <v>4</v>
      </c>
      <c r="F157">
        <v>1</v>
      </c>
      <c r="G157">
        <v>70</v>
      </c>
      <c r="H157">
        <f t="shared" si="3"/>
        <v>80</v>
      </c>
      <c r="I157">
        <f t="shared" si="5"/>
        <v>400</v>
      </c>
      <c r="J157">
        <f t="shared" si="4"/>
        <v>550</v>
      </c>
    </row>
    <row r="158" spans="1:11">
      <c r="E158">
        <v>5</v>
      </c>
      <c r="F158" t="s">
        <v>273</v>
      </c>
      <c r="G158">
        <v>90</v>
      </c>
      <c r="H158">
        <f t="shared" si="3"/>
        <v>100</v>
      </c>
      <c r="I158">
        <f t="shared" si="5"/>
        <v>500</v>
      </c>
      <c r="J158">
        <f t="shared" si="4"/>
        <v>690</v>
      </c>
    </row>
    <row r="159" spans="1:11">
      <c r="E159">
        <v>6</v>
      </c>
      <c r="F159" t="s">
        <v>43</v>
      </c>
      <c r="G159">
        <v>65</v>
      </c>
      <c r="H159">
        <f t="shared" si="3"/>
        <v>75</v>
      </c>
      <c r="I159">
        <f t="shared" si="5"/>
        <v>600</v>
      </c>
      <c r="J159">
        <f t="shared" si="4"/>
        <v>740</v>
      </c>
    </row>
    <row r="160" spans="1:11">
      <c r="E160">
        <v>7</v>
      </c>
      <c r="F160" t="s">
        <v>304</v>
      </c>
      <c r="G160">
        <v>54</v>
      </c>
      <c r="H160">
        <f t="shared" si="3"/>
        <v>64</v>
      </c>
      <c r="I160">
        <f t="shared" si="5"/>
        <v>700</v>
      </c>
      <c r="J160">
        <f t="shared" si="4"/>
        <v>818</v>
      </c>
    </row>
    <row r="161" spans="1:13">
      <c r="E161">
        <v>8</v>
      </c>
      <c r="F161">
        <v>2</v>
      </c>
      <c r="G161">
        <v>69</v>
      </c>
      <c r="H161">
        <f t="shared" si="3"/>
        <v>79</v>
      </c>
      <c r="I161">
        <f t="shared" si="5"/>
        <v>800</v>
      </c>
      <c r="J161">
        <f t="shared" si="4"/>
        <v>948</v>
      </c>
    </row>
    <row r="162" spans="1:13">
      <c r="E162">
        <v>9</v>
      </c>
      <c r="F162" t="s">
        <v>273</v>
      </c>
      <c r="G162">
        <v>96</v>
      </c>
      <c r="H162">
        <f t="shared" si="3"/>
        <v>106</v>
      </c>
      <c r="I162">
        <f t="shared" si="5"/>
        <v>900</v>
      </c>
      <c r="J162">
        <f t="shared" si="4"/>
        <v>1102</v>
      </c>
    </row>
    <row r="163" spans="1:13">
      <c r="E163">
        <v>10</v>
      </c>
      <c r="F163" t="s">
        <v>43</v>
      </c>
      <c r="G163">
        <v>99</v>
      </c>
      <c r="H163">
        <f t="shared" si="3"/>
        <v>109</v>
      </c>
      <c r="I163">
        <f t="shared" si="5"/>
        <v>1000</v>
      </c>
      <c r="J163">
        <f t="shared" si="4"/>
        <v>1208</v>
      </c>
    </row>
    <row r="165" spans="1:13">
      <c r="F165" t="s">
        <v>1030</v>
      </c>
    </row>
    <row r="167" spans="1:13">
      <c r="A167" t="s">
        <v>1031</v>
      </c>
    </row>
    <row r="171" spans="1:13">
      <c r="A171" s="103" t="s">
        <v>1034</v>
      </c>
      <c r="B171" s="103"/>
    </row>
    <row r="172" spans="1:13">
      <c r="A172" s="103"/>
      <c r="B172" s="103"/>
    </row>
    <row r="173" spans="1:13">
      <c r="F173" t="s">
        <v>299</v>
      </c>
      <c r="G173" t="s">
        <v>64</v>
      </c>
      <c r="H173" t="s">
        <v>300</v>
      </c>
      <c r="I173" t="s">
        <v>301</v>
      </c>
      <c r="J173" t="s">
        <v>302</v>
      </c>
      <c r="K173" t="s">
        <v>82</v>
      </c>
    </row>
    <row r="174" spans="1:13">
      <c r="F174">
        <v>1</v>
      </c>
      <c r="G174" t="s">
        <v>273</v>
      </c>
      <c r="H174">
        <v>50</v>
      </c>
      <c r="I174">
        <f>H174+10</f>
        <v>60</v>
      </c>
      <c r="J174">
        <v>100</v>
      </c>
      <c r="K174">
        <f>SUM(H174:J174)</f>
        <v>210</v>
      </c>
    </row>
    <row r="175" spans="1:13">
      <c r="F175">
        <v>2</v>
      </c>
      <c r="G175" t="s">
        <v>43</v>
      </c>
      <c r="H175">
        <v>100</v>
      </c>
      <c r="I175">
        <f t="shared" ref="I175:I183" si="6">H175+10</f>
        <v>110</v>
      </c>
      <c r="J175">
        <f>J174+100</f>
        <v>200</v>
      </c>
      <c r="K175">
        <f t="shared" ref="K175:K183" si="7">SUM(H175:J175)</f>
        <v>410</v>
      </c>
      <c r="M175" s="56"/>
    </row>
    <row r="176" spans="1:13">
      <c r="F176">
        <v>3</v>
      </c>
      <c r="G176" t="s">
        <v>304</v>
      </c>
      <c r="H176">
        <v>60</v>
      </c>
      <c r="I176">
        <f t="shared" si="6"/>
        <v>70</v>
      </c>
      <c r="J176">
        <f t="shared" ref="J176:J183" si="8">J175+100</f>
        <v>300</v>
      </c>
      <c r="K176">
        <f t="shared" si="7"/>
        <v>430</v>
      </c>
      <c r="M176" s="56"/>
    </row>
    <row r="177" spans="6:13">
      <c r="F177">
        <v>4</v>
      </c>
      <c r="G177">
        <v>1</v>
      </c>
      <c r="H177">
        <v>70</v>
      </c>
      <c r="I177">
        <f t="shared" si="6"/>
        <v>80</v>
      </c>
      <c r="J177">
        <f t="shared" si="8"/>
        <v>400</v>
      </c>
      <c r="K177">
        <f t="shared" si="7"/>
        <v>550</v>
      </c>
      <c r="M177" s="56"/>
    </row>
    <row r="178" spans="6:13">
      <c r="F178">
        <v>5</v>
      </c>
      <c r="G178" t="s">
        <v>273</v>
      </c>
      <c r="H178">
        <v>90</v>
      </c>
      <c r="I178">
        <f t="shared" si="6"/>
        <v>100</v>
      </c>
      <c r="J178">
        <f t="shared" si="8"/>
        <v>500</v>
      </c>
      <c r="K178">
        <f t="shared" si="7"/>
        <v>690</v>
      </c>
      <c r="M178" s="56"/>
    </row>
    <row r="179" spans="6:13">
      <c r="F179">
        <v>6</v>
      </c>
      <c r="G179" t="s">
        <v>43</v>
      </c>
      <c r="H179">
        <v>65</v>
      </c>
      <c r="I179">
        <f t="shared" si="6"/>
        <v>75</v>
      </c>
      <c r="J179">
        <f t="shared" si="8"/>
        <v>600</v>
      </c>
      <c r="K179">
        <f t="shared" si="7"/>
        <v>740</v>
      </c>
      <c r="M179" s="56"/>
    </row>
    <row r="180" spans="6:13">
      <c r="F180">
        <v>7</v>
      </c>
      <c r="G180" t="s">
        <v>304</v>
      </c>
      <c r="H180">
        <v>54</v>
      </c>
      <c r="I180">
        <f t="shared" si="6"/>
        <v>64</v>
      </c>
      <c r="J180">
        <f t="shared" si="8"/>
        <v>700</v>
      </c>
      <c r="K180">
        <f t="shared" si="7"/>
        <v>818</v>
      </c>
      <c r="M180" s="56"/>
    </row>
    <row r="181" spans="6:13">
      <c r="F181">
        <v>8</v>
      </c>
      <c r="G181">
        <v>2</v>
      </c>
      <c r="H181">
        <v>69</v>
      </c>
      <c r="I181">
        <f t="shared" si="6"/>
        <v>79</v>
      </c>
      <c r="J181">
        <f t="shared" si="8"/>
        <v>800</v>
      </c>
      <c r="K181">
        <f t="shared" si="7"/>
        <v>948</v>
      </c>
    </row>
    <row r="182" spans="6:13">
      <c r="F182">
        <v>9</v>
      </c>
      <c r="G182" t="s">
        <v>273</v>
      </c>
      <c r="H182">
        <v>96</v>
      </c>
      <c r="I182">
        <f t="shared" si="6"/>
        <v>106</v>
      </c>
      <c r="J182">
        <f t="shared" si="8"/>
        <v>900</v>
      </c>
      <c r="K182">
        <f t="shared" si="7"/>
        <v>1102</v>
      </c>
    </row>
    <row r="183" spans="6:13">
      <c r="F183">
        <v>10</v>
      </c>
      <c r="G183" t="s">
        <v>43</v>
      </c>
      <c r="H183">
        <v>99</v>
      </c>
      <c r="I183">
        <f t="shared" si="6"/>
        <v>109</v>
      </c>
      <c r="J183">
        <f t="shared" si="8"/>
        <v>1000</v>
      </c>
      <c r="K183">
        <f t="shared" si="7"/>
        <v>1208</v>
      </c>
    </row>
    <row r="186" spans="6:13">
      <c r="F186" s="9" t="s">
        <v>1039</v>
      </c>
    </row>
    <row r="187" spans="6:13">
      <c r="G187" s="55" t="s">
        <v>901</v>
      </c>
    </row>
    <row r="188" spans="6:13">
      <c r="F188" s="55" t="s">
        <v>893</v>
      </c>
      <c r="G188" t="s">
        <v>1035</v>
      </c>
      <c r="H188" t="s">
        <v>1036</v>
      </c>
      <c r="I188" t="s">
        <v>1037</v>
      </c>
      <c r="J188" t="s">
        <v>1038</v>
      </c>
    </row>
    <row r="189" spans="6:13">
      <c r="F189" s="56">
        <v>1</v>
      </c>
      <c r="G189">
        <v>70</v>
      </c>
      <c r="H189">
        <v>80</v>
      </c>
      <c r="I189">
        <v>400</v>
      </c>
      <c r="J189">
        <v>550</v>
      </c>
    </row>
    <row r="190" spans="6:13">
      <c r="F190" s="56">
        <v>2</v>
      </c>
      <c r="G190">
        <v>69</v>
      </c>
      <c r="H190">
        <v>79</v>
      </c>
      <c r="I190">
        <v>800</v>
      </c>
      <c r="J190">
        <v>948</v>
      </c>
    </row>
    <row r="191" spans="6:13">
      <c r="F191" s="56" t="s">
        <v>43</v>
      </c>
      <c r="G191">
        <v>264</v>
      </c>
      <c r="H191">
        <v>294</v>
      </c>
      <c r="I191">
        <v>1800</v>
      </c>
      <c r="J191">
        <v>2358</v>
      </c>
    </row>
    <row r="192" spans="6:13">
      <c r="F192" s="56" t="s">
        <v>273</v>
      </c>
      <c r="G192">
        <v>236</v>
      </c>
      <c r="H192">
        <v>266</v>
      </c>
      <c r="I192">
        <v>1500</v>
      </c>
      <c r="J192">
        <v>2002</v>
      </c>
    </row>
    <row r="193" spans="1:10">
      <c r="F193" s="56" t="s">
        <v>304</v>
      </c>
      <c r="G193">
        <v>114</v>
      </c>
      <c r="H193">
        <v>134</v>
      </c>
      <c r="I193">
        <v>1000</v>
      </c>
      <c r="J193">
        <v>1248</v>
      </c>
    </row>
    <row r="194" spans="1:10">
      <c r="F194" s="56" t="s">
        <v>894</v>
      </c>
      <c r="G194">
        <v>753</v>
      </c>
      <c r="H194">
        <v>853</v>
      </c>
      <c r="I194">
        <v>5500</v>
      </c>
      <c r="J194">
        <v>7106</v>
      </c>
    </row>
    <row r="196" spans="1:10">
      <c r="B196" t="s">
        <v>1040</v>
      </c>
      <c r="C196" t="s">
        <v>1041</v>
      </c>
    </row>
    <row r="202" spans="1:10">
      <c r="A202" s="9" t="s">
        <v>1042</v>
      </c>
      <c r="B202" s="9"/>
    </row>
    <row r="203" spans="1:10">
      <c r="A203" s="9"/>
      <c r="B203" s="9"/>
    </row>
    <row r="205" spans="1:10">
      <c r="A205" t="s">
        <v>1043</v>
      </c>
      <c r="C205" s="9" t="s">
        <v>1044</v>
      </c>
      <c r="D205" s="9"/>
      <c r="E205" t="s">
        <v>1045</v>
      </c>
    </row>
    <row r="209" spans="1:3">
      <c r="A209" s="27" t="s">
        <v>1046</v>
      </c>
      <c r="B209" s="27"/>
    </row>
    <row r="210" spans="1:3">
      <c r="A210" s="27" t="s">
        <v>1047</v>
      </c>
      <c r="B210" s="27"/>
    </row>
    <row r="211" spans="1:3">
      <c r="A211" s="27" t="s">
        <v>1048</v>
      </c>
      <c r="B211" s="27"/>
    </row>
    <row r="212" spans="1:3">
      <c r="A212" s="27" t="s">
        <v>1049</v>
      </c>
      <c r="B212" s="27"/>
    </row>
    <row r="215" spans="1:3">
      <c r="A215" s="9" t="s">
        <v>1050</v>
      </c>
      <c r="B215" s="9"/>
    </row>
    <row r="216" spans="1:3">
      <c r="A216" s="9"/>
      <c r="B216" s="9"/>
    </row>
    <row r="218" spans="1:3">
      <c r="A218" t="s">
        <v>1051</v>
      </c>
    </row>
    <row r="220" spans="1:3">
      <c r="A220" t="s">
        <v>1052</v>
      </c>
      <c r="C220" t="str">
        <f>SUBSTITUTE("SECOND","E","b",2)</f>
        <v>SECOND</v>
      </c>
    </row>
    <row r="222" spans="1:3">
      <c r="B222" t="s">
        <v>1</v>
      </c>
      <c r="C222" t="s">
        <v>1053</v>
      </c>
    </row>
    <row r="224" spans="1:3">
      <c r="B224" t="s">
        <v>1054</v>
      </c>
      <c r="C224" t="str">
        <f>SUBSTITUTE("06/02/2023","2","1",3)</f>
        <v>06/02/2013</v>
      </c>
    </row>
    <row r="226" spans="1:9">
      <c r="C226" t="str">
        <f>SUBSTITUTE("07-01-2023","2","5","3")</f>
        <v>07-01-2023</v>
      </c>
    </row>
    <row r="228" spans="1:9">
      <c r="A228" t="s">
        <v>1055</v>
      </c>
    </row>
    <row r="231" spans="1:9">
      <c r="A231" s="9" t="s">
        <v>1056</v>
      </c>
      <c r="B231" s="9"/>
      <c r="E231" t="s">
        <v>1057</v>
      </c>
      <c r="H231" t="s">
        <v>1058</v>
      </c>
    </row>
    <row r="232" spans="1:9">
      <c r="A232" s="9"/>
      <c r="B232" s="9"/>
    </row>
    <row r="233" spans="1:9">
      <c r="E233">
        <v>40</v>
      </c>
      <c r="F233">
        <v>40</v>
      </c>
      <c r="H233">
        <v>40</v>
      </c>
      <c r="I233">
        <v>40</v>
      </c>
    </row>
    <row r="234" spans="1:9">
      <c r="A234" t="s">
        <v>62</v>
      </c>
      <c r="E234">
        <v>25</v>
      </c>
      <c r="F234">
        <v>25</v>
      </c>
      <c r="H234">
        <v>25</v>
      </c>
      <c r="I234">
        <v>25</v>
      </c>
    </row>
    <row r="236" spans="1:9">
      <c r="E236" t="s">
        <v>1059</v>
      </c>
    </row>
    <row r="237" spans="1:9">
      <c r="E237">
        <v>30</v>
      </c>
      <c r="F237">
        <v>36</v>
      </c>
    </row>
    <row r="238" spans="1:9">
      <c r="E238">
        <v>50</v>
      </c>
      <c r="F238">
        <v>60</v>
      </c>
    </row>
    <row r="241" spans="1:8">
      <c r="A241" t="s">
        <v>1060</v>
      </c>
      <c r="C241" t="s">
        <v>1061</v>
      </c>
    </row>
    <row r="243" spans="1:8">
      <c r="A243" t="s">
        <v>1062</v>
      </c>
      <c r="B243" t="s">
        <v>1063</v>
      </c>
    </row>
    <row r="244" spans="1:8">
      <c r="F244" t="s">
        <v>1067</v>
      </c>
    </row>
    <row r="245" spans="1:8">
      <c r="A245" t="s">
        <v>1064</v>
      </c>
      <c r="F245">
        <v>15</v>
      </c>
      <c r="G245">
        <v>44</v>
      </c>
      <c r="H245">
        <v>45</v>
      </c>
    </row>
    <row r="246" spans="1:8">
      <c r="A246" t="s">
        <v>1065</v>
      </c>
      <c r="F246">
        <v>15</v>
      </c>
      <c r="G246">
        <v>52</v>
      </c>
      <c r="H246">
        <v>96</v>
      </c>
    </row>
    <row r="247" spans="1:8">
      <c r="F247">
        <v>25</v>
      </c>
      <c r="G247">
        <v>96</v>
      </c>
      <c r="H247">
        <v>78</v>
      </c>
    </row>
    <row r="248" spans="1:8">
      <c r="A248" t="s">
        <v>1066</v>
      </c>
      <c r="F248">
        <v>36</v>
      </c>
      <c r="G248">
        <v>5</v>
      </c>
      <c r="H248">
        <v>56</v>
      </c>
    </row>
    <row r="250" spans="1:8">
      <c r="F250" t="s">
        <v>1068</v>
      </c>
    </row>
    <row r="253" spans="1:8" ht="61.2">
      <c r="B253" s="110" t="s">
        <v>1069</v>
      </c>
      <c r="C253" s="110"/>
      <c r="D253" s="110"/>
      <c r="E253" s="110"/>
      <c r="F253" s="110"/>
    </row>
  </sheetData>
  <mergeCells count="6">
    <mergeCell ref="B253:F253"/>
    <mergeCell ref="A1:E1"/>
    <mergeCell ref="A3:D3"/>
    <mergeCell ref="F3:P7"/>
    <mergeCell ref="A171:B172"/>
    <mergeCell ref="A150:B151"/>
  </mergeCells>
  <conditionalFormatting sqref="G138:G147">
    <cfRule type="dataBar" priority="10">
      <dataBar>
        <cfvo type="min" val="0"/>
        <cfvo type="max" val="0"/>
        <color rgb="FF638EC6"/>
      </dataBar>
    </cfRule>
  </conditionalFormatting>
  <conditionalFormatting sqref="G138:G148">
    <cfRule type="iconSet" priority="6">
      <iconSet iconSet="4Rating">
        <cfvo type="percent" val="0"/>
        <cfvo type="percent" val="25"/>
        <cfvo type="percent" val="50"/>
        <cfvo type="percent" val="75"/>
      </iconSet>
    </cfRule>
  </conditionalFormatting>
  <conditionalFormatting sqref="H138:H147">
    <cfRule type="dataBar" priority="9">
      <dataBar>
        <cfvo type="min" val="0"/>
        <cfvo type="max" val="0"/>
        <color rgb="FF63C384"/>
      </dataBar>
    </cfRule>
  </conditionalFormatting>
  <conditionalFormatting sqref="I138:I147">
    <cfRule type="colorScale" priority="7">
      <colorScale>
        <cfvo type="min" val="0"/>
        <cfvo type="max" val="0"/>
        <color rgb="FFFFEF9C"/>
        <color rgb="FF63BE7B"/>
      </colorScale>
    </cfRule>
    <cfRule type="dataBar" priority="8">
      <dataBar>
        <cfvo type="min" val="0"/>
        <cfvo type="max" val="0"/>
        <color rgb="FFFF555A"/>
      </dataBar>
    </cfRule>
  </conditionalFormatting>
  <pageMargins left="0.7" right="0.7" top="0.75" bottom="0.75" header="0.3" footer="0.3"/>
  <pageSetup orientation="portrait" r:id="rId3"/>
  <drawing r:id="rId4"/>
  <tableParts count="2">
    <tablePart r:id="rId5"/>
    <tablePart r:id="rId6"/>
  </tableParts>
</worksheet>
</file>

<file path=xl/worksheets/sheet4.xml><?xml version="1.0" encoding="utf-8"?>
<worksheet xmlns="http://schemas.openxmlformats.org/spreadsheetml/2006/main" xmlns:r="http://schemas.openxmlformats.org/officeDocument/2006/relationships">
  <sheetPr codeName="Sheet5">
    <tabColor theme="8"/>
  </sheetPr>
  <dimension ref="A1:Z329"/>
  <sheetViews>
    <sheetView topLeftCell="A238" workbookViewId="0">
      <selection activeCell="N278" sqref="N278"/>
    </sheetView>
  </sheetViews>
  <sheetFormatPr defaultRowHeight="14.4"/>
  <cols>
    <col min="6" max="6" width="12.5546875" bestFit="1" customWidth="1"/>
    <col min="7" max="7" width="11.21875" customWidth="1"/>
    <col min="8" max="8" width="14.77734375" bestFit="1" customWidth="1"/>
    <col min="9" max="9" width="22.5546875" customWidth="1"/>
    <col min="10" max="10" width="15" customWidth="1"/>
    <col min="11" max="11" width="16.109375" bestFit="1" customWidth="1"/>
    <col min="12" max="12" width="9.44140625" customWidth="1"/>
    <col min="13" max="15" width="11.5546875" customWidth="1"/>
    <col min="16" max="16" width="12.5546875" bestFit="1" customWidth="1"/>
    <col min="17" max="17" width="22.5546875" bestFit="1" customWidth="1"/>
    <col min="18" max="18" width="14.5546875" bestFit="1" customWidth="1"/>
    <col min="19" max="19" width="12.77734375" customWidth="1"/>
    <col min="20" max="20" width="22.5546875" bestFit="1" customWidth="1"/>
    <col min="22" max="22" width="12.77734375" customWidth="1"/>
    <col min="23" max="23" width="22.5546875" bestFit="1" customWidth="1"/>
    <col min="25" max="25" width="12.5546875" bestFit="1" customWidth="1"/>
    <col min="26" max="26" width="22.5546875" bestFit="1" customWidth="1"/>
  </cols>
  <sheetData>
    <row r="1" spans="1:18" ht="14.4" customHeight="1">
      <c r="A1" s="122" t="s">
        <v>1070</v>
      </c>
      <c r="B1" s="122"/>
      <c r="C1" s="122"/>
      <c r="D1" s="122"/>
      <c r="E1" s="122"/>
      <c r="F1" s="122"/>
      <c r="M1" s="103" t="s">
        <v>1113</v>
      </c>
      <c r="N1" s="103"/>
      <c r="O1" s="103"/>
      <c r="P1" t="s">
        <v>1114</v>
      </c>
    </row>
    <row r="2" spans="1:18" ht="14.4" customHeight="1">
      <c r="A2" s="122"/>
      <c r="B2" s="122"/>
      <c r="C2" s="122"/>
      <c r="D2" s="122"/>
      <c r="E2" s="122"/>
      <c r="F2" s="122"/>
      <c r="H2" s="81" t="s">
        <v>1099</v>
      </c>
      <c r="I2" s="81" t="s">
        <v>1098</v>
      </c>
      <c r="J2" s="81" t="s">
        <v>315</v>
      </c>
      <c r="K2" s="81" t="s">
        <v>1097</v>
      </c>
      <c r="L2" s="81" t="s">
        <v>336</v>
      </c>
      <c r="M2" s="81" t="s">
        <v>1111</v>
      </c>
      <c r="N2" s="81" t="s">
        <v>217</v>
      </c>
      <c r="O2" s="81" t="s">
        <v>224</v>
      </c>
    </row>
    <row r="3" spans="1:18">
      <c r="A3" s="122"/>
      <c r="B3" s="122"/>
      <c r="C3" s="122"/>
      <c r="D3" s="122"/>
      <c r="E3" s="122"/>
      <c r="F3" s="122"/>
      <c r="H3" s="63">
        <v>1</v>
      </c>
      <c r="I3" s="63">
        <v>12</v>
      </c>
      <c r="J3" s="63">
        <v>58</v>
      </c>
      <c r="K3" s="63" t="s">
        <v>1071</v>
      </c>
      <c r="L3" s="82">
        <v>43106</v>
      </c>
      <c r="M3" s="63" t="str">
        <f>TEXT(Table6[[#This Row],[date]],"mmmm")</f>
        <v>January</v>
      </c>
      <c r="N3" s="63" t="str">
        <f>TEXT(Table6[[#This Row],[date]],"dddd")</f>
        <v>Saturday</v>
      </c>
      <c r="O3" s="63" t="str">
        <f>TEXT(Table6[[#This Row],[date]],"yyyy")</f>
        <v>2018</v>
      </c>
      <c r="P3" s="41" t="s">
        <v>1101</v>
      </c>
    </row>
    <row r="4" spans="1:18">
      <c r="H4" s="63">
        <v>2</v>
      </c>
      <c r="I4" s="63">
        <f>I3+4</f>
        <v>16</v>
      </c>
      <c r="J4" s="63">
        <f>J3+10</f>
        <v>68</v>
      </c>
      <c r="K4" s="63" t="s">
        <v>1072</v>
      </c>
      <c r="L4" s="80">
        <v>43123</v>
      </c>
      <c r="M4" s="63" t="str">
        <f>TEXT(Table6[[#This Row],[date]],"mmmm")</f>
        <v>January</v>
      </c>
      <c r="N4" s="63" t="str">
        <f>TEXT(Table6[[#This Row],[date]],"dddd")</f>
        <v>Tuesday</v>
      </c>
      <c r="O4" s="63" t="str">
        <f>TEXT(Table6[[#This Row],[date]],"yyyy")</f>
        <v>2018</v>
      </c>
      <c r="P4">
        <v>1</v>
      </c>
      <c r="Q4" t="s">
        <v>1102</v>
      </c>
    </row>
    <row r="5" spans="1:18">
      <c r="A5" t="s">
        <v>1100</v>
      </c>
      <c r="H5" s="63">
        <v>3</v>
      </c>
      <c r="I5" s="63">
        <f t="shared" ref="I5:I28" si="0">I4+4</f>
        <v>20</v>
      </c>
      <c r="J5" s="63">
        <f t="shared" ref="J5:J28" si="1">J4+10</f>
        <v>78</v>
      </c>
      <c r="K5" s="63" t="s">
        <v>1073</v>
      </c>
      <c r="L5" s="83">
        <v>43140</v>
      </c>
      <c r="M5" s="63" t="str">
        <f>TEXT(Table6[[#This Row],[date]],"mmmm")</f>
        <v>February</v>
      </c>
      <c r="N5" s="63" t="str">
        <f>TEXT(Table6[[#This Row],[date]],"dddd")</f>
        <v>Friday</v>
      </c>
      <c r="O5" s="63" t="str">
        <f>TEXT(Table6[[#This Row],[date]],"yyyy")</f>
        <v>2018</v>
      </c>
      <c r="P5">
        <v>2</v>
      </c>
      <c r="Q5" t="s">
        <v>1103</v>
      </c>
    </row>
    <row r="6" spans="1:18">
      <c r="H6" s="63">
        <v>4</v>
      </c>
      <c r="I6" s="63">
        <f t="shared" si="0"/>
        <v>24</v>
      </c>
      <c r="J6" s="63">
        <f t="shared" si="1"/>
        <v>88</v>
      </c>
      <c r="K6" s="63" t="s">
        <v>1074</v>
      </c>
      <c r="L6" s="80">
        <v>43157</v>
      </c>
      <c r="M6" s="63" t="str">
        <f>TEXT(Table6[[#This Row],[date]],"mmmm")</f>
        <v>February</v>
      </c>
      <c r="N6" s="63" t="str">
        <f>TEXT(Table6[[#This Row],[date]],"dddd")</f>
        <v>Monday</v>
      </c>
      <c r="O6" s="63" t="str">
        <f>TEXT(Table6[[#This Row],[date]],"yyyy")</f>
        <v>2018</v>
      </c>
      <c r="P6">
        <v>3</v>
      </c>
      <c r="Q6" t="s">
        <v>1104</v>
      </c>
    </row>
    <row r="7" spans="1:18">
      <c r="A7" t="s">
        <v>1112</v>
      </c>
      <c r="H7" s="63">
        <v>5</v>
      </c>
      <c r="I7" s="63">
        <f t="shared" si="0"/>
        <v>28</v>
      </c>
      <c r="J7" s="63">
        <f t="shared" si="1"/>
        <v>98</v>
      </c>
      <c r="K7" s="63" t="s">
        <v>1075</v>
      </c>
      <c r="L7" s="83">
        <v>43174</v>
      </c>
      <c r="M7" s="63" t="str">
        <f>TEXT(Table6[[#This Row],[date]],"mmmm")</f>
        <v>March</v>
      </c>
      <c r="N7" s="63" t="str">
        <f>TEXT(Table6[[#This Row],[date]],"dddd")</f>
        <v>Thursday</v>
      </c>
      <c r="O7" s="63" t="str">
        <f>TEXT(Table6[[#This Row],[date]],"yyyy")</f>
        <v>2018</v>
      </c>
      <c r="P7">
        <v>4</v>
      </c>
      <c r="Q7" t="s">
        <v>1105</v>
      </c>
    </row>
    <row r="8" spans="1:18">
      <c r="H8" s="63">
        <v>6</v>
      </c>
      <c r="I8" s="63">
        <f t="shared" si="0"/>
        <v>32</v>
      </c>
      <c r="J8" s="63">
        <f t="shared" si="1"/>
        <v>108</v>
      </c>
      <c r="K8" s="63" t="s">
        <v>1076</v>
      </c>
      <c r="L8" s="80">
        <v>43191</v>
      </c>
      <c r="M8" s="63" t="str">
        <f>TEXT(Table6[[#This Row],[date]],"mmmm")</f>
        <v>April</v>
      </c>
      <c r="N8" s="63" t="str">
        <f>TEXT(Table6[[#This Row],[date]],"dddd")</f>
        <v>Sunday</v>
      </c>
      <c r="O8" s="63" t="str">
        <f>TEXT(Table6[[#This Row],[date]],"yyyy")</f>
        <v>2018</v>
      </c>
    </row>
    <row r="9" spans="1:18">
      <c r="H9" s="63">
        <v>7</v>
      </c>
      <c r="I9" s="63">
        <f t="shared" si="0"/>
        <v>36</v>
      </c>
      <c r="J9" s="63">
        <f t="shared" si="1"/>
        <v>118</v>
      </c>
      <c r="K9" s="63" t="s">
        <v>1077</v>
      </c>
      <c r="L9" s="83">
        <v>43208</v>
      </c>
      <c r="M9" s="63" t="str">
        <f>TEXT(Table6[[#This Row],[date]],"mmmm")</f>
        <v>April</v>
      </c>
      <c r="N9" s="63" t="str">
        <f>TEXT(Table6[[#This Row],[date]],"dddd")</f>
        <v>Wednesday</v>
      </c>
      <c r="O9" s="63" t="str">
        <f>TEXT(Table6[[#This Row],[date]],"yyyy")</f>
        <v>2018</v>
      </c>
      <c r="P9" s="36" t="s">
        <v>1106</v>
      </c>
      <c r="Q9">
        <v>1</v>
      </c>
      <c r="R9" t="s">
        <v>1107</v>
      </c>
    </row>
    <row r="10" spans="1:18">
      <c r="H10" s="63">
        <v>8</v>
      </c>
      <c r="I10" s="63">
        <f t="shared" si="0"/>
        <v>40</v>
      </c>
      <c r="J10" s="63">
        <f t="shared" si="1"/>
        <v>128</v>
      </c>
      <c r="K10" s="63" t="s">
        <v>1078</v>
      </c>
      <c r="L10" s="80">
        <v>43225</v>
      </c>
      <c r="M10" s="63" t="str">
        <f>TEXT(Table6[[#This Row],[date]],"mmmm")</f>
        <v>May</v>
      </c>
      <c r="N10" s="63" t="str">
        <f>TEXT(Table6[[#This Row],[date]],"dddd")</f>
        <v>Saturday</v>
      </c>
      <c r="O10" s="63" t="str">
        <f>TEXT(Table6[[#This Row],[date]],"yyyy")</f>
        <v>2018</v>
      </c>
      <c r="Q10">
        <v>2</v>
      </c>
      <c r="R10" t="s">
        <v>1109</v>
      </c>
    </row>
    <row r="11" spans="1:18">
      <c r="H11" s="63">
        <v>9</v>
      </c>
      <c r="I11" s="63">
        <f t="shared" si="0"/>
        <v>44</v>
      </c>
      <c r="J11" s="63">
        <f t="shared" si="1"/>
        <v>138</v>
      </c>
      <c r="K11" s="63" t="s">
        <v>1079</v>
      </c>
      <c r="L11" s="83">
        <v>43242</v>
      </c>
      <c r="M11" s="63" t="str">
        <f>TEXT(Table6[[#This Row],[date]],"mmmm")</f>
        <v>May</v>
      </c>
      <c r="N11" s="63" t="str">
        <f>TEXT(Table6[[#This Row],[date]],"dddd")</f>
        <v>Tuesday</v>
      </c>
      <c r="O11" s="63" t="str">
        <f>TEXT(Table6[[#This Row],[date]],"yyyy")</f>
        <v>2018</v>
      </c>
    </row>
    <row r="12" spans="1:18">
      <c r="H12" s="63">
        <v>10</v>
      </c>
      <c r="I12" s="63">
        <f t="shared" si="0"/>
        <v>48</v>
      </c>
      <c r="J12" s="63">
        <f t="shared" si="1"/>
        <v>148</v>
      </c>
      <c r="K12" s="63" t="s">
        <v>1080</v>
      </c>
      <c r="L12" s="80">
        <v>43259</v>
      </c>
      <c r="M12" s="63" t="str">
        <f>TEXT(Table6[[#This Row],[date]],"mmmm")</f>
        <v>June</v>
      </c>
      <c r="N12" s="63" t="str">
        <f>TEXT(Table6[[#This Row],[date]],"dddd")</f>
        <v>Friday</v>
      </c>
      <c r="O12" s="63" t="str">
        <f>TEXT(Table6[[#This Row],[date]],"yyyy")</f>
        <v>2018</v>
      </c>
      <c r="Q12">
        <v>3</v>
      </c>
      <c r="R12" t="s">
        <v>1110</v>
      </c>
    </row>
    <row r="13" spans="1:18">
      <c r="H13" s="63">
        <v>11</v>
      </c>
      <c r="I13" s="63">
        <f t="shared" si="0"/>
        <v>52</v>
      </c>
      <c r="J13" s="63">
        <f t="shared" si="1"/>
        <v>158</v>
      </c>
      <c r="K13" s="63" t="s">
        <v>1081</v>
      </c>
      <c r="L13" s="83">
        <v>43276</v>
      </c>
      <c r="M13" s="63" t="str">
        <f>TEXT(Table6[[#This Row],[date]],"mmmm")</f>
        <v>June</v>
      </c>
      <c r="N13" s="63" t="str">
        <f>TEXT(Table6[[#This Row],[date]],"dddd")</f>
        <v>Monday</v>
      </c>
      <c r="O13" s="63" t="str">
        <f>TEXT(Table6[[#This Row],[date]],"yyyy")</f>
        <v>2018</v>
      </c>
      <c r="Q13">
        <v>4</v>
      </c>
      <c r="R13" t="s">
        <v>1117</v>
      </c>
    </row>
    <row r="14" spans="1:18">
      <c r="H14" s="63">
        <v>12</v>
      </c>
      <c r="I14" s="63">
        <f t="shared" si="0"/>
        <v>56</v>
      </c>
      <c r="J14" s="63">
        <f t="shared" si="1"/>
        <v>168</v>
      </c>
      <c r="K14" s="63" t="s">
        <v>1082</v>
      </c>
      <c r="L14" s="80">
        <v>43293</v>
      </c>
      <c r="M14" s="63" t="str">
        <f>TEXT(Table6[[#This Row],[date]],"mmmm")</f>
        <v>July</v>
      </c>
      <c r="N14" s="63" t="str">
        <f>TEXT(Table6[[#This Row],[date]],"dddd")</f>
        <v>Thursday</v>
      </c>
      <c r="O14" s="63" t="str">
        <f>TEXT(Table6[[#This Row],[date]],"yyyy")</f>
        <v>2018</v>
      </c>
      <c r="Q14">
        <v>5</v>
      </c>
      <c r="R14" t="s">
        <v>1115</v>
      </c>
    </row>
    <row r="15" spans="1:18">
      <c r="H15" s="63">
        <v>13</v>
      </c>
      <c r="I15" s="63">
        <f t="shared" si="0"/>
        <v>60</v>
      </c>
      <c r="J15" s="63">
        <f t="shared" si="1"/>
        <v>178</v>
      </c>
      <c r="K15" s="63" t="s">
        <v>1083</v>
      </c>
      <c r="L15" s="83">
        <v>43310</v>
      </c>
      <c r="M15" s="63" t="str">
        <f>TEXT(Table6[[#This Row],[date]],"mmmm")</f>
        <v>July</v>
      </c>
      <c r="N15" s="63" t="str">
        <f>TEXT(Table6[[#This Row],[date]],"dddd")</f>
        <v>Sunday</v>
      </c>
      <c r="O15" s="63" t="str">
        <f>TEXT(Table6[[#This Row],[date]],"yyyy")</f>
        <v>2018</v>
      </c>
    </row>
    <row r="16" spans="1:18">
      <c r="H16" s="63">
        <v>14</v>
      </c>
      <c r="I16" s="63">
        <f t="shared" si="0"/>
        <v>64</v>
      </c>
      <c r="J16" s="63">
        <f t="shared" si="1"/>
        <v>188</v>
      </c>
      <c r="K16" s="63" t="s">
        <v>1084</v>
      </c>
      <c r="L16" s="80">
        <v>43327</v>
      </c>
      <c r="M16" s="63" t="str">
        <f>TEXT(Table6[[#This Row],[date]],"mmmm")</f>
        <v>August</v>
      </c>
      <c r="N16" s="63" t="str">
        <f>TEXT(Table6[[#This Row],[date]],"dddd")</f>
        <v>Wednesday</v>
      </c>
      <c r="O16" s="63" t="str">
        <f>TEXT(Table6[[#This Row],[date]],"yyyy")</f>
        <v>2018</v>
      </c>
      <c r="Q16" s="55" t="s">
        <v>901</v>
      </c>
    </row>
    <row r="17" spans="8:18">
      <c r="H17" s="63">
        <v>15</v>
      </c>
      <c r="I17" s="63">
        <f t="shared" si="0"/>
        <v>68</v>
      </c>
      <c r="J17" s="63">
        <f t="shared" si="1"/>
        <v>198</v>
      </c>
      <c r="K17" s="63" t="s">
        <v>1085</v>
      </c>
      <c r="L17" s="83">
        <v>43344</v>
      </c>
      <c r="M17" s="63" t="str">
        <f>TEXT(Table6[[#This Row],[date]],"mmmm")</f>
        <v>September</v>
      </c>
      <c r="N17" s="63" t="str">
        <f>TEXT(Table6[[#This Row],[date]],"dddd")</f>
        <v>Saturday</v>
      </c>
      <c r="O17" s="63" t="str">
        <f>TEXT(Table6[[#This Row],[date]],"yyyy")</f>
        <v>2018</v>
      </c>
      <c r="P17" s="55" t="s">
        <v>893</v>
      </c>
      <c r="Q17" t="s">
        <v>1108</v>
      </c>
      <c r="R17" t="s">
        <v>1116</v>
      </c>
    </row>
    <row r="18" spans="8:18">
      <c r="H18" s="63">
        <v>16</v>
      </c>
      <c r="I18" s="63">
        <f t="shared" si="0"/>
        <v>72</v>
      </c>
      <c r="J18" s="63">
        <f t="shared" si="1"/>
        <v>208</v>
      </c>
      <c r="K18" s="63" t="s">
        <v>1086</v>
      </c>
      <c r="L18" s="80">
        <v>43361</v>
      </c>
      <c r="M18" s="63" t="str">
        <f>TEXT(Table6[[#This Row],[date]],"mmmm")</f>
        <v>September</v>
      </c>
      <c r="N18" s="63" t="str">
        <f>TEXT(Table6[[#This Row],[date]],"dddd")</f>
        <v>Tuesday</v>
      </c>
      <c r="O18" s="63" t="str">
        <f>TEXT(Table6[[#This Row],[date]],"yyyy")</f>
        <v>2018</v>
      </c>
      <c r="P18" s="56" t="s">
        <v>1071</v>
      </c>
      <c r="Q18">
        <v>58</v>
      </c>
      <c r="R18">
        <v>1</v>
      </c>
    </row>
    <row r="19" spans="8:18">
      <c r="H19" s="63">
        <v>17</v>
      </c>
      <c r="I19" s="63">
        <f t="shared" si="0"/>
        <v>76</v>
      </c>
      <c r="J19" s="63">
        <f t="shared" si="1"/>
        <v>218</v>
      </c>
      <c r="K19" s="63" t="s">
        <v>1087</v>
      </c>
      <c r="L19" s="83">
        <v>43378</v>
      </c>
      <c r="M19" s="63" t="str">
        <f>TEXT(Table6[[#This Row],[date]],"mmmm")</f>
        <v>October</v>
      </c>
      <c r="N19" s="63" t="str">
        <f>TEXT(Table6[[#This Row],[date]],"dddd")</f>
        <v>Friday</v>
      </c>
      <c r="O19" s="63" t="str">
        <f>TEXT(Table6[[#This Row],[date]],"yyyy")</f>
        <v>2018</v>
      </c>
      <c r="P19" s="56" t="s">
        <v>1072</v>
      </c>
      <c r="Q19">
        <v>68</v>
      </c>
      <c r="R19">
        <v>1</v>
      </c>
    </row>
    <row r="20" spans="8:18">
      <c r="H20" s="63">
        <v>18</v>
      </c>
      <c r="I20" s="63">
        <f t="shared" si="0"/>
        <v>80</v>
      </c>
      <c r="J20" s="63">
        <f t="shared" si="1"/>
        <v>228</v>
      </c>
      <c r="K20" s="63" t="s">
        <v>1088</v>
      </c>
      <c r="L20" s="80">
        <v>43395</v>
      </c>
      <c r="M20" s="63" t="str">
        <f>TEXT(Table6[[#This Row],[date]],"mmmm")</f>
        <v>October</v>
      </c>
      <c r="N20" s="63" t="str">
        <f>TEXT(Table6[[#This Row],[date]],"dddd")</f>
        <v>Monday</v>
      </c>
      <c r="O20" s="63" t="str">
        <f>TEXT(Table6[[#This Row],[date]],"yyyy")</f>
        <v>2018</v>
      </c>
      <c r="P20" s="56" t="s">
        <v>1073</v>
      </c>
      <c r="Q20">
        <v>78</v>
      </c>
      <c r="R20">
        <v>1</v>
      </c>
    </row>
    <row r="21" spans="8:18">
      <c r="H21" s="63">
        <v>19</v>
      </c>
      <c r="I21" s="63">
        <f t="shared" si="0"/>
        <v>84</v>
      </c>
      <c r="J21" s="63">
        <f t="shared" si="1"/>
        <v>238</v>
      </c>
      <c r="K21" s="63" t="s">
        <v>1089</v>
      </c>
      <c r="L21" s="83">
        <v>43412</v>
      </c>
      <c r="M21" s="63" t="str">
        <f>TEXT(Table6[[#This Row],[date]],"mmmm")</f>
        <v>November</v>
      </c>
      <c r="N21" s="63" t="str">
        <f>TEXT(Table6[[#This Row],[date]],"dddd")</f>
        <v>Thursday</v>
      </c>
      <c r="O21" s="63" t="str">
        <f>TEXT(Table6[[#This Row],[date]],"yyyy")</f>
        <v>2018</v>
      </c>
      <c r="P21" s="56" t="s">
        <v>1074</v>
      </c>
      <c r="Q21">
        <v>88</v>
      </c>
      <c r="R21">
        <v>1</v>
      </c>
    </row>
    <row r="22" spans="8:18">
      <c r="H22" s="63">
        <v>20</v>
      </c>
      <c r="I22" s="63">
        <f t="shared" si="0"/>
        <v>88</v>
      </c>
      <c r="J22" s="63">
        <f t="shared" si="1"/>
        <v>248</v>
      </c>
      <c r="K22" s="63" t="s">
        <v>1090</v>
      </c>
      <c r="L22" s="80">
        <v>43429</v>
      </c>
      <c r="M22" s="63" t="str">
        <f>TEXT(Table6[[#This Row],[date]],"mmmm")</f>
        <v>November</v>
      </c>
      <c r="N22" s="63" t="str">
        <f>TEXT(Table6[[#This Row],[date]],"dddd")</f>
        <v>Sunday</v>
      </c>
      <c r="O22" s="63" t="str">
        <f>TEXT(Table6[[#This Row],[date]],"yyyy")</f>
        <v>2018</v>
      </c>
      <c r="P22" s="56" t="s">
        <v>1075</v>
      </c>
      <c r="Q22">
        <v>98</v>
      </c>
      <c r="R22">
        <v>1</v>
      </c>
    </row>
    <row r="23" spans="8:18">
      <c r="H23" s="63">
        <v>21</v>
      </c>
      <c r="I23" s="63">
        <f t="shared" si="0"/>
        <v>92</v>
      </c>
      <c r="J23" s="63">
        <f t="shared" si="1"/>
        <v>258</v>
      </c>
      <c r="K23" s="63" t="s">
        <v>1091</v>
      </c>
      <c r="L23" s="83">
        <v>43446</v>
      </c>
      <c r="M23" s="63" t="str">
        <f>TEXT(Table6[[#This Row],[date]],"mmmm")</f>
        <v>December</v>
      </c>
      <c r="N23" s="63" t="str">
        <f>TEXT(Table6[[#This Row],[date]],"dddd")</f>
        <v>Wednesday</v>
      </c>
      <c r="O23" s="63" t="str">
        <f>TEXT(Table6[[#This Row],[date]],"yyyy")</f>
        <v>2018</v>
      </c>
      <c r="P23" s="56" t="s">
        <v>1076</v>
      </c>
      <c r="Q23">
        <v>108</v>
      </c>
      <c r="R23">
        <v>1</v>
      </c>
    </row>
    <row r="24" spans="8:18">
      <c r="H24" s="63">
        <v>22</v>
      </c>
      <c r="I24" s="63">
        <f t="shared" si="0"/>
        <v>96</v>
      </c>
      <c r="J24" s="63">
        <f t="shared" si="1"/>
        <v>268</v>
      </c>
      <c r="K24" s="63" t="s">
        <v>1092</v>
      </c>
      <c r="L24" s="80">
        <v>43463</v>
      </c>
      <c r="M24" s="63" t="str">
        <f>TEXT(Table6[[#This Row],[date]],"mmmm")</f>
        <v>December</v>
      </c>
      <c r="N24" s="63" t="str">
        <f>TEXT(Table6[[#This Row],[date]],"dddd")</f>
        <v>Saturday</v>
      </c>
      <c r="O24" s="63" t="str">
        <f>TEXT(Table6[[#This Row],[date]],"yyyy")</f>
        <v>2018</v>
      </c>
      <c r="P24" s="56" t="s">
        <v>1077</v>
      </c>
      <c r="Q24">
        <v>118</v>
      </c>
      <c r="R24">
        <v>1</v>
      </c>
    </row>
    <row r="25" spans="8:18">
      <c r="H25" s="63">
        <v>23</v>
      </c>
      <c r="I25" s="63">
        <f t="shared" si="0"/>
        <v>100</v>
      </c>
      <c r="J25" s="63">
        <f t="shared" si="1"/>
        <v>278</v>
      </c>
      <c r="K25" s="63" t="s">
        <v>1093</v>
      </c>
      <c r="L25" s="83">
        <v>43480</v>
      </c>
      <c r="M25" s="63" t="str">
        <f>TEXT(Table6[[#This Row],[date]],"mmmm")</f>
        <v>January</v>
      </c>
      <c r="N25" s="63" t="str">
        <f>TEXT(Table6[[#This Row],[date]],"dddd")</f>
        <v>Tuesday</v>
      </c>
      <c r="O25" s="63" t="str">
        <f>TEXT(Table6[[#This Row],[date]],"yyyy")</f>
        <v>2019</v>
      </c>
      <c r="P25" s="56" t="s">
        <v>1078</v>
      </c>
      <c r="Q25">
        <v>128</v>
      </c>
      <c r="R25">
        <v>1</v>
      </c>
    </row>
    <row r="26" spans="8:18">
      <c r="H26" s="63">
        <v>24</v>
      </c>
      <c r="I26" s="63">
        <f t="shared" si="0"/>
        <v>104</v>
      </c>
      <c r="J26" s="63">
        <f t="shared" si="1"/>
        <v>288</v>
      </c>
      <c r="K26" s="63" t="s">
        <v>1094</v>
      </c>
      <c r="L26" s="80">
        <v>43497</v>
      </c>
      <c r="M26" s="63" t="str">
        <f>TEXT(Table6[[#This Row],[date]],"mmmm")</f>
        <v>February</v>
      </c>
      <c r="N26" s="63" t="str">
        <f>TEXT(Table6[[#This Row],[date]],"dddd")</f>
        <v>Friday</v>
      </c>
      <c r="O26" s="63" t="str">
        <f>TEXT(Table6[[#This Row],[date]],"yyyy")</f>
        <v>2019</v>
      </c>
      <c r="P26" s="56" t="s">
        <v>1079</v>
      </c>
      <c r="Q26">
        <v>138</v>
      </c>
      <c r="R26">
        <v>1</v>
      </c>
    </row>
    <row r="27" spans="8:18">
      <c r="H27" s="63">
        <v>25</v>
      </c>
      <c r="I27" s="63">
        <f t="shared" si="0"/>
        <v>108</v>
      </c>
      <c r="J27" s="63">
        <f t="shared" si="1"/>
        <v>298</v>
      </c>
      <c r="K27" s="63" t="s">
        <v>1095</v>
      </c>
      <c r="L27" s="83">
        <v>43514</v>
      </c>
      <c r="M27" s="63" t="str">
        <f>TEXT(Table6[[#This Row],[date]],"mmmm")</f>
        <v>February</v>
      </c>
      <c r="N27" s="63" t="str">
        <f>TEXT(Table6[[#This Row],[date]],"dddd")</f>
        <v>Monday</v>
      </c>
      <c r="O27" s="63" t="str">
        <f>TEXT(Table6[[#This Row],[date]],"yyyy")</f>
        <v>2019</v>
      </c>
      <c r="P27" s="56" t="s">
        <v>1080</v>
      </c>
      <c r="Q27">
        <v>148</v>
      </c>
      <c r="R27">
        <v>1</v>
      </c>
    </row>
    <row r="28" spans="8:18">
      <c r="H28" s="63">
        <v>26</v>
      </c>
      <c r="I28" s="63">
        <f t="shared" si="0"/>
        <v>112</v>
      </c>
      <c r="J28" s="63">
        <f t="shared" si="1"/>
        <v>308</v>
      </c>
      <c r="K28" s="63" t="s">
        <v>1096</v>
      </c>
      <c r="L28" s="80">
        <v>43531</v>
      </c>
      <c r="M28" s="63" t="str">
        <f>TEXT(Table6[[#This Row],[date]],"mmmm")</f>
        <v>March</v>
      </c>
      <c r="N28" s="63" t="str">
        <f>TEXT(Table6[[#This Row],[date]],"dddd")</f>
        <v>Thursday</v>
      </c>
      <c r="O28" s="63" t="str">
        <f>TEXT(Table6[[#This Row],[date]],"yyyy")</f>
        <v>2019</v>
      </c>
      <c r="P28" s="56" t="s">
        <v>1081</v>
      </c>
      <c r="Q28">
        <v>158</v>
      </c>
      <c r="R28">
        <v>1</v>
      </c>
    </row>
    <row r="29" spans="8:18">
      <c r="P29" s="56" t="s">
        <v>1082</v>
      </c>
      <c r="Q29">
        <v>168</v>
      </c>
      <c r="R29">
        <v>1</v>
      </c>
    </row>
    <row r="30" spans="8:18">
      <c r="P30" s="56" t="s">
        <v>1083</v>
      </c>
      <c r="Q30">
        <v>178</v>
      </c>
      <c r="R30">
        <v>1</v>
      </c>
    </row>
    <row r="31" spans="8:18">
      <c r="P31" s="56" t="s">
        <v>1084</v>
      </c>
      <c r="Q31">
        <v>188</v>
      </c>
      <c r="R31">
        <v>1</v>
      </c>
    </row>
    <row r="32" spans="8:18">
      <c r="P32" s="56" t="s">
        <v>1085</v>
      </c>
      <c r="Q32">
        <v>198</v>
      </c>
      <c r="R32">
        <v>1</v>
      </c>
    </row>
    <row r="33" spans="1:18">
      <c r="P33" s="56" t="s">
        <v>1086</v>
      </c>
      <c r="Q33">
        <v>208</v>
      </c>
      <c r="R33">
        <v>1</v>
      </c>
    </row>
    <row r="34" spans="1:18">
      <c r="P34" s="56" t="s">
        <v>1087</v>
      </c>
      <c r="Q34">
        <v>218</v>
      </c>
      <c r="R34">
        <v>1</v>
      </c>
    </row>
    <row r="35" spans="1:18">
      <c r="P35" s="56" t="s">
        <v>1088</v>
      </c>
      <c r="Q35">
        <v>228</v>
      </c>
      <c r="R35">
        <v>1</v>
      </c>
    </row>
    <row r="36" spans="1:18">
      <c r="P36" s="56" t="s">
        <v>1089</v>
      </c>
      <c r="Q36">
        <v>238</v>
      </c>
      <c r="R36">
        <v>1</v>
      </c>
    </row>
    <row r="37" spans="1:18">
      <c r="P37" s="56" t="s">
        <v>1090</v>
      </c>
      <c r="Q37">
        <v>248</v>
      </c>
      <c r="R37">
        <v>1</v>
      </c>
    </row>
    <row r="38" spans="1:18">
      <c r="P38" s="56" t="s">
        <v>1091</v>
      </c>
      <c r="Q38">
        <v>258</v>
      </c>
      <c r="R38">
        <v>1</v>
      </c>
    </row>
    <row r="39" spans="1:18">
      <c r="P39" s="56" t="s">
        <v>1092</v>
      </c>
      <c r="Q39">
        <v>268</v>
      </c>
      <c r="R39">
        <v>1</v>
      </c>
    </row>
    <row r="40" spans="1:18">
      <c r="P40" s="56" t="s">
        <v>1093</v>
      </c>
      <c r="Q40">
        <v>278</v>
      </c>
      <c r="R40">
        <v>1</v>
      </c>
    </row>
    <row r="41" spans="1:18">
      <c r="P41" s="56" t="s">
        <v>1094</v>
      </c>
      <c r="Q41">
        <v>288</v>
      </c>
      <c r="R41">
        <v>1</v>
      </c>
    </row>
    <row r="42" spans="1:18">
      <c r="A42" s="118" t="s">
        <v>1119</v>
      </c>
      <c r="B42" s="118"/>
      <c r="C42" s="118"/>
      <c r="D42" s="118"/>
      <c r="E42" s="118"/>
      <c r="P42" s="56" t="s">
        <v>1095</v>
      </c>
      <c r="Q42">
        <v>298</v>
      </c>
      <c r="R42">
        <v>1</v>
      </c>
    </row>
    <row r="43" spans="1:18">
      <c r="A43" s="118"/>
      <c r="B43" s="118"/>
      <c r="C43" s="118"/>
      <c r="D43" s="118"/>
      <c r="E43" s="118"/>
      <c r="P43" s="56" t="s">
        <v>1096</v>
      </c>
      <c r="Q43">
        <v>308</v>
      </c>
      <c r="R43">
        <v>1</v>
      </c>
    </row>
    <row r="44" spans="1:18">
      <c r="A44" s="118"/>
      <c r="B44" s="118"/>
      <c r="C44" s="118"/>
      <c r="D44" s="118"/>
      <c r="E44" s="118"/>
      <c r="G44" s="28" t="s">
        <v>1121</v>
      </c>
      <c r="H44" s="28"/>
      <c r="I44" s="28"/>
      <c r="P44" s="56" t="s">
        <v>894</v>
      </c>
      <c r="Q44">
        <v>4758</v>
      </c>
      <c r="R44">
        <v>26</v>
      </c>
    </row>
    <row r="45" spans="1:18">
      <c r="G45" s="55" t="s">
        <v>893</v>
      </c>
      <c r="H45" t="s">
        <v>1108</v>
      </c>
      <c r="I45" t="s">
        <v>1130</v>
      </c>
      <c r="J45">
        <v>251</v>
      </c>
    </row>
    <row r="46" spans="1:18">
      <c r="A46" t="s">
        <v>1120</v>
      </c>
      <c r="G46" s="56" t="s">
        <v>1122</v>
      </c>
      <c r="H46">
        <v>498</v>
      </c>
      <c r="I46">
        <f>GETPIVOTDATA("amount",$G$45,"duration",0)+$J45</f>
        <v>749</v>
      </c>
    </row>
    <row r="47" spans="1:18">
      <c r="G47" s="56" t="s">
        <v>1123</v>
      </c>
      <c r="H47">
        <v>1422</v>
      </c>
      <c r="I47">
        <f t="shared" ref="I47:I50" si="2">GETPIVOTDATA("amount",$G$45,"duration",0)+$J46</f>
        <v>498</v>
      </c>
    </row>
    <row r="48" spans="1:18">
      <c r="G48" s="56" t="s">
        <v>1124</v>
      </c>
      <c r="H48">
        <v>2232</v>
      </c>
      <c r="I48">
        <f t="shared" si="2"/>
        <v>498</v>
      </c>
    </row>
    <row r="49" spans="1:10">
      <c r="G49" s="56" t="s">
        <v>1125</v>
      </c>
      <c r="H49">
        <v>606</v>
      </c>
      <c r="I49">
        <f t="shared" si="2"/>
        <v>498</v>
      </c>
    </row>
    <row r="50" spans="1:10">
      <c r="G50" s="56" t="s">
        <v>894</v>
      </c>
      <c r="H50">
        <v>4758</v>
      </c>
      <c r="I50">
        <f t="shared" si="2"/>
        <v>498</v>
      </c>
    </row>
    <row r="54" spans="1:10">
      <c r="A54" t="s">
        <v>1127</v>
      </c>
      <c r="C54" t="s">
        <v>1128</v>
      </c>
      <c r="J54" t="s">
        <v>1126</v>
      </c>
    </row>
    <row r="56" spans="1:10">
      <c r="A56" t="s">
        <v>1129</v>
      </c>
    </row>
    <row r="58" spans="1:10">
      <c r="A58" t="s">
        <v>1131</v>
      </c>
      <c r="C58" t="s">
        <v>1132</v>
      </c>
    </row>
    <row r="66" spans="1:5" ht="18" customHeight="1">
      <c r="A66" s="119" t="s">
        <v>1133</v>
      </c>
      <c r="B66" s="119"/>
      <c r="C66" s="119"/>
      <c r="D66" s="119"/>
      <c r="E66" s="119"/>
    </row>
    <row r="67" spans="1:5" ht="18" customHeight="1">
      <c r="A67" s="119"/>
      <c r="B67" s="119"/>
      <c r="C67" s="119"/>
      <c r="D67" s="119"/>
      <c r="E67" s="119"/>
    </row>
    <row r="68" spans="1:5" ht="18" customHeight="1">
      <c r="A68" s="119"/>
      <c r="B68" s="119"/>
      <c r="C68" s="119"/>
      <c r="D68" s="119"/>
      <c r="E68" s="119"/>
    </row>
    <row r="71" spans="1:5">
      <c r="A71" t="s">
        <v>1134</v>
      </c>
      <c r="C71" t="s">
        <v>1135</v>
      </c>
    </row>
    <row r="72" spans="1:5">
      <c r="C72" t="s">
        <v>1136</v>
      </c>
    </row>
    <row r="73" spans="1:5">
      <c r="C73" t="s">
        <v>1137</v>
      </c>
    </row>
    <row r="74" spans="1:5">
      <c r="C74" t="s">
        <v>1138</v>
      </c>
    </row>
    <row r="75" spans="1:5">
      <c r="C75" t="s">
        <v>1139</v>
      </c>
    </row>
    <row r="76" spans="1:5">
      <c r="C76" t="s">
        <v>1140</v>
      </c>
    </row>
    <row r="81" spans="1:8">
      <c r="A81" s="118" t="s">
        <v>1141</v>
      </c>
      <c r="B81" s="118"/>
      <c r="C81" s="118"/>
      <c r="D81" s="118"/>
      <c r="E81" s="118"/>
      <c r="F81" s="118"/>
      <c r="G81" s="118"/>
    </row>
    <row r="82" spans="1:8">
      <c r="A82" s="118"/>
      <c r="B82" s="118"/>
      <c r="C82" s="118"/>
      <c r="D82" s="118"/>
      <c r="E82" s="118"/>
      <c r="F82" s="118"/>
      <c r="G82" s="118"/>
    </row>
    <row r="83" spans="1:8">
      <c r="A83" s="118"/>
      <c r="B83" s="118"/>
      <c r="C83" s="118"/>
      <c r="D83" s="118"/>
      <c r="E83" s="118"/>
      <c r="F83" s="118"/>
      <c r="G83" s="118"/>
    </row>
    <row r="84" spans="1:8">
      <c r="A84" s="118"/>
      <c r="B84" s="118"/>
      <c r="C84" s="118"/>
      <c r="D84" s="118"/>
      <c r="E84" s="118"/>
      <c r="F84" s="118"/>
      <c r="G84" s="118"/>
    </row>
    <row r="85" spans="1:8">
      <c r="A85" s="118"/>
      <c r="B85" s="118"/>
      <c r="C85" s="118"/>
      <c r="D85" s="118"/>
      <c r="E85" s="118"/>
      <c r="F85" s="118"/>
      <c r="G85" s="118"/>
    </row>
    <row r="87" spans="1:8">
      <c r="A87" t="s">
        <v>1142</v>
      </c>
      <c r="E87" s="41" t="s">
        <v>1144</v>
      </c>
      <c r="F87" s="41"/>
    </row>
    <row r="88" spans="1:8">
      <c r="A88" t="s">
        <v>1143</v>
      </c>
      <c r="G88" s="36" t="s">
        <v>1147</v>
      </c>
    </row>
    <row r="89" spans="1:8">
      <c r="E89" s="84">
        <v>1</v>
      </c>
      <c r="F89" s="84" t="s">
        <v>43</v>
      </c>
      <c r="G89" t="str">
        <f>IF(E89&lt;&gt;E90,F89,CONCATENATE(F89," ",F90))</f>
        <v>navin</v>
      </c>
    </row>
    <row r="90" spans="1:8">
      <c r="E90" s="85">
        <v>2</v>
      </c>
      <c r="F90" s="85" t="s">
        <v>44</v>
      </c>
      <c r="G90" t="str">
        <f t="shared" ref="G90:G94" si="3">IF(E90&lt;&gt;E91,F90,CONCATENATE(F90," ",F91))</f>
        <v>kumar</v>
      </c>
      <c r="H90" t="str">
        <f t="shared" ref="H90:H94" si="4">IF(E90&lt;&gt;E91,CONCATENATE(E90," ",G90," ")," ")</f>
        <v xml:space="preserve">2 kumar </v>
      </c>
    </row>
    <row r="91" spans="1:8">
      <c r="E91" s="84">
        <v>3</v>
      </c>
      <c r="F91" s="85" t="s">
        <v>45</v>
      </c>
      <c r="G91" t="str">
        <f t="shared" si="3"/>
        <v>singh</v>
      </c>
      <c r="H91" t="str">
        <f t="shared" si="4"/>
        <v xml:space="preserve">3 singh </v>
      </c>
    </row>
    <row r="92" spans="1:8">
      <c r="E92" s="85">
        <v>4</v>
      </c>
      <c r="F92" s="85" t="s">
        <v>1145</v>
      </c>
      <c r="G92" t="str">
        <f t="shared" si="3"/>
        <v>kundir</v>
      </c>
      <c r="H92" t="str">
        <f t="shared" si="4"/>
        <v xml:space="preserve">4 kundir </v>
      </c>
    </row>
    <row r="93" spans="1:8">
      <c r="E93" s="84">
        <v>5</v>
      </c>
      <c r="F93" s="85" t="s">
        <v>276</v>
      </c>
      <c r="G93" t="str">
        <f t="shared" si="3"/>
        <v>pawan</v>
      </c>
      <c r="H93" t="str">
        <f t="shared" si="4"/>
        <v xml:space="preserve">5 pawan </v>
      </c>
    </row>
    <row r="94" spans="1:8">
      <c r="E94" s="85">
        <v>6</v>
      </c>
      <c r="F94" s="85" t="s">
        <v>1146</v>
      </c>
      <c r="G94" t="str">
        <f t="shared" si="3"/>
        <v>nirma</v>
      </c>
      <c r="H94" t="str">
        <f t="shared" si="4"/>
        <v xml:space="preserve">6 nirma </v>
      </c>
    </row>
    <row r="97" spans="1:16">
      <c r="E97" t="s">
        <v>1148</v>
      </c>
    </row>
    <row r="98" spans="1:16">
      <c r="E98" t="s">
        <v>175</v>
      </c>
    </row>
    <row r="99" spans="1:16">
      <c r="A99" t="s">
        <v>1149</v>
      </c>
    </row>
    <row r="100" spans="1:16">
      <c r="A100" t="s">
        <v>1150</v>
      </c>
    </row>
    <row r="102" spans="1:16">
      <c r="A102" t="s">
        <v>1151</v>
      </c>
      <c r="C102" t="s">
        <v>1152</v>
      </c>
    </row>
    <row r="104" spans="1:16">
      <c r="A104" t="s">
        <v>1153</v>
      </c>
      <c r="H104" t="s">
        <v>1154</v>
      </c>
    </row>
    <row r="106" spans="1:16">
      <c r="A106" t="s">
        <v>1155</v>
      </c>
    </row>
    <row r="108" spans="1:16">
      <c r="A108" s="118" t="s">
        <v>1156</v>
      </c>
      <c r="B108" s="118"/>
      <c r="C108" s="118"/>
      <c r="D108" s="118"/>
      <c r="G108" s="81" t="s">
        <v>1163</v>
      </c>
      <c r="H108" s="81" t="s">
        <v>1098</v>
      </c>
      <c r="I108" s="81" t="s">
        <v>1164</v>
      </c>
      <c r="J108" s="81" t="s">
        <v>1165</v>
      </c>
      <c r="K108" s="81" t="s">
        <v>336</v>
      </c>
      <c r="L108" s="81" t="s">
        <v>1111</v>
      </c>
      <c r="M108" s="81" t="s">
        <v>217</v>
      </c>
      <c r="N108" s="81" t="s">
        <v>224</v>
      </c>
      <c r="O108" s="9" t="s">
        <v>1157</v>
      </c>
    </row>
    <row r="109" spans="1:16">
      <c r="A109" s="118"/>
      <c r="B109" s="118"/>
      <c r="C109" s="118"/>
      <c r="D109" s="118"/>
      <c r="G109" s="63">
        <v>1</v>
      </c>
      <c r="H109" s="63">
        <v>12</v>
      </c>
      <c r="I109" s="63">
        <v>58</v>
      </c>
      <c r="J109" s="63" t="s">
        <v>1071</v>
      </c>
      <c r="K109" s="82">
        <v>43106</v>
      </c>
      <c r="L109" s="63" t="str">
        <f>TEXT(Table611[[#This Row],[date]],"mmmm")</f>
        <v>January</v>
      </c>
      <c r="M109" s="63" t="str">
        <f>TEXT(Table611[[#This Row],[date]],"dddd")</f>
        <v>Saturday</v>
      </c>
      <c r="N109" s="63" t="str">
        <f>TEXT(Table611[[#This Row],[date]],"yyyy")</f>
        <v>2018</v>
      </c>
      <c r="O109">
        <v>1</v>
      </c>
      <c r="P109" t="s">
        <v>1158</v>
      </c>
    </row>
    <row r="110" spans="1:16">
      <c r="A110" s="118"/>
      <c r="B110" s="118"/>
      <c r="C110" s="118"/>
      <c r="D110" s="118"/>
      <c r="G110" s="63">
        <v>2</v>
      </c>
      <c r="H110" s="63">
        <f>H109+4</f>
        <v>16</v>
      </c>
      <c r="I110" s="63">
        <f>I109+10</f>
        <v>68</v>
      </c>
      <c r="J110" s="63" t="s">
        <v>1072</v>
      </c>
      <c r="K110" s="80">
        <v>43123</v>
      </c>
      <c r="L110" s="63" t="str">
        <f>TEXT(Table611[[#This Row],[date]],"mmmm")</f>
        <v>January</v>
      </c>
      <c r="M110" s="63" t="str">
        <f>TEXT(Table611[[#This Row],[date]],"dddd")</f>
        <v>Tuesday</v>
      </c>
      <c r="N110" s="63" t="str">
        <f>TEXT(Table611[[#This Row],[date]],"yyyy")</f>
        <v>2018</v>
      </c>
      <c r="O110">
        <v>2</v>
      </c>
      <c r="P110" t="s">
        <v>1159</v>
      </c>
    </row>
    <row r="111" spans="1:16">
      <c r="A111" s="118"/>
      <c r="B111" s="118"/>
      <c r="C111" s="118"/>
      <c r="D111" s="118"/>
      <c r="G111" s="63">
        <v>3</v>
      </c>
      <c r="H111" s="63">
        <f t="shared" ref="H111:H134" si="5">H110+4</f>
        <v>20</v>
      </c>
      <c r="I111" s="63">
        <f t="shared" ref="I111:I134" si="6">I110+10</f>
        <v>78</v>
      </c>
      <c r="J111" s="63" t="s">
        <v>1073</v>
      </c>
      <c r="K111" s="83">
        <v>43140</v>
      </c>
      <c r="L111" s="63" t="str">
        <f>TEXT(Table611[[#This Row],[date]],"mmmm")</f>
        <v>February</v>
      </c>
      <c r="M111" s="63" t="str">
        <f>TEXT(Table611[[#This Row],[date]],"dddd")</f>
        <v>Friday</v>
      </c>
      <c r="N111" s="63" t="str">
        <f>TEXT(Table611[[#This Row],[date]],"yyyy")</f>
        <v>2018</v>
      </c>
      <c r="O111">
        <v>3</v>
      </c>
      <c r="P111" t="s">
        <v>1160</v>
      </c>
    </row>
    <row r="112" spans="1:16">
      <c r="G112" s="63">
        <v>4</v>
      </c>
      <c r="H112" s="63">
        <f t="shared" si="5"/>
        <v>24</v>
      </c>
      <c r="I112" s="63">
        <f t="shared" si="6"/>
        <v>88</v>
      </c>
      <c r="J112" s="63" t="s">
        <v>1074</v>
      </c>
      <c r="K112" s="80">
        <v>43157</v>
      </c>
      <c r="L112" s="63" t="str">
        <f>TEXT(Table611[[#This Row],[date]],"mmmm")</f>
        <v>February</v>
      </c>
      <c r="M112" s="63" t="str">
        <f>TEXT(Table611[[#This Row],[date]],"dddd")</f>
        <v>Monday</v>
      </c>
      <c r="N112" s="63" t="str">
        <f>TEXT(Table611[[#This Row],[date]],"yyyy")</f>
        <v>2018</v>
      </c>
      <c r="O112">
        <v>4</v>
      </c>
      <c r="P112" t="s">
        <v>1161</v>
      </c>
    </row>
    <row r="113" spans="7:26">
      <c r="G113" s="63">
        <v>5</v>
      </c>
      <c r="H113" s="63">
        <f t="shared" si="5"/>
        <v>28</v>
      </c>
      <c r="I113" s="63">
        <f t="shared" si="6"/>
        <v>98</v>
      </c>
      <c r="J113" s="63" t="s">
        <v>1075</v>
      </c>
      <c r="K113" s="83">
        <v>43174</v>
      </c>
      <c r="L113" s="63" t="str">
        <f>TEXT(Table611[[#This Row],[date]],"mmmm")</f>
        <v>March</v>
      </c>
      <c r="M113" s="63" t="str">
        <f>TEXT(Table611[[#This Row],[date]],"dddd")</f>
        <v>Thursday</v>
      </c>
      <c r="N113" s="63" t="str">
        <f>TEXT(Table611[[#This Row],[date]],"yyyy")</f>
        <v>2018</v>
      </c>
      <c r="P113" s="63" t="s">
        <v>1162</v>
      </c>
      <c r="Q113" s="63"/>
      <c r="R113" s="63"/>
    </row>
    <row r="114" spans="7:26">
      <c r="G114" s="63">
        <v>6</v>
      </c>
      <c r="H114" s="63">
        <f t="shared" si="5"/>
        <v>32</v>
      </c>
      <c r="I114" s="63">
        <f t="shared" si="6"/>
        <v>108</v>
      </c>
      <c r="J114" s="63" t="s">
        <v>1076</v>
      </c>
      <c r="K114" s="80">
        <v>43191</v>
      </c>
      <c r="L114" s="63" t="str">
        <f>TEXT(Table611[[#This Row],[date]],"mmmm")</f>
        <v>April</v>
      </c>
      <c r="M114" s="63" t="str">
        <f>TEXT(Table611[[#This Row],[date]],"dddd")</f>
        <v>Sunday</v>
      </c>
      <c r="N114" s="63" t="str">
        <f>TEXT(Table611[[#This Row],[date]],"yyyy")</f>
        <v>2018</v>
      </c>
    </row>
    <row r="115" spans="7:26">
      <c r="G115" s="63">
        <v>7</v>
      </c>
      <c r="H115" s="63">
        <f t="shared" si="5"/>
        <v>36</v>
      </c>
      <c r="I115" s="63">
        <f t="shared" si="6"/>
        <v>118</v>
      </c>
      <c r="J115" s="63" t="s">
        <v>1077</v>
      </c>
      <c r="K115" s="83">
        <v>43208</v>
      </c>
      <c r="L115" s="63" t="str">
        <f>TEXT(Table611[[#This Row],[date]],"mmmm")</f>
        <v>April</v>
      </c>
      <c r="M115" s="63" t="str">
        <f>TEXT(Table611[[#This Row],[date]],"dddd")</f>
        <v>Wednesday</v>
      </c>
      <c r="N115" s="63" t="str">
        <f>TEXT(Table611[[#This Row],[date]],"yyyy")</f>
        <v>2018</v>
      </c>
    </row>
    <row r="116" spans="7:26">
      <c r="G116" s="63">
        <v>8</v>
      </c>
      <c r="H116" s="63">
        <f t="shared" si="5"/>
        <v>40</v>
      </c>
      <c r="I116" s="63">
        <f t="shared" si="6"/>
        <v>128</v>
      </c>
      <c r="J116" s="63" t="s">
        <v>1078</v>
      </c>
      <c r="K116" s="80">
        <v>43225</v>
      </c>
      <c r="L116" s="63" t="str">
        <f>TEXT(Table611[[#This Row],[date]],"mmmm")</f>
        <v>May</v>
      </c>
      <c r="M116" s="63" t="str">
        <f>TEXT(Table611[[#This Row],[date]],"dddd")</f>
        <v>Saturday</v>
      </c>
      <c r="N116" s="63" t="str">
        <f>TEXT(Table611[[#This Row],[date]],"yyyy")</f>
        <v>2018</v>
      </c>
      <c r="P116" t="s">
        <v>1166</v>
      </c>
      <c r="S116" t="s">
        <v>1181</v>
      </c>
      <c r="V116" t="s">
        <v>1182</v>
      </c>
      <c r="Y116" t="s">
        <v>1186</v>
      </c>
    </row>
    <row r="117" spans="7:26">
      <c r="G117" s="63">
        <v>9</v>
      </c>
      <c r="H117" s="63">
        <f t="shared" si="5"/>
        <v>44</v>
      </c>
      <c r="I117" s="63">
        <f t="shared" si="6"/>
        <v>138</v>
      </c>
      <c r="J117" s="63" t="s">
        <v>1079</v>
      </c>
      <c r="K117" s="83">
        <v>43242</v>
      </c>
      <c r="L117" s="63" t="str">
        <f>TEXT(Table611[[#This Row],[date]],"mmmm")</f>
        <v>May</v>
      </c>
      <c r="M117" s="63" t="str">
        <f>TEXT(Table611[[#This Row],[date]],"dddd")</f>
        <v>Tuesday</v>
      </c>
      <c r="N117" s="63" t="str">
        <f>TEXT(Table611[[#This Row],[date]],"yyyy")</f>
        <v>2018</v>
      </c>
      <c r="P117" s="55" t="s">
        <v>893</v>
      </c>
      <c r="Q117" t="s">
        <v>1167</v>
      </c>
      <c r="S117" s="55" t="s">
        <v>893</v>
      </c>
      <c r="T117" t="s">
        <v>1167</v>
      </c>
      <c r="V117" s="55" t="s">
        <v>893</v>
      </c>
      <c r="W117" t="s">
        <v>1167</v>
      </c>
      <c r="Y117" s="55" t="s">
        <v>893</v>
      </c>
      <c r="Z117" t="s">
        <v>1167</v>
      </c>
    </row>
    <row r="118" spans="7:26">
      <c r="G118" s="63">
        <v>10</v>
      </c>
      <c r="H118" s="63">
        <f t="shared" si="5"/>
        <v>48</v>
      </c>
      <c r="I118" s="63">
        <f t="shared" si="6"/>
        <v>148</v>
      </c>
      <c r="J118" s="63" t="s">
        <v>1080</v>
      </c>
      <c r="K118" s="80">
        <v>43259</v>
      </c>
      <c r="L118" s="63" t="str">
        <f>TEXT(Table611[[#This Row],[date]],"mmmm")</f>
        <v>June</v>
      </c>
      <c r="M118" s="63" t="str">
        <f>TEXT(Table611[[#This Row],[date]],"dddd")</f>
        <v>Friday</v>
      </c>
      <c r="N118" s="63" t="str">
        <f>TEXT(Table611[[#This Row],[date]],"yyyy")</f>
        <v>2018</v>
      </c>
      <c r="P118" s="56" t="s">
        <v>1183</v>
      </c>
      <c r="Q118">
        <v>1030</v>
      </c>
      <c r="S118" s="56" t="s">
        <v>1168</v>
      </c>
      <c r="V118" s="56" t="s">
        <v>1183</v>
      </c>
      <c r="W118">
        <v>1030</v>
      </c>
      <c r="Y118" s="56" t="s">
        <v>1071</v>
      </c>
      <c r="Z118">
        <v>58</v>
      </c>
    </row>
    <row r="119" spans="7:26">
      <c r="G119" s="63">
        <v>11</v>
      </c>
      <c r="H119" s="63">
        <f t="shared" si="5"/>
        <v>52</v>
      </c>
      <c r="I119" s="63">
        <f t="shared" si="6"/>
        <v>158</v>
      </c>
      <c r="J119" s="63" t="s">
        <v>1081</v>
      </c>
      <c r="K119" s="83">
        <v>43276</v>
      </c>
      <c r="L119" s="63" t="str">
        <f>TEXT(Table611[[#This Row],[date]],"mmmm")</f>
        <v>June</v>
      </c>
      <c r="M119" s="63" t="str">
        <f>TEXT(Table611[[#This Row],[date]],"dddd")</f>
        <v>Monday</v>
      </c>
      <c r="N119" s="63" t="str">
        <f>TEXT(Table611[[#This Row],[date]],"yyyy")</f>
        <v>2018</v>
      </c>
      <c r="P119" s="56" t="s">
        <v>1184</v>
      </c>
      <c r="Q119">
        <v>2030</v>
      </c>
      <c r="S119" s="86" t="s">
        <v>1169</v>
      </c>
      <c r="T119">
        <v>126</v>
      </c>
      <c r="V119" s="86" t="s">
        <v>1169</v>
      </c>
      <c r="W119">
        <v>126</v>
      </c>
      <c r="Y119" s="56" t="s">
        <v>1072</v>
      </c>
      <c r="Z119">
        <v>68</v>
      </c>
    </row>
    <row r="120" spans="7:26">
      <c r="G120" s="63">
        <v>12</v>
      </c>
      <c r="H120" s="63">
        <f t="shared" si="5"/>
        <v>56</v>
      </c>
      <c r="I120" s="63">
        <f t="shared" si="6"/>
        <v>168</v>
      </c>
      <c r="J120" s="63" t="s">
        <v>1082</v>
      </c>
      <c r="K120" s="80">
        <v>43293</v>
      </c>
      <c r="L120" s="63" t="str">
        <f>TEXT(Table611[[#This Row],[date]],"mmmm")</f>
        <v>July</v>
      </c>
      <c r="M120" s="63" t="str">
        <f>TEXT(Table611[[#This Row],[date]],"dddd")</f>
        <v>Thursday</v>
      </c>
      <c r="N120" s="63" t="str">
        <f>TEXT(Table611[[#This Row],[date]],"yyyy")</f>
        <v>2018</v>
      </c>
      <c r="P120" s="56" t="s">
        <v>1185</v>
      </c>
      <c r="Q120">
        <v>1698</v>
      </c>
      <c r="S120" s="86" t="s">
        <v>1170</v>
      </c>
      <c r="T120">
        <v>166</v>
      </c>
      <c r="V120" s="86" t="s">
        <v>1170</v>
      </c>
      <c r="W120">
        <v>166</v>
      </c>
      <c r="Y120" s="56" t="s">
        <v>1073</v>
      </c>
      <c r="Z120">
        <v>78</v>
      </c>
    </row>
    <row r="121" spans="7:26">
      <c r="G121" s="63">
        <v>13</v>
      </c>
      <c r="H121" s="63">
        <f t="shared" si="5"/>
        <v>60</v>
      </c>
      <c r="I121" s="63">
        <f t="shared" si="6"/>
        <v>178</v>
      </c>
      <c r="J121" s="63" t="s">
        <v>1083</v>
      </c>
      <c r="K121" s="83">
        <v>43310</v>
      </c>
      <c r="L121" s="63" t="str">
        <f>TEXT(Table611[[#This Row],[date]],"mmmm")</f>
        <v>July</v>
      </c>
      <c r="M121" s="63" t="str">
        <f>TEXT(Table611[[#This Row],[date]],"dddd")</f>
        <v>Sunday</v>
      </c>
      <c r="N121" s="63" t="str">
        <f>TEXT(Table611[[#This Row],[date]],"yyyy")</f>
        <v>2018</v>
      </c>
      <c r="P121" s="56" t="s">
        <v>894</v>
      </c>
      <c r="Q121">
        <v>4758</v>
      </c>
      <c r="S121" s="86" t="s">
        <v>1171</v>
      </c>
      <c r="T121">
        <v>98</v>
      </c>
      <c r="V121" s="86" t="s">
        <v>1171</v>
      </c>
      <c r="W121">
        <v>98</v>
      </c>
      <c r="Y121" s="56" t="s">
        <v>1074</v>
      </c>
      <c r="Z121">
        <v>88</v>
      </c>
    </row>
    <row r="122" spans="7:26">
      <c r="G122" s="63">
        <v>14</v>
      </c>
      <c r="H122" s="63">
        <f t="shared" si="5"/>
        <v>64</v>
      </c>
      <c r="I122" s="63">
        <f t="shared" si="6"/>
        <v>188</v>
      </c>
      <c r="J122" s="63" t="s">
        <v>1084</v>
      </c>
      <c r="K122" s="80">
        <v>43327</v>
      </c>
      <c r="L122" s="63" t="str">
        <f>TEXT(Table611[[#This Row],[date]],"mmmm")</f>
        <v>August</v>
      </c>
      <c r="M122" s="63" t="str">
        <f>TEXT(Table611[[#This Row],[date]],"dddd")</f>
        <v>Wednesday</v>
      </c>
      <c r="N122" s="63" t="str">
        <f>TEXT(Table611[[#This Row],[date]],"yyyy")</f>
        <v>2018</v>
      </c>
      <c r="S122" s="86" t="s">
        <v>1172</v>
      </c>
      <c r="T122">
        <v>226</v>
      </c>
      <c r="V122" s="86" t="s">
        <v>1172</v>
      </c>
      <c r="W122">
        <v>226</v>
      </c>
      <c r="Y122" s="56" t="s">
        <v>1075</v>
      </c>
      <c r="Z122">
        <v>98</v>
      </c>
    </row>
    <row r="123" spans="7:26">
      <c r="G123" s="63">
        <v>15</v>
      </c>
      <c r="H123" s="63">
        <f t="shared" si="5"/>
        <v>68</v>
      </c>
      <c r="I123" s="63">
        <f t="shared" si="6"/>
        <v>198</v>
      </c>
      <c r="J123" s="63" t="s">
        <v>1085</v>
      </c>
      <c r="K123" s="83">
        <v>43344</v>
      </c>
      <c r="L123" s="63" t="str">
        <f>TEXT(Table611[[#This Row],[date]],"mmmm")</f>
        <v>September</v>
      </c>
      <c r="M123" s="63" t="str">
        <f>TEXT(Table611[[#This Row],[date]],"dddd")</f>
        <v>Saturday</v>
      </c>
      <c r="N123" s="63" t="str">
        <f>TEXT(Table611[[#This Row],[date]],"yyyy")</f>
        <v>2018</v>
      </c>
      <c r="S123" s="86" t="s">
        <v>1118</v>
      </c>
      <c r="T123">
        <v>266</v>
      </c>
      <c r="V123" s="86" t="s">
        <v>1118</v>
      </c>
      <c r="W123">
        <v>266</v>
      </c>
      <c r="Y123" s="56" t="s">
        <v>1076</v>
      </c>
      <c r="Z123">
        <v>108</v>
      </c>
    </row>
    <row r="124" spans="7:26">
      <c r="G124" s="63">
        <v>16</v>
      </c>
      <c r="H124" s="63">
        <f t="shared" si="5"/>
        <v>72</v>
      </c>
      <c r="I124" s="63">
        <f t="shared" si="6"/>
        <v>208</v>
      </c>
      <c r="J124" s="63" t="s">
        <v>1086</v>
      </c>
      <c r="K124" s="80">
        <v>43361</v>
      </c>
      <c r="L124" s="63" t="str">
        <f>TEXT(Table611[[#This Row],[date]],"mmmm")</f>
        <v>September</v>
      </c>
      <c r="M124" s="63" t="str">
        <f>TEXT(Table611[[#This Row],[date]],"dddd")</f>
        <v>Tuesday</v>
      </c>
      <c r="N124" s="63" t="str">
        <f>TEXT(Table611[[#This Row],[date]],"yyyy")</f>
        <v>2018</v>
      </c>
      <c r="S124" s="86" t="s">
        <v>1173</v>
      </c>
      <c r="T124">
        <v>306</v>
      </c>
      <c r="V124" s="86" t="s">
        <v>1173</v>
      </c>
      <c r="W124">
        <v>148</v>
      </c>
      <c r="Y124" s="56" t="s">
        <v>1077</v>
      </c>
      <c r="Z124">
        <v>118</v>
      </c>
    </row>
    <row r="125" spans="7:26">
      <c r="G125" s="63">
        <v>17</v>
      </c>
      <c r="H125" s="63">
        <f t="shared" si="5"/>
        <v>76</v>
      </c>
      <c r="I125" s="63">
        <f t="shared" si="6"/>
        <v>218</v>
      </c>
      <c r="J125" s="63" t="s">
        <v>1087</v>
      </c>
      <c r="K125" s="83">
        <v>43378</v>
      </c>
      <c r="L125" s="63" t="str">
        <f>TEXT(Table611[[#This Row],[date]],"mmmm")</f>
        <v>October</v>
      </c>
      <c r="M125" s="63" t="str">
        <f>TEXT(Table611[[#This Row],[date]],"dddd")</f>
        <v>Friday</v>
      </c>
      <c r="N125" s="63" t="str">
        <f>TEXT(Table611[[#This Row],[date]],"yyyy")</f>
        <v>2018</v>
      </c>
      <c r="S125" s="86" t="s">
        <v>1174</v>
      </c>
      <c r="T125">
        <v>346</v>
      </c>
      <c r="V125" s="56" t="s">
        <v>1184</v>
      </c>
      <c r="W125">
        <v>2030</v>
      </c>
      <c r="Y125" s="56" t="s">
        <v>1078</v>
      </c>
      <c r="Z125">
        <v>128</v>
      </c>
    </row>
    <row r="126" spans="7:26">
      <c r="G126" s="63">
        <v>18</v>
      </c>
      <c r="H126" s="63">
        <f t="shared" si="5"/>
        <v>80</v>
      </c>
      <c r="I126" s="63">
        <f t="shared" si="6"/>
        <v>228</v>
      </c>
      <c r="J126" s="63" t="s">
        <v>1088</v>
      </c>
      <c r="K126" s="80">
        <v>43395</v>
      </c>
      <c r="L126" s="63" t="str">
        <f>TEXT(Table611[[#This Row],[date]],"mmmm")</f>
        <v>October</v>
      </c>
      <c r="M126" s="63" t="str">
        <f>TEXT(Table611[[#This Row],[date]],"dddd")</f>
        <v>Monday</v>
      </c>
      <c r="N126" s="63" t="str">
        <f>TEXT(Table611[[#This Row],[date]],"yyyy")</f>
        <v>2018</v>
      </c>
      <c r="S126" s="86" t="s">
        <v>1175</v>
      </c>
      <c r="T126">
        <v>188</v>
      </c>
      <c r="V126" s="86" t="s">
        <v>1173</v>
      </c>
      <c r="W126">
        <v>158</v>
      </c>
      <c r="Y126" s="56" t="s">
        <v>1079</v>
      </c>
      <c r="Z126">
        <v>138</v>
      </c>
    </row>
    <row r="127" spans="7:26">
      <c r="G127" s="63">
        <v>19</v>
      </c>
      <c r="H127" s="63">
        <f t="shared" si="5"/>
        <v>84</v>
      </c>
      <c r="I127" s="63">
        <f t="shared" si="6"/>
        <v>238</v>
      </c>
      <c r="J127" s="63" t="s">
        <v>1089</v>
      </c>
      <c r="K127" s="83">
        <v>43412</v>
      </c>
      <c r="L127" s="63" t="str">
        <f>TEXT(Table611[[#This Row],[date]],"mmmm")</f>
        <v>November</v>
      </c>
      <c r="M127" s="63" t="str">
        <f>TEXT(Table611[[#This Row],[date]],"dddd")</f>
        <v>Thursday</v>
      </c>
      <c r="N127" s="63" t="str">
        <f>TEXT(Table611[[#This Row],[date]],"yyyy")</f>
        <v>2018</v>
      </c>
      <c r="S127" s="86" t="s">
        <v>1176</v>
      </c>
      <c r="T127">
        <v>406</v>
      </c>
      <c r="V127" s="86" t="s">
        <v>1174</v>
      </c>
      <c r="W127">
        <v>346</v>
      </c>
      <c r="Y127" s="56" t="s">
        <v>1080</v>
      </c>
      <c r="Z127">
        <v>148</v>
      </c>
    </row>
    <row r="128" spans="7:26">
      <c r="G128" s="63">
        <v>20</v>
      </c>
      <c r="H128" s="63">
        <f t="shared" si="5"/>
        <v>88</v>
      </c>
      <c r="I128" s="63">
        <f t="shared" si="6"/>
        <v>248</v>
      </c>
      <c r="J128" s="63" t="s">
        <v>1090</v>
      </c>
      <c r="K128" s="80">
        <v>43429</v>
      </c>
      <c r="L128" s="63" t="str">
        <f>TEXT(Table611[[#This Row],[date]],"mmmm")</f>
        <v>November</v>
      </c>
      <c r="M128" s="63" t="str">
        <f>TEXT(Table611[[#This Row],[date]],"dddd")</f>
        <v>Sunday</v>
      </c>
      <c r="N128" s="63" t="str">
        <f>TEXT(Table611[[#This Row],[date]],"yyyy")</f>
        <v>2018</v>
      </c>
      <c r="S128" s="86" t="s">
        <v>1177</v>
      </c>
      <c r="T128">
        <v>446</v>
      </c>
      <c r="V128" s="86" t="s">
        <v>1175</v>
      </c>
      <c r="W128">
        <v>188</v>
      </c>
      <c r="Y128" s="56" t="s">
        <v>1081</v>
      </c>
      <c r="Z128">
        <v>158</v>
      </c>
    </row>
    <row r="129" spans="7:26">
      <c r="G129" s="63">
        <v>21</v>
      </c>
      <c r="H129" s="63">
        <f t="shared" si="5"/>
        <v>92</v>
      </c>
      <c r="I129" s="63">
        <f t="shared" si="6"/>
        <v>258</v>
      </c>
      <c r="J129" s="63" t="s">
        <v>1091</v>
      </c>
      <c r="K129" s="83">
        <v>43446</v>
      </c>
      <c r="L129" s="63" t="str">
        <f>TEXT(Table611[[#This Row],[date]],"mmmm")</f>
        <v>December</v>
      </c>
      <c r="M129" s="63" t="str">
        <f>TEXT(Table611[[#This Row],[date]],"dddd")</f>
        <v>Wednesday</v>
      </c>
      <c r="N129" s="63" t="str">
        <f>TEXT(Table611[[#This Row],[date]],"yyyy")</f>
        <v>2018</v>
      </c>
      <c r="S129" s="86" t="s">
        <v>1178</v>
      </c>
      <c r="T129">
        <v>486</v>
      </c>
      <c r="V129" s="86" t="s">
        <v>1176</v>
      </c>
      <c r="W129">
        <v>406</v>
      </c>
      <c r="Y129" s="56" t="s">
        <v>1082</v>
      </c>
      <c r="Z129">
        <v>168</v>
      </c>
    </row>
    <row r="130" spans="7:26">
      <c r="G130" s="63">
        <v>22</v>
      </c>
      <c r="H130" s="63">
        <f t="shared" si="5"/>
        <v>96</v>
      </c>
      <c r="I130" s="63">
        <f t="shared" si="6"/>
        <v>268</v>
      </c>
      <c r="J130" s="63" t="s">
        <v>1092</v>
      </c>
      <c r="K130" s="80">
        <v>43463</v>
      </c>
      <c r="L130" s="63" t="str">
        <f>TEXT(Table611[[#This Row],[date]],"mmmm")</f>
        <v>December</v>
      </c>
      <c r="M130" s="63" t="str">
        <f>TEXT(Table611[[#This Row],[date]],"dddd")</f>
        <v>Saturday</v>
      </c>
      <c r="N130" s="63" t="str">
        <f>TEXT(Table611[[#This Row],[date]],"yyyy")</f>
        <v>2018</v>
      </c>
      <c r="S130" s="86" t="s">
        <v>1179</v>
      </c>
      <c r="T130">
        <v>526</v>
      </c>
      <c r="V130" s="86" t="s">
        <v>1177</v>
      </c>
      <c r="W130">
        <v>446</v>
      </c>
      <c r="Y130" s="56" t="s">
        <v>1083</v>
      </c>
      <c r="Z130">
        <v>178</v>
      </c>
    </row>
    <row r="131" spans="7:26">
      <c r="G131" s="63">
        <v>23</v>
      </c>
      <c r="H131" s="63">
        <f t="shared" si="5"/>
        <v>100</v>
      </c>
      <c r="I131" s="63">
        <f t="shared" si="6"/>
        <v>278</v>
      </c>
      <c r="J131" s="63" t="s">
        <v>1093</v>
      </c>
      <c r="K131" s="83">
        <v>43480</v>
      </c>
      <c r="L131" s="63" t="str">
        <f>TEXT(Table611[[#This Row],[date]],"mmmm")</f>
        <v>January</v>
      </c>
      <c r="M131" s="63" t="str">
        <f>TEXT(Table611[[#This Row],[date]],"dddd")</f>
        <v>Tuesday</v>
      </c>
      <c r="N131" s="63" t="str">
        <f>TEXT(Table611[[#This Row],[date]],"yyyy")</f>
        <v>2019</v>
      </c>
      <c r="S131" s="56" t="s">
        <v>1180</v>
      </c>
      <c r="V131" s="86" t="s">
        <v>1178</v>
      </c>
      <c r="W131">
        <v>486</v>
      </c>
      <c r="Y131" s="56" t="s">
        <v>1084</v>
      </c>
      <c r="Z131">
        <v>188</v>
      </c>
    </row>
    <row r="132" spans="7:26">
      <c r="G132" s="63">
        <v>24</v>
      </c>
      <c r="H132" s="63">
        <f t="shared" si="5"/>
        <v>104</v>
      </c>
      <c r="I132" s="63">
        <f t="shared" si="6"/>
        <v>288</v>
      </c>
      <c r="J132" s="63" t="s">
        <v>1094</v>
      </c>
      <c r="K132" s="80">
        <v>43497</v>
      </c>
      <c r="L132" s="63" t="str">
        <f>TEXT(Table611[[#This Row],[date]],"mmmm")</f>
        <v>February</v>
      </c>
      <c r="M132" s="63" t="str">
        <f>TEXT(Table611[[#This Row],[date]],"dddd")</f>
        <v>Friday</v>
      </c>
      <c r="N132" s="63" t="str">
        <f>TEXT(Table611[[#This Row],[date]],"yyyy")</f>
        <v>2019</v>
      </c>
      <c r="S132" s="86" t="s">
        <v>1169</v>
      </c>
      <c r="T132">
        <v>278</v>
      </c>
      <c r="V132" s="56" t="s">
        <v>1185</v>
      </c>
      <c r="W132">
        <v>1698</v>
      </c>
      <c r="Y132" s="56" t="s">
        <v>1085</v>
      </c>
      <c r="Z132">
        <v>198</v>
      </c>
    </row>
    <row r="133" spans="7:26">
      <c r="G133" s="63">
        <v>25</v>
      </c>
      <c r="H133" s="63">
        <f t="shared" si="5"/>
        <v>108</v>
      </c>
      <c r="I133" s="63">
        <f t="shared" si="6"/>
        <v>298</v>
      </c>
      <c r="J133" s="63" t="s">
        <v>1095</v>
      </c>
      <c r="K133" s="83">
        <v>43514</v>
      </c>
      <c r="L133" s="63" t="str">
        <f>TEXT(Table611[[#This Row],[date]],"mmmm")</f>
        <v>February</v>
      </c>
      <c r="M133" s="63" t="str">
        <f>TEXT(Table611[[#This Row],[date]],"dddd")</f>
        <v>Monday</v>
      </c>
      <c r="N133" s="63" t="str">
        <f>TEXT(Table611[[#This Row],[date]],"yyyy")</f>
        <v>2019</v>
      </c>
      <c r="S133" s="86" t="s">
        <v>1170</v>
      </c>
      <c r="T133">
        <v>586</v>
      </c>
      <c r="V133" s="86" t="s">
        <v>1169</v>
      </c>
      <c r="W133">
        <v>278</v>
      </c>
      <c r="Y133" s="56" t="s">
        <v>1086</v>
      </c>
      <c r="Z133">
        <v>208</v>
      </c>
    </row>
    <row r="134" spans="7:26">
      <c r="G134" s="63">
        <v>26</v>
      </c>
      <c r="H134" s="63">
        <f t="shared" si="5"/>
        <v>112</v>
      </c>
      <c r="I134" s="63">
        <f t="shared" si="6"/>
        <v>308</v>
      </c>
      <c r="J134" s="63" t="s">
        <v>1096</v>
      </c>
      <c r="K134" s="80">
        <v>43531</v>
      </c>
      <c r="L134" s="63" t="str">
        <f>TEXT(Table611[[#This Row],[date]],"mmmm")</f>
        <v>March</v>
      </c>
      <c r="M134" s="63" t="str">
        <f>TEXT(Table611[[#This Row],[date]],"dddd")</f>
        <v>Thursday</v>
      </c>
      <c r="N134" s="63" t="str">
        <f>TEXT(Table611[[#This Row],[date]],"yyyy")</f>
        <v>2019</v>
      </c>
      <c r="S134" s="86" t="s">
        <v>1171</v>
      </c>
      <c r="T134">
        <v>308</v>
      </c>
      <c r="V134" s="86" t="s">
        <v>1170</v>
      </c>
      <c r="W134">
        <v>586</v>
      </c>
      <c r="Y134" s="56" t="s">
        <v>1087</v>
      </c>
      <c r="Z134">
        <v>218</v>
      </c>
    </row>
    <row r="135" spans="7:26">
      <c r="S135" s="56" t="s">
        <v>894</v>
      </c>
      <c r="T135">
        <v>4758</v>
      </c>
      <c r="V135" s="86" t="s">
        <v>1171</v>
      </c>
      <c r="W135">
        <v>308</v>
      </c>
      <c r="Y135" s="56" t="s">
        <v>1088</v>
      </c>
      <c r="Z135">
        <v>228</v>
      </c>
    </row>
    <row r="136" spans="7:26">
      <c r="V136" s="86" t="s">
        <v>1179</v>
      </c>
      <c r="W136">
        <v>526</v>
      </c>
      <c r="Y136" s="56" t="s">
        <v>1089</v>
      </c>
      <c r="Z136">
        <v>238</v>
      </c>
    </row>
    <row r="137" spans="7:26">
      <c r="H137" t="s">
        <v>1187</v>
      </c>
      <c r="V137" s="56" t="s">
        <v>894</v>
      </c>
      <c r="W137">
        <v>4758</v>
      </c>
      <c r="Y137" s="56" t="s">
        <v>1090</v>
      </c>
      <c r="Z137">
        <v>248</v>
      </c>
    </row>
    <row r="138" spans="7:26">
      <c r="Y138" s="56" t="s">
        <v>1091</v>
      </c>
      <c r="Z138">
        <v>258</v>
      </c>
    </row>
    <row r="139" spans="7:26">
      <c r="Y139" s="56" t="s">
        <v>1092</v>
      </c>
      <c r="Z139">
        <v>268</v>
      </c>
    </row>
    <row r="140" spans="7:26">
      <c r="Y140" s="56" t="s">
        <v>1093</v>
      </c>
      <c r="Z140">
        <v>278</v>
      </c>
    </row>
    <row r="141" spans="7:26">
      <c r="Y141" s="56" t="s">
        <v>1094</v>
      </c>
      <c r="Z141">
        <v>288</v>
      </c>
    </row>
    <row r="142" spans="7:26">
      <c r="Y142" s="56" t="s">
        <v>1095</v>
      </c>
      <c r="Z142">
        <v>298</v>
      </c>
    </row>
    <row r="143" spans="7:26">
      <c r="Y143" s="56" t="s">
        <v>1096</v>
      </c>
      <c r="Z143">
        <v>308</v>
      </c>
    </row>
    <row r="144" spans="7:26">
      <c r="Y144" s="56" t="s">
        <v>894</v>
      </c>
      <c r="Z144">
        <v>4758</v>
      </c>
    </row>
    <row r="173" spans="1:5">
      <c r="A173" s="118" t="s">
        <v>1188</v>
      </c>
      <c r="B173" s="118"/>
      <c r="C173" s="118"/>
      <c r="D173" s="118"/>
      <c r="E173" s="118"/>
    </row>
    <row r="174" spans="1:5">
      <c r="A174" s="118"/>
      <c r="B174" s="118"/>
      <c r="C174" s="118"/>
      <c r="D174" s="118"/>
      <c r="E174" s="118"/>
    </row>
    <row r="175" spans="1:5">
      <c r="A175" s="118"/>
      <c r="B175" s="118"/>
      <c r="C175" s="118"/>
      <c r="D175" s="118"/>
      <c r="E175" s="118"/>
    </row>
    <row r="177" spans="1:17">
      <c r="A177" t="s">
        <v>1189</v>
      </c>
      <c r="C177" t="s">
        <v>1190</v>
      </c>
    </row>
    <row r="180" spans="1:17">
      <c r="A180" s="121" t="s">
        <v>1191</v>
      </c>
      <c r="B180" s="121"/>
      <c r="C180" s="121"/>
      <c r="D180" s="121"/>
      <c r="E180" s="121"/>
      <c r="F180" s="121"/>
    </row>
    <row r="181" spans="1:17">
      <c r="A181" s="121"/>
      <c r="B181" s="121"/>
      <c r="C181" s="121"/>
      <c r="D181" s="121"/>
      <c r="E181" s="121"/>
      <c r="F181" s="121"/>
    </row>
    <row r="182" spans="1:17">
      <c r="A182" s="121"/>
      <c r="B182" s="121"/>
      <c r="C182" s="121"/>
      <c r="D182" s="121"/>
      <c r="E182" s="121"/>
      <c r="F182" s="121"/>
    </row>
    <row r="183" spans="1:17">
      <c r="A183" s="121"/>
      <c r="B183" s="121"/>
      <c r="C183" s="121"/>
      <c r="D183" s="121"/>
      <c r="E183" s="121"/>
      <c r="F183" s="121"/>
    </row>
    <row r="184" spans="1:17">
      <c r="A184" t="s">
        <v>1192</v>
      </c>
      <c r="C184" t="s">
        <v>1193</v>
      </c>
      <c r="G184" t="s">
        <v>1194</v>
      </c>
    </row>
    <row r="185" spans="1:17">
      <c r="B185" t="s">
        <v>1195</v>
      </c>
      <c r="G185" s="36" t="s">
        <v>1163</v>
      </c>
      <c r="H185" s="36" t="s">
        <v>1098</v>
      </c>
      <c r="I185" s="36" t="s">
        <v>1164</v>
      </c>
      <c r="J185" s="36" t="s">
        <v>1165</v>
      </c>
      <c r="K185" s="36" t="s">
        <v>336</v>
      </c>
      <c r="L185" s="36" t="s">
        <v>1111</v>
      </c>
      <c r="M185" s="36" t="s">
        <v>217</v>
      </c>
      <c r="N185" s="36" t="s">
        <v>224</v>
      </c>
      <c r="O185" s="36" t="s">
        <v>1199</v>
      </c>
      <c r="P185" t="s">
        <v>383</v>
      </c>
    </row>
    <row r="186" spans="1:17">
      <c r="G186" s="36">
        <v>1</v>
      </c>
      <c r="H186" s="36">
        <v>12</v>
      </c>
      <c r="I186" s="36">
        <v>58</v>
      </c>
      <c r="J186" s="36" t="s">
        <v>1071</v>
      </c>
      <c r="K186" s="36">
        <v>43106</v>
      </c>
      <c r="L186" s="36" t="str">
        <f>TEXT(K186,"mmmm")</f>
        <v>January</v>
      </c>
      <c r="M186" s="36" t="str">
        <f>TEXT(K186,"dddd")</f>
        <v>Saturday</v>
      </c>
      <c r="N186" s="36" t="str">
        <f>TEXT(K186,"yyyy")</f>
        <v>2018</v>
      </c>
      <c r="O186" s="87">
        <v>45300</v>
      </c>
      <c r="Q186" t="s">
        <v>1200</v>
      </c>
    </row>
    <row r="187" spans="1:17">
      <c r="B187" t="s">
        <v>1201</v>
      </c>
      <c r="G187" s="36">
        <v>2</v>
      </c>
      <c r="H187" s="36">
        <f>H186+4</f>
        <v>16</v>
      </c>
      <c r="I187" s="36">
        <f>I186+10</f>
        <v>68</v>
      </c>
      <c r="J187" s="36" t="s">
        <v>1072</v>
      </c>
      <c r="K187" s="36">
        <v>43123</v>
      </c>
      <c r="L187" s="36" t="str">
        <f t="shared" ref="L187:L200" si="7">TEXT(K187,"mmmm")</f>
        <v>January</v>
      </c>
      <c r="M187" s="36" t="str">
        <f t="shared" ref="M187:M200" si="8">TEXT(K187,"dddd")</f>
        <v>Tuesday</v>
      </c>
      <c r="N187" s="36" t="str">
        <f t="shared" ref="N187:N200" si="9">TEXT(K187,"yyyy")</f>
        <v>2018</v>
      </c>
      <c r="O187" s="87">
        <v>45301</v>
      </c>
    </row>
    <row r="188" spans="1:17">
      <c r="G188" s="36">
        <v>3</v>
      </c>
      <c r="H188" s="36">
        <f t="shared" ref="H188:H200" si="10">H187+4</f>
        <v>20</v>
      </c>
      <c r="I188" s="36">
        <f t="shared" ref="I188:I200" si="11">I187+10</f>
        <v>78</v>
      </c>
      <c r="J188" s="36" t="s">
        <v>1073</v>
      </c>
      <c r="K188" s="36">
        <v>43140</v>
      </c>
      <c r="L188" s="36" t="str">
        <f t="shared" si="7"/>
        <v>February</v>
      </c>
      <c r="M188" s="36" t="str">
        <f t="shared" si="8"/>
        <v>Friday</v>
      </c>
      <c r="N188" s="36" t="str">
        <f t="shared" si="9"/>
        <v>2018</v>
      </c>
      <c r="O188" s="87">
        <v>45302</v>
      </c>
    </row>
    <row r="189" spans="1:17">
      <c r="B189" t="s">
        <v>1202</v>
      </c>
      <c r="G189" s="36">
        <v>4</v>
      </c>
      <c r="H189" s="36">
        <f t="shared" si="10"/>
        <v>24</v>
      </c>
      <c r="I189" s="36">
        <f t="shared" si="11"/>
        <v>88</v>
      </c>
      <c r="J189" s="36" t="s">
        <v>1074</v>
      </c>
      <c r="K189" s="36">
        <v>43157</v>
      </c>
      <c r="L189" s="36" t="str">
        <f t="shared" si="7"/>
        <v>February</v>
      </c>
      <c r="M189" s="36" t="str">
        <f t="shared" si="8"/>
        <v>Monday</v>
      </c>
      <c r="N189" s="36" t="str">
        <f t="shared" si="9"/>
        <v>2018</v>
      </c>
      <c r="O189" s="87">
        <v>45303</v>
      </c>
    </row>
    <row r="190" spans="1:17">
      <c r="G190" s="36">
        <v>5</v>
      </c>
      <c r="H190" s="36">
        <f t="shared" si="10"/>
        <v>28</v>
      </c>
      <c r="I190" s="36">
        <f t="shared" si="11"/>
        <v>98</v>
      </c>
      <c r="J190" s="36" t="s">
        <v>1075</v>
      </c>
      <c r="K190" s="36">
        <v>43174</v>
      </c>
      <c r="L190" s="36" t="str">
        <f t="shared" si="7"/>
        <v>March</v>
      </c>
      <c r="M190" s="36" t="str">
        <f t="shared" si="8"/>
        <v>Thursday</v>
      </c>
      <c r="N190" s="36" t="str">
        <f t="shared" si="9"/>
        <v>2018</v>
      </c>
      <c r="O190" s="87">
        <v>45304</v>
      </c>
    </row>
    <row r="191" spans="1:17">
      <c r="G191" s="36">
        <v>6</v>
      </c>
      <c r="H191" s="36">
        <f t="shared" si="10"/>
        <v>32</v>
      </c>
      <c r="I191" s="36">
        <f t="shared" si="11"/>
        <v>108</v>
      </c>
      <c r="J191" s="36" t="s">
        <v>1076</v>
      </c>
      <c r="K191" s="36">
        <v>43191</v>
      </c>
      <c r="L191" s="36" t="str">
        <f t="shared" si="7"/>
        <v>April</v>
      </c>
      <c r="M191" s="36" t="str">
        <f t="shared" si="8"/>
        <v>Sunday</v>
      </c>
      <c r="N191" s="36" t="str">
        <f t="shared" si="9"/>
        <v>2018</v>
      </c>
      <c r="O191" s="87">
        <v>45305</v>
      </c>
    </row>
    <row r="192" spans="1:17">
      <c r="G192" s="36">
        <v>7</v>
      </c>
      <c r="H192" s="36">
        <f t="shared" si="10"/>
        <v>36</v>
      </c>
      <c r="I192" s="36">
        <f t="shared" si="11"/>
        <v>118</v>
      </c>
      <c r="J192" s="36" t="s">
        <v>1077</v>
      </c>
      <c r="K192" s="36">
        <v>43208</v>
      </c>
      <c r="L192" s="36" t="str">
        <f t="shared" si="7"/>
        <v>April</v>
      </c>
      <c r="M192" s="36" t="str">
        <f t="shared" si="8"/>
        <v>Wednesday</v>
      </c>
      <c r="N192" s="36" t="str">
        <f t="shared" si="9"/>
        <v>2018</v>
      </c>
      <c r="O192" s="87">
        <v>45306</v>
      </c>
    </row>
    <row r="193" spans="1:15">
      <c r="G193" s="36">
        <v>8</v>
      </c>
      <c r="H193" s="36">
        <f t="shared" si="10"/>
        <v>40</v>
      </c>
      <c r="I193" s="36">
        <f t="shared" si="11"/>
        <v>128</v>
      </c>
      <c r="J193" s="36" t="s">
        <v>1078</v>
      </c>
      <c r="K193" s="36">
        <v>43225</v>
      </c>
      <c r="L193" s="36" t="str">
        <f t="shared" si="7"/>
        <v>May</v>
      </c>
      <c r="M193" s="36" t="str">
        <f t="shared" si="8"/>
        <v>Saturday</v>
      </c>
      <c r="N193" s="36" t="str">
        <f t="shared" si="9"/>
        <v>2018</v>
      </c>
      <c r="O193" s="87">
        <v>45307</v>
      </c>
    </row>
    <row r="194" spans="1:15">
      <c r="G194" s="36">
        <v>9</v>
      </c>
      <c r="H194" s="36">
        <f t="shared" si="10"/>
        <v>44</v>
      </c>
      <c r="I194" s="36">
        <f t="shared" si="11"/>
        <v>138</v>
      </c>
      <c r="J194" s="36" t="s">
        <v>1079</v>
      </c>
      <c r="K194" s="36">
        <v>43242</v>
      </c>
      <c r="L194" s="36" t="str">
        <f t="shared" si="7"/>
        <v>May</v>
      </c>
      <c r="M194" s="36" t="str">
        <f t="shared" si="8"/>
        <v>Tuesday</v>
      </c>
      <c r="N194" s="36" t="str">
        <f t="shared" si="9"/>
        <v>2018</v>
      </c>
      <c r="O194" s="87">
        <v>45308</v>
      </c>
    </row>
    <row r="195" spans="1:15">
      <c r="G195" s="36">
        <v>10</v>
      </c>
      <c r="H195" s="36">
        <f t="shared" si="10"/>
        <v>48</v>
      </c>
      <c r="I195" s="36">
        <f t="shared" si="11"/>
        <v>148</v>
      </c>
      <c r="J195" s="36" t="s">
        <v>1080</v>
      </c>
      <c r="K195" s="36">
        <v>43259</v>
      </c>
      <c r="L195" s="36" t="str">
        <f t="shared" si="7"/>
        <v>June</v>
      </c>
      <c r="M195" s="36" t="str">
        <f t="shared" si="8"/>
        <v>Friday</v>
      </c>
      <c r="N195" s="36" t="str">
        <f t="shared" si="9"/>
        <v>2018</v>
      </c>
      <c r="O195" s="87">
        <v>45309</v>
      </c>
    </row>
    <row r="196" spans="1:15">
      <c r="G196" s="36">
        <v>11</v>
      </c>
      <c r="H196" s="36">
        <f t="shared" si="10"/>
        <v>52</v>
      </c>
      <c r="I196" s="36">
        <f t="shared" si="11"/>
        <v>158</v>
      </c>
      <c r="J196" s="36" t="s">
        <v>1081</v>
      </c>
      <c r="K196" s="36">
        <v>43276</v>
      </c>
      <c r="L196" s="36" t="str">
        <f t="shared" si="7"/>
        <v>June</v>
      </c>
      <c r="M196" s="36" t="str">
        <f t="shared" si="8"/>
        <v>Monday</v>
      </c>
      <c r="N196" s="36" t="str">
        <f t="shared" si="9"/>
        <v>2018</v>
      </c>
      <c r="O196" s="87">
        <v>45310</v>
      </c>
    </row>
    <row r="197" spans="1:15">
      <c r="G197" s="36">
        <v>12</v>
      </c>
      <c r="H197" s="36">
        <f t="shared" si="10"/>
        <v>56</v>
      </c>
      <c r="I197" s="36">
        <f t="shared" si="11"/>
        <v>168</v>
      </c>
      <c r="J197" s="36" t="s">
        <v>1082</v>
      </c>
      <c r="K197" s="36">
        <v>43293</v>
      </c>
      <c r="L197" s="36" t="str">
        <f t="shared" si="7"/>
        <v>July</v>
      </c>
      <c r="M197" s="36" t="str">
        <f t="shared" si="8"/>
        <v>Thursday</v>
      </c>
      <c r="N197" s="36" t="str">
        <f t="shared" si="9"/>
        <v>2018</v>
      </c>
      <c r="O197" s="87">
        <v>45311</v>
      </c>
    </row>
    <row r="198" spans="1:15">
      <c r="G198" s="36">
        <v>13</v>
      </c>
      <c r="H198" s="36">
        <f t="shared" si="10"/>
        <v>60</v>
      </c>
      <c r="I198" s="36">
        <f t="shared" si="11"/>
        <v>178</v>
      </c>
      <c r="J198" s="36" t="s">
        <v>1083</v>
      </c>
      <c r="K198" s="36">
        <v>43310</v>
      </c>
      <c r="L198" s="36" t="str">
        <f t="shared" si="7"/>
        <v>July</v>
      </c>
      <c r="M198" s="36" t="str">
        <f t="shared" si="8"/>
        <v>Sunday</v>
      </c>
      <c r="N198" s="36" t="str">
        <f t="shared" si="9"/>
        <v>2018</v>
      </c>
      <c r="O198" s="87">
        <v>45312</v>
      </c>
    </row>
    <row r="199" spans="1:15">
      <c r="G199" s="36">
        <v>14</v>
      </c>
      <c r="H199" s="36">
        <f t="shared" si="10"/>
        <v>64</v>
      </c>
      <c r="I199" s="36">
        <f t="shared" si="11"/>
        <v>188</v>
      </c>
      <c r="J199" s="36" t="s">
        <v>1084</v>
      </c>
      <c r="K199" s="36">
        <v>43327</v>
      </c>
      <c r="L199" s="36" t="str">
        <f t="shared" si="7"/>
        <v>August</v>
      </c>
      <c r="M199" s="36" t="str">
        <f t="shared" si="8"/>
        <v>Wednesday</v>
      </c>
      <c r="N199" s="36" t="str">
        <f t="shared" si="9"/>
        <v>2018</v>
      </c>
      <c r="O199" s="87">
        <v>45313</v>
      </c>
    </row>
    <row r="200" spans="1:15">
      <c r="G200" s="36">
        <v>15</v>
      </c>
      <c r="H200" s="36">
        <f t="shared" si="10"/>
        <v>68</v>
      </c>
      <c r="I200" s="36">
        <f t="shared" si="11"/>
        <v>198</v>
      </c>
      <c r="J200" s="36" t="s">
        <v>1085</v>
      </c>
      <c r="K200" s="36">
        <v>43344</v>
      </c>
      <c r="L200" s="36" t="str">
        <f t="shared" si="7"/>
        <v>September</v>
      </c>
      <c r="M200" s="36" t="str">
        <f t="shared" si="8"/>
        <v>Saturday</v>
      </c>
      <c r="N200" s="36" t="str">
        <f t="shared" si="9"/>
        <v>2018</v>
      </c>
      <c r="O200" s="87">
        <v>45314</v>
      </c>
    </row>
    <row r="204" spans="1:15">
      <c r="A204" t="s">
        <v>1196</v>
      </c>
      <c r="C204" t="s">
        <v>1197</v>
      </c>
    </row>
    <row r="205" spans="1:15">
      <c r="C205" t="s">
        <v>1198</v>
      </c>
    </row>
    <row r="210" spans="1:10">
      <c r="A210" s="120" t="s">
        <v>1203</v>
      </c>
      <c r="B210" s="120"/>
      <c r="C210" s="120"/>
      <c r="D210" s="120"/>
      <c r="E210" s="120"/>
      <c r="F210" s="120"/>
    </row>
    <row r="211" spans="1:10">
      <c r="A211" s="120"/>
      <c r="B211" s="120"/>
      <c r="C211" s="120"/>
      <c r="D211" s="120"/>
      <c r="E211" s="120"/>
      <c r="F211" s="120"/>
    </row>
    <row r="212" spans="1:10">
      <c r="A212" s="120"/>
      <c r="B212" s="120"/>
      <c r="C212" s="120"/>
      <c r="D212" s="120"/>
      <c r="E212" s="120"/>
      <c r="F212" s="120"/>
    </row>
    <row r="213" spans="1:10">
      <c r="A213" s="120"/>
      <c r="B213" s="120"/>
      <c r="C213" s="120"/>
      <c r="D213" s="120"/>
      <c r="E213" s="120"/>
      <c r="F213" s="120"/>
      <c r="H213" t="s">
        <v>1214</v>
      </c>
    </row>
    <row r="215" spans="1:10">
      <c r="A215" t="s">
        <v>1204</v>
      </c>
      <c r="C215" t="s">
        <v>1205</v>
      </c>
      <c r="F215" s="88">
        <v>15</v>
      </c>
      <c r="H215" t="s">
        <v>1206</v>
      </c>
      <c r="I215" t="s">
        <v>1215</v>
      </c>
    </row>
    <row r="216" spans="1:10">
      <c r="F216" s="88">
        <v>126</v>
      </c>
      <c r="H216" t="s">
        <v>1212</v>
      </c>
      <c r="J216" s="89" t="s">
        <v>1217</v>
      </c>
    </row>
    <row r="217" spans="1:10">
      <c r="F217" s="88">
        <v>45</v>
      </c>
      <c r="H217" t="s">
        <v>1207</v>
      </c>
      <c r="I217" t="s">
        <v>1213</v>
      </c>
      <c r="J217">
        <v>15</v>
      </c>
    </row>
    <row r="218" spans="1:10">
      <c r="F218" s="88">
        <v>5646</v>
      </c>
      <c r="H218" t="s">
        <v>1208</v>
      </c>
      <c r="I218" t="s">
        <v>1213</v>
      </c>
      <c r="J218">
        <v>20</v>
      </c>
    </row>
    <row r="219" spans="1:10">
      <c r="E219" t="s">
        <v>82</v>
      </c>
      <c r="F219" s="88">
        <f>SUM(F215:F218)</f>
        <v>5832</v>
      </c>
      <c r="H219" t="s">
        <v>1209</v>
      </c>
      <c r="I219" t="s">
        <v>1213</v>
      </c>
      <c r="J219">
        <v>25</v>
      </c>
    </row>
    <row r="220" spans="1:10">
      <c r="F220" s="88"/>
      <c r="H220" t="s">
        <v>1210</v>
      </c>
      <c r="I220" t="s">
        <v>1213</v>
      </c>
      <c r="J220">
        <v>30</v>
      </c>
    </row>
    <row r="221" spans="1:10">
      <c r="F221" s="88"/>
      <c r="H221" t="s">
        <v>1211</v>
      </c>
      <c r="I221" t="s">
        <v>1213</v>
      </c>
      <c r="J221">
        <v>35</v>
      </c>
    </row>
    <row r="222" spans="1:10">
      <c r="I222" t="s">
        <v>1213</v>
      </c>
      <c r="J222">
        <v>40</v>
      </c>
    </row>
    <row r="223" spans="1:10">
      <c r="I223" t="s">
        <v>1213</v>
      </c>
      <c r="J223">
        <v>45</v>
      </c>
    </row>
    <row r="224" spans="1:10">
      <c r="I224" t="s">
        <v>1216</v>
      </c>
      <c r="J224">
        <f>SUM(J217:J223)</f>
        <v>210</v>
      </c>
    </row>
    <row r="227" spans="1:15">
      <c r="A227" s="115" t="s">
        <v>1218</v>
      </c>
      <c r="B227" s="115"/>
      <c r="C227" s="115"/>
      <c r="D227" s="115"/>
      <c r="E227" s="115"/>
      <c r="F227" s="115"/>
    </row>
    <row r="228" spans="1:15">
      <c r="A228" s="115"/>
      <c r="B228" s="115"/>
      <c r="C228" s="115"/>
      <c r="D228" s="115"/>
      <c r="E228" s="115"/>
      <c r="F228" s="115"/>
    </row>
    <row r="229" spans="1:15">
      <c r="A229" s="115"/>
      <c r="B229" s="115"/>
      <c r="C229" s="115"/>
      <c r="D229" s="115"/>
      <c r="E229" s="115"/>
      <c r="F229" s="115"/>
    </row>
    <row r="230" spans="1:15">
      <c r="A230" s="115"/>
      <c r="B230" s="115"/>
      <c r="C230" s="115"/>
      <c r="D230" s="115"/>
      <c r="E230" s="115"/>
      <c r="F230" s="115"/>
    </row>
    <row r="233" spans="1:15">
      <c r="A233" s="29" t="s">
        <v>1219</v>
      </c>
      <c r="B233" s="29"/>
      <c r="C233" t="s">
        <v>1220</v>
      </c>
      <c r="G233" t="s">
        <v>1221</v>
      </c>
    </row>
    <row r="234" spans="1:15">
      <c r="A234" s="29"/>
      <c r="B234" s="29"/>
    </row>
    <row r="235" spans="1:15">
      <c r="A235" s="29" t="s">
        <v>1222</v>
      </c>
      <c r="B235" s="29"/>
      <c r="C235" t="s">
        <v>1223</v>
      </c>
    </row>
    <row r="237" spans="1:15">
      <c r="C237" t="s">
        <v>1224</v>
      </c>
    </row>
    <row r="240" spans="1:15" ht="15" thickBot="1">
      <c r="H240" s="90" t="s">
        <v>1163</v>
      </c>
      <c r="I240" s="90" t="s">
        <v>1098</v>
      </c>
      <c r="J240" s="90" t="s">
        <v>1164</v>
      </c>
      <c r="M240" s="90" t="s">
        <v>1163</v>
      </c>
      <c r="N240" s="90" t="s">
        <v>1098</v>
      </c>
      <c r="O240" s="90" t="s">
        <v>1164</v>
      </c>
    </row>
    <row r="241" spans="1:15" ht="15" thickTop="1">
      <c r="H241" s="91">
        <v>1</v>
      </c>
      <c r="I241" s="91">
        <v>12</v>
      </c>
      <c r="J241" s="91">
        <v>58</v>
      </c>
      <c r="M241" s="91">
        <v>1</v>
      </c>
      <c r="N241" s="91">
        <v>12</v>
      </c>
      <c r="O241" s="91">
        <v>58</v>
      </c>
    </row>
    <row r="242" spans="1:15">
      <c r="H242" s="91">
        <v>2</v>
      </c>
      <c r="I242" s="91">
        <f>I241+4</f>
        <v>16</v>
      </c>
      <c r="J242" s="91">
        <f>J241+10</f>
        <v>68</v>
      </c>
    </row>
    <row r="243" spans="1:15">
      <c r="H243" s="91">
        <v>3</v>
      </c>
      <c r="I243" s="91">
        <f t="shared" ref="I243:I247" si="12">I242+4</f>
        <v>20</v>
      </c>
      <c r="J243" s="91">
        <f t="shared" ref="J243:J247" si="13">J242+10</f>
        <v>78</v>
      </c>
    </row>
    <row r="244" spans="1:15" ht="15" thickBot="1">
      <c r="H244" s="91">
        <v>4</v>
      </c>
      <c r="I244" s="91">
        <f t="shared" si="12"/>
        <v>24</v>
      </c>
      <c r="J244" s="91">
        <f t="shared" si="13"/>
        <v>88</v>
      </c>
      <c r="L244" s="90" t="s">
        <v>1163</v>
      </c>
      <c r="M244" s="90" t="s">
        <v>1098</v>
      </c>
      <c r="N244" s="90" t="s">
        <v>1164</v>
      </c>
    </row>
    <row r="245" spans="1:15" ht="15" thickTop="1">
      <c r="H245" s="91">
        <v>5</v>
      </c>
      <c r="I245" s="91">
        <f t="shared" si="12"/>
        <v>28</v>
      </c>
      <c r="J245" s="91">
        <f t="shared" si="13"/>
        <v>98</v>
      </c>
      <c r="L245" s="91">
        <v>1</v>
      </c>
      <c r="M245" s="91">
        <v>12</v>
      </c>
      <c r="N245" s="91">
        <v>58</v>
      </c>
    </row>
    <row r="246" spans="1:15">
      <c r="H246" s="91">
        <v>6</v>
      </c>
      <c r="I246" s="91">
        <f t="shared" si="12"/>
        <v>32</v>
      </c>
      <c r="J246" s="91">
        <f t="shared" si="13"/>
        <v>108</v>
      </c>
    </row>
    <row r="247" spans="1:15">
      <c r="H247" s="91">
        <v>7</v>
      </c>
      <c r="I247" s="91">
        <f t="shared" si="12"/>
        <v>36</v>
      </c>
      <c r="J247" s="91">
        <f t="shared" si="13"/>
        <v>118</v>
      </c>
      <c r="L247" s="29" t="s">
        <v>1225</v>
      </c>
      <c r="M247" s="29"/>
    </row>
    <row r="249" spans="1:15">
      <c r="L249" s="29" t="s">
        <v>1226</v>
      </c>
      <c r="M249" s="29"/>
      <c r="N249" s="29"/>
    </row>
    <row r="250" spans="1:15">
      <c r="A250" s="118" t="s">
        <v>1227</v>
      </c>
      <c r="B250" s="118"/>
      <c r="C250" s="118"/>
      <c r="D250" s="118"/>
      <c r="E250" s="118"/>
    </row>
    <row r="251" spans="1:15">
      <c r="A251" s="118"/>
      <c r="B251" s="118"/>
      <c r="C251" s="118"/>
      <c r="D251" s="118"/>
      <c r="E251" s="118"/>
    </row>
    <row r="252" spans="1:15">
      <c r="A252" s="118"/>
      <c r="B252" s="118"/>
      <c r="C252" s="118"/>
      <c r="D252" s="118"/>
      <c r="E252" s="118"/>
      <c r="J252" t="s">
        <v>217</v>
      </c>
      <c r="K252" t="s">
        <v>1111</v>
      </c>
      <c r="L252" t="s">
        <v>224</v>
      </c>
    </row>
    <row r="253" spans="1:15">
      <c r="A253" s="118"/>
      <c r="B253" s="118"/>
      <c r="C253" s="118"/>
      <c r="D253" s="118"/>
      <c r="E253" s="118"/>
      <c r="H253">
        <v>15</v>
      </c>
      <c r="I253" s="8">
        <v>45300</v>
      </c>
      <c r="J253" t="str">
        <f>TEXT(I253,"dddd")</f>
        <v>Tuesday</v>
      </c>
      <c r="K253" t="str">
        <f>TEXT(I253,"mmmm")</f>
        <v>January</v>
      </c>
      <c r="L253" t="str">
        <f>TEXT(I253,"yyyy")</f>
        <v>2024</v>
      </c>
    </row>
    <row r="254" spans="1:15">
      <c r="H254">
        <v>20</v>
      </c>
      <c r="I254" s="8">
        <v>45301</v>
      </c>
      <c r="J254" t="str">
        <f t="shared" ref="J254:J262" si="14">TEXT(I254,"dddd")</f>
        <v>Wednesday</v>
      </c>
      <c r="K254" t="str">
        <f t="shared" ref="K254:K262" si="15">TEXT(I254,"mmmm")</f>
        <v>January</v>
      </c>
      <c r="L254" t="str">
        <f t="shared" ref="L254:L262" si="16">TEXT(I254,"yyyy")</f>
        <v>2024</v>
      </c>
    </row>
    <row r="255" spans="1:15">
      <c r="H255">
        <v>25</v>
      </c>
      <c r="I255" s="8">
        <v>45302</v>
      </c>
      <c r="J255" t="str">
        <f t="shared" si="14"/>
        <v>Thursday</v>
      </c>
      <c r="K255" t="str">
        <f t="shared" si="15"/>
        <v>January</v>
      </c>
      <c r="L255" t="str">
        <f t="shared" si="16"/>
        <v>2024</v>
      </c>
    </row>
    <row r="256" spans="1:15">
      <c r="H256">
        <v>30</v>
      </c>
      <c r="I256" s="8">
        <v>45303</v>
      </c>
      <c r="J256" t="str">
        <f t="shared" si="14"/>
        <v>Friday</v>
      </c>
      <c r="K256" t="str">
        <f t="shared" si="15"/>
        <v>January</v>
      </c>
      <c r="L256" t="str">
        <f t="shared" si="16"/>
        <v>2024</v>
      </c>
    </row>
    <row r="257" spans="1:12">
      <c r="H257">
        <v>35</v>
      </c>
      <c r="I257" s="8">
        <v>45304</v>
      </c>
      <c r="J257" t="str">
        <f t="shared" si="14"/>
        <v>Saturday</v>
      </c>
      <c r="K257" t="str">
        <f t="shared" si="15"/>
        <v>January</v>
      </c>
      <c r="L257" t="str">
        <f t="shared" si="16"/>
        <v>2024</v>
      </c>
    </row>
    <row r="258" spans="1:12">
      <c r="H258">
        <v>40</v>
      </c>
      <c r="I258" s="8">
        <v>45305</v>
      </c>
      <c r="J258" t="str">
        <f t="shared" si="14"/>
        <v>Sunday</v>
      </c>
      <c r="K258" t="str">
        <f t="shared" si="15"/>
        <v>January</v>
      </c>
      <c r="L258" t="str">
        <f t="shared" si="16"/>
        <v>2024</v>
      </c>
    </row>
    <row r="259" spans="1:12">
      <c r="H259">
        <v>45</v>
      </c>
      <c r="I259" s="8">
        <v>45306</v>
      </c>
      <c r="J259" t="str">
        <f t="shared" si="14"/>
        <v>Monday</v>
      </c>
      <c r="K259" t="str">
        <f t="shared" si="15"/>
        <v>January</v>
      </c>
      <c r="L259" t="str">
        <f t="shared" si="16"/>
        <v>2024</v>
      </c>
    </row>
    <row r="260" spans="1:12">
      <c r="H260">
        <v>50</v>
      </c>
      <c r="I260" s="8">
        <v>45307</v>
      </c>
      <c r="J260" t="str">
        <f t="shared" si="14"/>
        <v>Tuesday</v>
      </c>
      <c r="K260" t="str">
        <f t="shared" si="15"/>
        <v>January</v>
      </c>
      <c r="L260" t="str">
        <f t="shared" si="16"/>
        <v>2024</v>
      </c>
    </row>
    <row r="261" spans="1:12">
      <c r="H261">
        <v>55</v>
      </c>
      <c r="I261" s="8">
        <v>45308</v>
      </c>
      <c r="J261" t="str">
        <f t="shared" si="14"/>
        <v>Wednesday</v>
      </c>
      <c r="K261" t="str">
        <f t="shared" si="15"/>
        <v>January</v>
      </c>
      <c r="L261" t="str">
        <f t="shared" si="16"/>
        <v>2024</v>
      </c>
    </row>
    <row r="262" spans="1:12">
      <c r="H262">
        <v>60</v>
      </c>
      <c r="I262" s="8">
        <v>45309</v>
      </c>
      <c r="J262" t="str">
        <f t="shared" si="14"/>
        <v>Thursday</v>
      </c>
      <c r="K262" t="str">
        <f t="shared" si="15"/>
        <v>January</v>
      </c>
      <c r="L262" t="str">
        <f t="shared" si="16"/>
        <v>2024</v>
      </c>
    </row>
    <row r="267" spans="1:12">
      <c r="A267" t="s">
        <v>1228</v>
      </c>
    </row>
    <row r="269" spans="1:12">
      <c r="A269" t="s">
        <v>1229</v>
      </c>
      <c r="E269" t="s">
        <v>1230</v>
      </c>
    </row>
    <row r="272" spans="1:12">
      <c r="G272" s="55" t="s">
        <v>901</v>
      </c>
    </row>
    <row r="273" spans="6:9">
      <c r="F273" s="55" t="s">
        <v>893</v>
      </c>
      <c r="G273" t="s">
        <v>1231</v>
      </c>
      <c r="H273" t="s">
        <v>1232</v>
      </c>
      <c r="I273" t="s">
        <v>1167</v>
      </c>
    </row>
    <row r="274" spans="6:9">
      <c r="F274" s="56">
        <v>9</v>
      </c>
      <c r="G274" s="93">
        <v>43242</v>
      </c>
      <c r="H274" s="93">
        <v>44</v>
      </c>
      <c r="I274" s="93">
        <v>138</v>
      </c>
    </row>
    <row r="275" spans="6:9">
      <c r="F275" s="56">
        <v>10</v>
      </c>
      <c r="G275" s="93">
        <v>43259</v>
      </c>
      <c r="H275" s="93">
        <v>48</v>
      </c>
      <c r="I275" s="93">
        <v>148</v>
      </c>
    </row>
    <row r="276" spans="6:9">
      <c r="F276" s="56">
        <v>11</v>
      </c>
      <c r="G276" s="93">
        <v>43276</v>
      </c>
      <c r="H276" s="93">
        <v>52</v>
      </c>
      <c r="I276" s="93">
        <v>158</v>
      </c>
    </row>
    <row r="277" spans="6:9">
      <c r="F277" s="56">
        <v>12</v>
      </c>
      <c r="G277" s="93">
        <v>43293</v>
      </c>
      <c r="H277" s="93">
        <v>56</v>
      </c>
      <c r="I277" s="93">
        <v>168</v>
      </c>
    </row>
    <row r="278" spans="6:9">
      <c r="F278" s="56">
        <v>13</v>
      </c>
      <c r="G278" s="93">
        <v>43310</v>
      </c>
      <c r="H278" s="93">
        <v>60</v>
      </c>
      <c r="I278" s="93">
        <v>178</v>
      </c>
    </row>
    <row r="279" spans="6:9">
      <c r="F279" s="56">
        <v>14</v>
      </c>
      <c r="G279" s="93">
        <v>43327</v>
      </c>
      <c r="H279" s="93">
        <v>64</v>
      </c>
      <c r="I279" s="93">
        <v>188</v>
      </c>
    </row>
    <row r="280" spans="6:9">
      <c r="F280" s="56">
        <v>15</v>
      </c>
      <c r="G280" s="93">
        <v>43344</v>
      </c>
      <c r="H280" s="93">
        <v>68</v>
      </c>
      <c r="I280" s="93">
        <v>198</v>
      </c>
    </row>
    <row r="281" spans="6:9">
      <c r="F281" s="56" t="s">
        <v>894</v>
      </c>
      <c r="G281" s="93">
        <v>303051</v>
      </c>
      <c r="H281" s="93">
        <v>392</v>
      </c>
      <c r="I281" s="93">
        <v>1176</v>
      </c>
    </row>
    <row r="293" spans="1:7">
      <c r="A293" s="50" t="s">
        <v>1233</v>
      </c>
      <c r="B293" s="50"/>
      <c r="D293" s="89" t="s">
        <v>1234</v>
      </c>
      <c r="E293" s="89"/>
      <c r="F293" s="89"/>
      <c r="G293" s="89"/>
    </row>
    <row r="295" spans="1:7">
      <c r="D295" t="s">
        <v>1235</v>
      </c>
    </row>
    <row r="299" spans="1:7">
      <c r="A299" s="115" t="s">
        <v>1236</v>
      </c>
      <c r="B299" s="115"/>
      <c r="C299" s="115"/>
      <c r="D299" s="115"/>
      <c r="E299" s="115"/>
    </row>
    <row r="300" spans="1:7">
      <c r="A300" s="115"/>
      <c r="B300" s="115"/>
      <c r="C300" s="115"/>
      <c r="D300" s="115"/>
      <c r="E300" s="115"/>
    </row>
    <row r="301" spans="1:7">
      <c r="A301" s="115"/>
      <c r="B301" s="115"/>
      <c r="C301" s="115"/>
      <c r="D301" s="115"/>
      <c r="E301" s="115"/>
    </row>
    <row r="303" spans="1:7">
      <c r="B303" s="44" t="s">
        <v>1237</v>
      </c>
      <c r="C303" s="44"/>
      <c r="D303" t="s">
        <v>1238</v>
      </c>
    </row>
    <row r="304" spans="1:7">
      <c r="D304" t="s">
        <v>1239</v>
      </c>
    </row>
    <row r="309" spans="1:10">
      <c r="A309" s="116" t="s">
        <v>1240</v>
      </c>
      <c r="B309" s="116"/>
      <c r="C309" s="116"/>
      <c r="D309" s="116"/>
    </row>
    <row r="310" spans="1:10">
      <c r="A310" s="116"/>
      <c r="B310" s="116"/>
      <c r="C310" s="116"/>
      <c r="D310" s="116"/>
    </row>
    <row r="311" spans="1:10">
      <c r="A311" s="116"/>
      <c r="B311" s="116"/>
      <c r="C311" s="116"/>
      <c r="D311" s="116"/>
    </row>
    <row r="313" spans="1:10">
      <c r="A313" t="s">
        <v>1241</v>
      </c>
      <c r="D313" t="s">
        <v>1242</v>
      </c>
    </row>
    <row r="314" spans="1:10">
      <c r="D314" t="s">
        <v>1243</v>
      </c>
    </row>
    <row r="316" spans="1:10">
      <c r="D316" t="s">
        <v>1244</v>
      </c>
      <c r="G316" s="44" t="s">
        <v>1246</v>
      </c>
      <c r="H316" s="44"/>
      <c r="I316" s="44"/>
      <c r="J316" s="44"/>
    </row>
    <row r="317" spans="1:10">
      <c r="D317" t="s">
        <v>1247</v>
      </c>
      <c r="G317" s="44" t="s">
        <v>1248</v>
      </c>
      <c r="H317" s="44"/>
      <c r="I317" s="44"/>
      <c r="J317" s="44"/>
    </row>
    <row r="318" spans="1:10">
      <c r="D318" t="s">
        <v>1245</v>
      </c>
      <c r="G318" s="44" t="s">
        <v>1249</v>
      </c>
      <c r="H318" s="44"/>
      <c r="I318" s="44"/>
      <c r="J318" s="44"/>
    </row>
    <row r="327" spans="2:5">
      <c r="B327" s="117" t="s">
        <v>1250</v>
      </c>
      <c r="C327" s="117"/>
      <c r="D327" s="117"/>
      <c r="E327" s="117"/>
    </row>
    <row r="328" spans="2:5">
      <c r="B328" s="117"/>
      <c r="C328" s="117"/>
      <c r="D328" s="117"/>
      <c r="E328" s="117"/>
    </row>
    <row r="329" spans="2:5">
      <c r="B329" s="117"/>
      <c r="C329" s="117"/>
      <c r="D329" s="117"/>
      <c r="E329" s="117"/>
    </row>
  </sheetData>
  <mergeCells count="14">
    <mergeCell ref="A299:E301"/>
    <mergeCell ref="A309:D311"/>
    <mergeCell ref="B327:E329"/>
    <mergeCell ref="A250:E253"/>
    <mergeCell ref="M1:O1"/>
    <mergeCell ref="A42:E44"/>
    <mergeCell ref="A66:E68"/>
    <mergeCell ref="A210:F213"/>
    <mergeCell ref="A227:F230"/>
    <mergeCell ref="A180:F183"/>
    <mergeCell ref="A81:G85"/>
    <mergeCell ref="A108:D111"/>
    <mergeCell ref="A173:E175"/>
    <mergeCell ref="A1:F3"/>
  </mergeCells>
  <pageMargins left="0.7" right="0.7" top="0.75" bottom="0.75" header="0.3" footer="0.3"/>
  <pageSetup orientation="portrait" r:id="rId8"/>
  <drawing r:id="rId9"/>
  <legacyDrawing r:id="rId10"/>
  <oleObjects>
    <oleObject progId="PowerPoint.Show.8" shapeId="4097" r:id="rId11"/>
  </oleObjects>
  <tableParts count="3">
    <tablePart r:id="rId12"/>
    <tablePart r:id="rId13"/>
    <tablePart r:id="rId14"/>
  </tableParts>
  <extLst xmlns:x14="http://schemas.microsoft.com/office/spreadsheetml/2009/9/main">
    <ext uri="{A8765BA9-456A-4dab-B4F3-ACF838C121DE}">
      <x14:slicerList>
        <x14:slicer r:id=""/>
      </x14:slicerList>
    </ext>
  </extLst>
</worksheet>
</file>

<file path=xl/worksheets/sheet5.xml><?xml version="1.0" encoding="utf-8"?>
<worksheet xmlns="http://schemas.openxmlformats.org/spreadsheetml/2006/main" xmlns:r="http://schemas.openxmlformats.org/officeDocument/2006/relationships">
  <sheetPr codeName="Sheet1">
    <tabColor theme="5" tint="-0.249977111117893"/>
  </sheetPr>
  <dimension ref="A1:Q107"/>
  <sheetViews>
    <sheetView topLeftCell="A85" workbookViewId="0">
      <selection activeCell="G102" sqref="G102"/>
    </sheetView>
  </sheetViews>
  <sheetFormatPr defaultRowHeight="14.4"/>
  <cols>
    <col min="7" max="7" width="8.77734375" customWidth="1"/>
    <col min="8" max="8" width="11.21875" bestFit="1" customWidth="1"/>
    <col min="9" max="9" width="10.21875" customWidth="1"/>
    <col min="10" max="10" width="13.88671875" customWidth="1"/>
  </cols>
  <sheetData>
    <row r="1" spans="1:5">
      <c r="A1" s="125" t="s">
        <v>1259</v>
      </c>
      <c r="B1" s="125"/>
      <c r="C1" s="125"/>
      <c r="D1" s="125"/>
      <c r="E1" s="125"/>
    </row>
    <row r="2" spans="1:5">
      <c r="A2" s="125"/>
      <c r="B2" s="125"/>
      <c r="C2" s="125"/>
      <c r="D2" s="125"/>
      <c r="E2" s="125"/>
    </row>
    <row r="3" spans="1:5">
      <c r="A3" s="125"/>
      <c r="B3" s="125"/>
      <c r="C3" s="125"/>
      <c r="D3" s="125"/>
      <c r="E3" s="125"/>
    </row>
    <row r="4" spans="1:5">
      <c r="A4" s="124" t="s">
        <v>1251</v>
      </c>
      <c r="B4" s="124"/>
      <c r="C4" s="124"/>
      <c r="D4" s="124"/>
      <c r="E4" s="124"/>
    </row>
    <row r="5" spans="1:5">
      <c r="A5" s="124"/>
      <c r="B5" s="124"/>
      <c r="C5" s="124"/>
      <c r="D5" s="124"/>
      <c r="E5" s="124"/>
    </row>
    <row r="6" spans="1:5">
      <c r="A6" s="124"/>
      <c r="B6" s="124"/>
      <c r="C6" s="124"/>
      <c r="D6" s="124"/>
      <c r="E6" s="124"/>
    </row>
    <row r="9" spans="1:5">
      <c r="A9" t="s">
        <v>1252</v>
      </c>
      <c r="B9" t="s">
        <v>1253</v>
      </c>
    </row>
    <row r="10" spans="1:5">
      <c r="B10" t="s">
        <v>1254</v>
      </c>
    </row>
    <row r="14" spans="1:5">
      <c r="A14" s="119" t="s">
        <v>1255</v>
      </c>
      <c r="B14" s="119"/>
      <c r="C14" s="119"/>
      <c r="D14" s="119"/>
      <c r="E14" s="119"/>
    </row>
    <row r="15" spans="1:5">
      <c r="A15" s="119"/>
      <c r="B15" s="119"/>
      <c r="C15" s="119"/>
      <c r="D15" s="119"/>
      <c r="E15" s="119"/>
    </row>
    <row r="16" spans="1:5">
      <c r="A16" s="119"/>
      <c r="B16" s="119"/>
      <c r="C16" s="119"/>
      <c r="D16" s="119"/>
      <c r="E16" s="119"/>
    </row>
    <row r="18" spans="1:12">
      <c r="A18" t="s">
        <v>1257</v>
      </c>
      <c r="B18" t="s">
        <v>1258</v>
      </c>
    </row>
    <row r="20" spans="1:12">
      <c r="A20" t="s">
        <v>1256</v>
      </c>
    </row>
    <row r="23" spans="1:12">
      <c r="A23" s="126" t="s">
        <v>1260</v>
      </c>
      <c r="B23" s="126"/>
      <c r="C23" s="126"/>
      <c r="D23" s="126"/>
      <c r="E23" s="126"/>
      <c r="F23" s="126"/>
      <c r="G23" s="126"/>
      <c r="L23" s="56"/>
    </row>
    <row r="24" spans="1:12">
      <c r="A24" s="126"/>
      <c r="B24" s="126"/>
      <c r="C24" s="126"/>
      <c r="D24" s="126"/>
      <c r="E24" s="126"/>
      <c r="F24" s="126"/>
      <c r="G24" s="126"/>
      <c r="L24" s="56"/>
    </row>
    <row r="25" spans="1:12">
      <c r="L25" s="56"/>
    </row>
    <row r="26" spans="1:12">
      <c r="L26" s="56"/>
    </row>
    <row r="27" spans="1:12">
      <c r="A27" t="s">
        <v>1261</v>
      </c>
      <c r="C27" t="s">
        <v>1262</v>
      </c>
      <c r="L27" s="56"/>
    </row>
    <row r="28" spans="1:12">
      <c r="L28" s="56"/>
    </row>
    <row r="29" spans="1:12">
      <c r="A29" t="s">
        <v>331</v>
      </c>
      <c r="H29" s="92"/>
      <c r="I29" s="92" t="s">
        <v>1266</v>
      </c>
      <c r="L29" s="56"/>
    </row>
    <row r="30" spans="1:12">
      <c r="D30" s="50"/>
      <c r="E30" s="50" t="s">
        <v>1264</v>
      </c>
      <c r="H30" s="92" t="s">
        <v>43</v>
      </c>
      <c r="I30" s="92" t="b">
        <f>EXACT(H30,H31)</f>
        <v>0</v>
      </c>
      <c r="J30" t="s">
        <v>1267</v>
      </c>
      <c r="L30" s="56"/>
    </row>
    <row r="31" spans="1:12">
      <c r="A31" t="s">
        <v>1263</v>
      </c>
      <c r="D31" s="50" t="s">
        <v>43</v>
      </c>
      <c r="E31" s="50"/>
      <c r="F31" s="50" t="b">
        <f>EXACT(D31,D32)</f>
        <v>1</v>
      </c>
      <c r="H31" s="92" t="s">
        <v>1265</v>
      </c>
      <c r="I31" s="92"/>
      <c r="L31" s="56"/>
    </row>
    <row r="32" spans="1:12">
      <c r="D32" s="50" t="s">
        <v>43</v>
      </c>
      <c r="E32" s="50"/>
      <c r="F32" s="50"/>
      <c r="L32" s="56"/>
    </row>
    <row r="33" spans="1:12">
      <c r="D33" s="50"/>
      <c r="E33" s="50"/>
      <c r="F33" s="50"/>
      <c r="L33" s="56"/>
    </row>
    <row r="34" spans="1:12">
      <c r="L34" s="56"/>
    </row>
    <row r="35" spans="1:12">
      <c r="A35" t="s">
        <v>1268</v>
      </c>
      <c r="D35" t="str">
        <f>TRIM(D31)</f>
        <v>navin</v>
      </c>
      <c r="L35" s="56"/>
    </row>
    <row r="36" spans="1:12">
      <c r="D36" t="str">
        <f>TRIM(H31)</f>
        <v>navin</v>
      </c>
      <c r="L36" s="56"/>
    </row>
    <row r="37" spans="1:12">
      <c r="L37" s="56"/>
    </row>
    <row r="38" spans="1:12">
      <c r="L38" s="56"/>
    </row>
    <row r="40" spans="1:12">
      <c r="A40" s="127" t="s">
        <v>1269</v>
      </c>
      <c r="B40" s="127"/>
      <c r="C40" s="127"/>
      <c r="D40" s="127"/>
      <c r="E40" s="127"/>
      <c r="F40" s="127"/>
    </row>
    <row r="41" spans="1:12">
      <c r="A41" s="127"/>
      <c r="B41" s="127"/>
      <c r="C41" s="127"/>
      <c r="D41" s="127"/>
      <c r="E41" s="127"/>
      <c r="F41" s="127"/>
    </row>
    <row r="42" spans="1:12">
      <c r="A42" s="127"/>
      <c r="B42" s="127"/>
      <c r="C42" s="127"/>
      <c r="D42" s="127"/>
      <c r="E42" s="127"/>
      <c r="F42" s="127"/>
      <c r="K42" t="s">
        <v>1270</v>
      </c>
    </row>
    <row r="43" spans="1:12">
      <c r="K43">
        <v>153</v>
      </c>
    </row>
    <row r="44" spans="1:12">
      <c r="K44">
        <f>K43+1000</f>
        <v>1153</v>
      </c>
    </row>
    <row r="45" spans="1:12">
      <c r="A45" t="s">
        <v>1271</v>
      </c>
      <c r="K45">
        <f t="shared" ref="K45:K57" si="0">K44+1000</f>
        <v>2153</v>
      </c>
    </row>
    <row r="46" spans="1:12">
      <c r="A46" t="s">
        <v>175</v>
      </c>
      <c r="C46" t="s">
        <v>1272</v>
      </c>
      <c r="K46">
        <f t="shared" si="0"/>
        <v>3153</v>
      </c>
    </row>
    <row r="47" spans="1:12">
      <c r="K47">
        <f t="shared" si="0"/>
        <v>4153</v>
      </c>
    </row>
    <row r="48" spans="1:12">
      <c r="K48">
        <f t="shared" si="0"/>
        <v>5153</v>
      </c>
    </row>
    <row r="49" spans="1:11">
      <c r="K49">
        <f t="shared" si="0"/>
        <v>6153</v>
      </c>
    </row>
    <row r="50" spans="1:11">
      <c r="K50">
        <f t="shared" si="0"/>
        <v>7153</v>
      </c>
    </row>
    <row r="51" spans="1:11">
      <c r="K51">
        <f t="shared" si="0"/>
        <v>8153</v>
      </c>
    </row>
    <row r="52" spans="1:11">
      <c r="K52">
        <f t="shared" si="0"/>
        <v>9153</v>
      </c>
    </row>
    <row r="53" spans="1:11">
      <c r="K53">
        <f t="shared" si="0"/>
        <v>10153</v>
      </c>
    </row>
    <row r="54" spans="1:11">
      <c r="K54">
        <f t="shared" si="0"/>
        <v>11153</v>
      </c>
    </row>
    <row r="55" spans="1:11">
      <c r="K55">
        <f t="shared" si="0"/>
        <v>12153</v>
      </c>
    </row>
    <row r="56" spans="1:11">
      <c r="K56">
        <f t="shared" si="0"/>
        <v>13153</v>
      </c>
    </row>
    <row r="57" spans="1:11">
      <c r="K57">
        <f t="shared" si="0"/>
        <v>14153</v>
      </c>
    </row>
    <row r="58" spans="1:11">
      <c r="A58" t="s">
        <v>1273</v>
      </c>
    </row>
    <row r="59" spans="1:11">
      <c r="A59" s="46" t="s">
        <v>1274</v>
      </c>
    </row>
    <row r="61" spans="1:11">
      <c r="A61" s="128" t="s">
        <v>1275</v>
      </c>
      <c r="B61" s="128"/>
      <c r="C61" s="128"/>
      <c r="D61" s="128"/>
      <c r="E61" s="128"/>
    </row>
    <row r="62" spans="1:11">
      <c r="A62" s="128"/>
      <c r="B62" s="128"/>
      <c r="C62" s="128"/>
      <c r="D62" s="128"/>
      <c r="E62" s="128"/>
    </row>
    <row r="63" spans="1:11">
      <c r="A63" s="128"/>
      <c r="B63" s="128"/>
      <c r="C63" s="128"/>
      <c r="D63" s="128"/>
      <c r="E63" s="128"/>
    </row>
    <row r="65" spans="1:9">
      <c r="A65" t="s">
        <v>1276</v>
      </c>
    </row>
    <row r="67" spans="1:9">
      <c r="A67" t="s">
        <v>1277</v>
      </c>
    </row>
    <row r="69" spans="1:9">
      <c r="A69" t="s">
        <v>1278</v>
      </c>
      <c r="D69" t="s">
        <v>1279</v>
      </c>
    </row>
    <row r="71" spans="1:9">
      <c r="D71" t="s">
        <v>1280</v>
      </c>
    </row>
    <row r="74" spans="1:9">
      <c r="A74" t="s">
        <v>1281</v>
      </c>
      <c r="D74" t="s">
        <v>1282</v>
      </c>
    </row>
    <row r="77" spans="1:9">
      <c r="A77" s="129" t="s">
        <v>1283</v>
      </c>
      <c r="B77" s="129"/>
      <c r="C77" s="129"/>
      <c r="D77" s="129"/>
      <c r="E77" s="129"/>
      <c r="F77" s="129"/>
      <c r="G77" s="129"/>
      <c r="H77" s="129"/>
      <c r="I77" s="129"/>
    </row>
    <row r="78" spans="1:9">
      <c r="A78" s="129"/>
      <c r="B78" s="129"/>
      <c r="C78" s="129"/>
      <c r="D78" s="129"/>
      <c r="E78" s="129"/>
      <c r="F78" s="129"/>
      <c r="G78" s="129"/>
      <c r="H78" s="129"/>
      <c r="I78" s="129"/>
    </row>
    <row r="79" spans="1:9">
      <c r="A79" s="129"/>
      <c r="B79" s="129"/>
      <c r="C79" s="129"/>
      <c r="D79" s="129"/>
      <c r="E79" s="129"/>
      <c r="F79" s="129"/>
      <c r="G79" s="129"/>
      <c r="H79" s="129"/>
      <c r="I79" s="129"/>
    </row>
    <row r="80" spans="1:9">
      <c r="A80" s="129"/>
      <c r="B80" s="129"/>
      <c r="C80" s="129"/>
      <c r="D80" s="129"/>
      <c r="E80" s="129"/>
      <c r="F80" s="129"/>
      <c r="G80" s="129"/>
      <c r="H80" s="129"/>
      <c r="I80" s="129"/>
    </row>
    <row r="83" spans="1:17" ht="18">
      <c r="A83" t="s">
        <v>1284</v>
      </c>
      <c r="D83" t="s">
        <v>1287</v>
      </c>
      <c r="J83" s="97" t="s">
        <v>1289</v>
      </c>
    </row>
    <row r="84" spans="1:17">
      <c r="A84" t="s">
        <v>1285</v>
      </c>
      <c r="F84">
        <v>1</v>
      </c>
      <c r="H84" s="50"/>
      <c r="I84" s="50"/>
    </row>
    <row r="85" spans="1:17">
      <c r="A85" t="s">
        <v>1286</v>
      </c>
      <c r="F85">
        <v>2</v>
      </c>
      <c r="H85" s="50"/>
      <c r="I85" s="50"/>
      <c r="J85" s="25" t="s">
        <v>1288</v>
      </c>
      <c r="K85" s="25"/>
      <c r="L85" s="25"/>
      <c r="M85" s="25"/>
      <c r="N85" s="25"/>
    </row>
    <row r="86" spans="1:17">
      <c r="F86">
        <v>3</v>
      </c>
      <c r="H86" s="50"/>
      <c r="I86" s="50"/>
    </row>
    <row r="87" spans="1:17">
      <c r="F87">
        <v>4</v>
      </c>
      <c r="H87" s="50"/>
      <c r="I87" s="50"/>
      <c r="K87">
        <v>4</v>
      </c>
    </row>
    <row r="88" spans="1:17">
      <c r="H88" s="50"/>
      <c r="I88" s="50"/>
    </row>
    <row r="89" spans="1:17">
      <c r="H89" s="50"/>
      <c r="I89" s="50"/>
      <c r="K89" t="str">
        <f>IF(K87=1,"male","female")</f>
        <v>female</v>
      </c>
    </row>
    <row r="90" spans="1:17" ht="18">
      <c r="H90" s="50"/>
      <c r="I90" s="50"/>
      <c r="L90" s="96" t="s">
        <v>1291</v>
      </c>
      <c r="M90" s="96"/>
      <c r="N90" s="96"/>
      <c r="O90" s="96"/>
      <c r="P90" s="96"/>
      <c r="Q90" s="25"/>
    </row>
    <row r="91" spans="1:17">
      <c r="H91" s="50"/>
      <c r="I91" s="50"/>
    </row>
    <row r="95" spans="1:17" ht="21">
      <c r="J95" s="98" t="s">
        <v>1290</v>
      </c>
    </row>
    <row r="96" spans="1:17">
      <c r="I96" s="95"/>
      <c r="J96" s="95"/>
      <c r="K96" s="95"/>
    </row>
    <row r="97" spans="2:11">
      <c r="I97" s="95"/>
      <c r="J97" s="95"/>
      <c r="K97" s="95"/>
    </row>
    <row r="98" spans="2:11">
      <c r="I98" s="95"/>
      <c r="J98" s="95"/>
      <c r="K98" s="95"/>
    </row>
    <row r="99" spans="2:11">
      <c r="I99" s="95"/>
      <c r="J99" s="95"/>
      <c r="K99" s="95"/>
    </row>
    <row r="100" spans="2:11">
      <c r="I100" s="95"/>
      <c r="J100" s="95"/>
      <c r="K100" s="95"/>
    </row>
    <row r="101" spans="2:11">
      <c r="I101" s="95"/>
      <c r="J101" s="95"/>
      <c r="K101" s="95"/>
    </row>
    <row r="102" spans="2:11">
      <c r="I102" s="94"/>
      <c r="J102" s="94"/>
      <c r="K102" s="94"/>
    </row>
    <row r="103" spans="2:11">
      <c r="B103" s="123" t="s">
        <v>1292</v>
      </c>
      <c r="C103" s="123"/>
      <c r="D103" s="123"/>
      <c r="E103" s="123"/>
    </row>
    <row r="104" spans="2:11">
      <c r="B104" s="123"/>
      <c r="C104" s="123"/>
      <c r="D104" s="123"/>
      <c r="E104" s="123"/>
    </row>
    <row r="105" spans="2:11">
      <c r="B105" s="123"/>
      <c r="C105" s="123"/>
      <c r="D105" s="123"/>
      <c r="E105" s="123"/>
    </row>
    <row r="106" spans="2:11">
      <c r="B106" s="123"/>
      <c r="C106" s="123"/>
      <c r="D106" s="123"/>
      <c r="E106" s="123"/>
    </row>
    <row r="107" spans="2:11">
      <c r="B107" s="123"/>
      <c r="C107" s="123"/>
      <c r="D107" s="123"/>
      <c r="E107" s="123"/>
    </row>
  </sheetData>
  <mergeCells count="8">
    <mergeCell ref="B103:E107"/>
    <mergeCell ref="A4:E6"/>
    <mergeCell ref="A14:E16"/>
    <mergeCell ref="A1:E3"/>
    <mergeCell ref="A23:G24"/>
    <mergeCell ref="A40:F42"/>
    <mergeCell ref="A61:E63"/>
    <mergeCell ref="A77:I80"/>
  </mergeCells>
  <hyperlinks>
    <hyperlink ref="A59" r:id="rId1" display="https://github.com/training-ml/PowerBI-Files "/>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sheetPr>
    <tabColor theme="5" tint="-0.499984740745262"/>
  </sheetPr>
  <dimension ref="A1:R178"/>
  <sheetViews>
    <sheetView topLeftCell="A160" workbookViewId="0">
      <selection activeCell="J173" sqref="J173"/>
    </sheetView>
  </sheetViews>
  <sheetFormatPr defaultRowHeight="14.4"/>
  <cols>
    <col min="6" max="6" width="12" bestFit="1" customWidth="1"/>
  </cols>
  <sheetData>
    <row r="1" spans="1:10">
      <c r="A1" s="137" t="s">
        <v>1293</v>
      </c>
      <c r="B1" s="137"/>
      <c r="C1" s="137"/>
      <c r="D1" s="137"/>
      <c r="E1" s="137"/>
    </row>
    <row r="2" spans="1:10">
      <c r="A2" s="137"/>
      <c r="B2" s="137"/>
      <c r="C2" s="137"/>
      <c r="D2" s="137"/>
      <c r="E2" s="137"/>
    </row>
    <row r="3" spans="1:10">
      <c r="A3" s="137"/>
      <c r="B3" s="137"/>
      <c r="C3" s="137"/>
      <c r="D3" s="137"/>
      <c r="E3" s="137"/>
    </row>
    <row r="5" spans="1:10" ht="18" customHeight="1">
      <c r="A5" s="138" t="s">
        <v>1294</v>
      </c>
      <c r="B5" s="138"/>
      <c r="C5" s="138"/>
      <c r="D5" s="138"/>
      <c r="E5" s="138"/>
      <c r="F5" s="138"/>
      <c r="G5" s="138"/>
      <c r="H5" s="138"/>
    </row>
    <row r="6" spans="1:10" ht="18" customHeight="1">
      <c r="A6" s="138"/>
      <c r="B6" s="138"/>
      <c r="C6" s="138"/>
      <c r="D6" s="138"/>
      <c r="E6" s="138"/>
      <c r="F6" s="138"/>
      <c r="G6" s="138"/>
      <c r="H6" s="138"/>
    </row>
    <row r="7" spans="1:10" ht="18" customHeight="1">
      <c r="A7" s="138"/>
      <c r="B7" s="138"/>
      <c r="C7" s="138"/>
      <c r="D7" s="138"/>
      <c r="E7" s="138"/>
      <c r="F7" s="138"/>
      <c r="G7" s="138"/>
      <c r="H7" s="138"/>
    </row>
    <row r="9" spans="1:10">
      <c r="A9" t="s">
        <v>1295</v>
      </c>
      <c r="C9" t="s">
        <v>1297</v>
      </c>
    </row>
    <row r="10" spans="1:10">
      <c r="A10" t="s">
        <v>1295</v>
      </c>
      <c r="C10" t="s">
        <v>1296</v>
      </c>
    </row>
    <row r="12" spans="1:10">
      <c r="C12" t="s">
        <v>1298</v>
      </c>
    </row>
    <row r="13" spans="1:10">
      <c r="D13" t="s">
        <v>1299</v>
      </c>
    </row>
    <row r="16" spans="1:10">
      <c r="A16" s="139" t="s">
        <v>1300</v>
      </c>
      <c r="B16" s="139"/>
      <c r="C16" s="139"/>
      <c r="D16" s="139"/>
      <c r="E16" s="139"/>
      <c r="I16" t="s">
        <v>1301</v>
      </c>
      <c r="J16" t="s">
        <v>1302</v>
      </c>
    </row>
    <row r="17" spans="1:13">
      <c r="A17" s="139"/>
      <c r="B17" s="139"/>
      <c r="C17" s="139"/>
      <c r="D17" s="139"/>
      <c r="E17" s="139"/>
      <c r="H17" t="s">
        <v>1304</v>
      </c>
      <c r="I17" t="s">
        <v>1306</v>
      </c>
      <c r="J17" t="s">
        <v>1308</v>
      </c>
      <c r="K17" t="s">
        <v>1310</v>
      </c>
    </row>
    <row r="18" spans="1:13">
      <c r="A18" s="139"/>
      <c r="B18" s="139"/>
      <c r="C18" s="139"/>
      <c r="D18" s="139"/>
      <c r="E18" s="139"/>
      <c r="H18" t="s">
        <v>1305</v>
      </c>
      <c r="I18" t="s">
        <v>1307</v>
      </c>
      <c r="J18" t="s">
        <v>1309</v>
      </c>
      <c r="K18" t="s">
        <v>1311</v>
      </c>
    </row>
    <row r="19" spans="1:13">
      <c r="A19" s="139"/>
      <c r="B19" s="139"/>
      <c r="C19" s="139"/>
      <c r="D19" s="139"/>
      <c r="E19" s="139"/>
    </row>
    <row r="22" spans="1:13">
      <c r="A22" t="s">
        <v>1316</v>
      </c>
    </row>
    <row r="25" spans="1:13">
      <c r="K25" t="s">
        <v>1301</v>
      </c>
      <c r="L25" t="s">
        <v>1312</v>
      </c>
      <c r="M25" t="s">
        <v>1303</v>
      </c>
    </row>
    <row r="27" spans="1:13">
      <c r="J27">
        <v>2</v>
      </c>
      <c r="K27" t="str">
        <f>INDEX(I16:N18,J27,1)</f>
        <v>warm winterboots</v>
      </c>
    </row>
    <row r="33" spans="1:12">
      <c r="L33" t="s">
        <v>1313</v>
      </c>
    </row>
    <row r="34" spans="1:12">
      <c r="L34" t="s">
        <v>1314</v>
      </c>
    </row>
    <row r="35" spans="1:12">
      <c r="L35" t="s">
        <v>1315</v>
      </c>
    </row>
    <row r="39" spans="1:12">
      <c r="A39" s="140" t="s">
        <v>1317</v>
      </c>
      <c r="B39" s="140"/>
      <c r="C39" s="140"/>
      <c r="D39" s="140"/>
      <c r="E39" s="140"/>
    </row>
    <row r="40" spans="1:12" ht="21" customHeight="1">
      <c r="A40" s="140"/>
      <c r="B40" s="140"/>
      <c r="C40" s="140"/>
      <c r="D40" s="140"/>
      <c r="E40" s="140"/>
    </row>
    <row r="41" spans="1:12">
      <c r="A41" s="140"/>
      <c r="B41" s="140"/>
      <c r="C41" s="140"/>
      <c r="D41" s="140"/>
      <c r="E41" s="140"/>
    </row>
    <row r="42" spans="1:12">
      <c r="A42" s="29" t="s">
        <v>1321</v>
      </c>
      <c r="B42" s="29"/>
      <c r="D42" s="63" t="s">
        <v>1322</v>
      </c>
      <c r="E42" s="63"/>
      <c r="F42" s="63"/>
      <c r="G42" s="63"/>
      <c r="H42" s="63"/>
    </row>
    <row r="43" spans="1:12">
      <c r="E43" t="s">
        <v>1318</v>
      </c>
      <c r="F43" t="s">
        <v>230</v>
      </c>
      <c r="G43" t="s">
        <v>1324</v>
      </c>
      <c r="H43" t="s">
        <v>1320</v>
      </c>
    </row>
    <row r="44" spans="1:12">
      <c r="E44" t="s">
        <v>43</v>
      </c>
      <c r="F44">
        <v>8757569686</v>
      </c>
      <c r="G44" t="s">
        <v>1325</v>
      </c>
    </row>
    <row r="45" spans="1:12">
      <c r="E45" t="s">
        <v>45</v>
      </c>
      <c r="F45" t="s">
        <v>44</v>
      </c>
    </row>
    <row r="46" spans="1:12">
      <c r="E46" t="s">
        <v>44</v>
      </c>
      <c r="F46">
        <v>9797</v>
      </c>
      <c r="H46" t="s">
        <v>1323</v>
      </c>
    </row>
    <row r="47" spans="1:12">
      <c r="E47" t="s">
        <v>1319</v>
      </c>
    </row>
    <row r="48" spans="1:12">
      <c r="E48" t="s">
        <v>277</v>
      </c>
      <c r="F48">
        <v>797</v>
      </c>
    </row>
    <row r="53" spans="1:13">
      <c r="E53" t="s">
        <v>64</v>
      </c>
      <c r="F53" t="s">
        <v>1326</v>
      </c>
      <c r="G53" t="s">
        <v>1324</v>
      </c>
      <c r="H53" t="s">
        <v>1327</v>
      </c>
      <c r="I53" t="s">
        <v>1329</v>
      </c>
    </row>
    <row r="54" spans="1:13">
      <c r="E54" t="s">
        <v>43</v>
      </c>
      <c r="F54">
        <v>8757569686</v>
      </c>
      <c r="G54" t="s">
        <v>1325</v>
      </c>
      <c r="H54">
        <v>560097</v>
      </c>
      <c r="I54" t="s">
        <v>1330</v>
      </c>
      <c r="K54" t="s">
        <v>1331</v>
      </c>
    </row>
    <row r="55" spans="1:13">
      <c r="E55" t="s">
        <v>45</v>
      </c>
      <c r="F55">
        <v>875756696069</v>
      </c>
      <c r="G55" t="s">
        <v>1328</v>
      </c>
      <c r="H55">
        <v>560089</v>
      </c>
      <c r="I55" t="s">
        <v>1330</v>
      </c>
    </row>
    <row r="56" spans="1:13">
      <c r="E56" t="s">
        <v>44</v>
      </c>
      <c r="F56">
        <v>4454</v>
      </c>
      <c r="G56" t="s">
        <v>1328</v>
      </c>
      <c r="H56">
        <v>801103</v>
      </c>
      <c r="I56" t="s">
        <v>1330</v>
      </c>
    </row>
    <row r="59" spans="1:13">
      <c r="A59" s="141" t="s">
        <v>1332</v>
      </c>
      <c r="B59" s="141"/>
      <c r="C59" s="141"/>
      <c r="D59" s="141"/>
      <c r="E59" s="141"/>
      <c r="F59" s="141"/>
      <c r="G59" s="141"/>
    </row>
    <row r="60" spans="1:13" ht="15" thickBot="1">
      <c r="A60" s="141"/>
      <c r="B60" s="141"/>
      <c r="C60" s="141"/>
      <c r="D60" s="141"/>
      <c r="E60" s="141"/>
      <c r="F60" s="141"/>
      <c r="G60" s="141"/>
    </row>
    <row r="61" spans="1:13" ht="24" thickBot="1">
      <c r="A61" s="141"/>
      <c r="B61" s="141"/>
      <c r="C61" s="141"/>
      <c r="D61" s="141"/>
      <c r="E61" s="141"/>
      <c r="F61" s="141"/>
      <c r="G61" s="141"/>
      <c r="J61" s="132" t="s">
        <v>1340</v>
      </c>
      <c r="K61" s="133"/>
      <c r="L61" s="133"/>
      <c r="M61" s="134"/>
    </row>
    <row r="63" spans="1:13">
      <c r="A63" s="44" t="s">
        <v>1333</v>
      </c>
      <c r="B63" s="44"/>
      <c r="C63" s="44"/>
      <c r="D63" s="44"/>
      <c r="E63" s="44"/>
      <c r="F63" s="44"/>
      <c r="G63" s="44"/>
    </row>
    <row r="65" spans="2:18">
      <c r="B65" t="s">
        <v>1334</v>
      </c>
      <c r="E65" t="s">
        <v>1335</v>
      </c>
    </row>
    <row r="66" spans="2:18">
      <c r="E66" s="23">
        <v>1</v>
      </c>
      <c r="F66" s="23" t="s">
        <v>1336</v>
      </c>
    </row>
    <row r="67" spans="2:18">
      <c r="E67" s="23">
        <v>2</v>
      </c>
      <c r="F67" s="23" t="s">
        <v>1337</v>
      </c>
    </row>
    <row r="68" spans="2:18">
      <c r="E68" s="23">
        <v>3</v>
      </c>
      <c r="F68" s="23" t="s">
        <v>1338</v>
      </c>
    </row>
    <row r="69" spans="2:18">
      <c r="E69" s="23">
        <v>4</v>
      </c>
      <c r="F69" s="23" t="s">
        <v>1339</v>
      </c>
    </row>
    <row r="72" spans="2:18">
      <c r="B72" s="99" t="s">
        <v>1342</v>
      </c>
      <c r="C72" s="99"/>
      <c r="D72" s="99"/>
      <c r="E72" s="99"/>
      <c r="F72" s="99"/>
    </row>
    <row r="80" spans="2:18">
      <c r="Q80" s="9" t="s">
        <v>1341</v>
      </c>
      <c r="R80" s="9"/>
    </row>
    <row r="85" spans="1:12">
      <c r="B85" s="28" t="s">
        <v>1343</v>
      </c>
      <c r="C85" s="28"/>
      <c r="D85" s="28"/>
      <c r="E85" s="28"/>
      <c r="F85" s="28"/>
      <c r="G85" s="28"/>
    </row>
    <row r="90" spans="1:12">
      <c r="A90" s="135" t="s">
        <v>1344</v>
      </c>
      <c r="B90" s="135"/>
      <c r="C90" s="135"/>
      <c r="D90" s="135"/>
      <c r="E90" s="135"/>
    </row>
    <row r="91" spans="1:12">
      <c r="A91" s="135"/>
      <c r="B91" s="135"/>
      <c r="C91" s="135"/>
      <c r="D91" s="135"/>
      <c r="E91" s="135"/>
    </row>
    <row r="92" spans="1:12">
      <c r="A92" s="135"/>
      <c r="B92" s="135"/>
      <c r="C92" s="135"/>
      <c r="D92" s="135"/>
      <c r="E92" s="135"/>
    </row>
    <row r="94" spans="1:12">
      <c r="A94" t="s">
        <v>1345</v>
      </c>
    </row>
    <row r="96" spans="1:12">
      <c r="A96" t="s">
        <v>1346</v>
      </c>
      <c r="D96" s="27" t="s">
        <v>1347</v>
      </c>
      <c r="E96" s="27"/>
      <c r="F96" s="27"/>
      <c r="G96" s="27"/>
      <c r="H96" s="27"/>
      <c r="I96" s="27"/>
      <c r="J96" s="27"/>
      <c r="K96" s="27"/>
      <c r="L96" s="27"/>
    </row>
    <row r="98" spans="3:17">
      <c r="C98" t="s">
        <v>1348</v>
      </c>
    </row>
    <row r="100" spans="3:17">
      <c r="E100">
        <v>1801.2</v>
      </c>
      <c r="F100">
        <v>332.29229089104905</v>
      </c>
      <c r="G100">
        <v>332.29298050657172</v>
      </c>
      <c r="H100">
        <v>4587</v>
      </c>
      <c r="J100">
        <f t="shared" ref="J100:M104" si="0">E100</f>
        <v>1801.2</v>
      </c>
      <c r="K100">
        <f t="shared" si="0"/>
        <v>332.29229089104905</v>
      </c>
      <c r="L100">
        <f t="shared" si="0"/>
        <v>332.29298050657172</v>
      </c>
      <c r="M100">
        <f t="shared" si="0"/>
        <v>4587</v>
      </c>
    </row>
    <row r="101" spans="3:17">
      <c r="E101">
        <v>150000</v>
      </c>
      <c r="F101">
        <v>27672.121936550109</v>
      </c>
      <c r="G101">
        <v>27672.12262616563</v>
      </c>
      <c r="H101">
        <v>27672.123315781151</v>
      </c>
      <c r="J101">
        <f t="shared" si="0"/>
        <v>150000</v>
      </c>
      <c r="K101">
        <f t="shared" si="0"/>
        <v>27672.121936550109</v>
      </c>
      <c r="L101">
        <f t="shared" si="0"/>
        <v>27672.12262616563</v>
      </c>
      <c r="M101">
        <f t="shared" si="0"/>
        <v>27672.123315781151</v>
      </c>
      <c r="P101" s="27" t="s">
        <v>1349</v>
      </c>
      <c r="Q101" s="27"/>
    </row>
    <row r="102" spans="3:17">
      <c r="E102">
        <f>E101+100000</f>
        <v>250000</v>
      </c>
      <c r="F102">
        <v>46120.199549634061</v>
      </c>
      <c r="G102">
        <v>46120.200239249585</v>
      </c>
      <c r="H102">
        <v>46120.20092886511</v>
      </c>
      <c r="J102">
        <f t="shared" si="0"/>
        <v>250000</v>
      </c>
      <c r="K102">
        <f t="shared" si="0"/>
        <v>46120.199549634061</v>
      </c>
      <c r="L102">
        <f t="shared" si="0"/>
        <v>46120.200239249585</v>
      </c>
      <c r="M102">
        <f t="shared" si="0"/>
        <v>46120.20092886511</v>
      </c>
    </row>
    <row r="103" spans="3:17">
      <c r="E103">
        <v>150001</v>
      </c>
      <c r="F103">
        <v>27672.306417326236</v>
      </c>
      <c r="G103">
        <v>27672.30710694176</v>
      </c>
      <c r="H103">
        <v>27672.307796557285</v>
      </c>
      <c r="J103">
        <f t="shared" si="0"/>
        <v>150001</v>
      </c>
      <c r="K103">
        <f t="shared" si="0"/>
        <v>27672.306417326236</v>
      </c>
      <c r="L103">
        <f t="shared" si="0"/>
        <v>27672.30710694176</v>
      </c>
      <c r="M103">
        <f t="shared" si="0"/>
        <v>27672.307796557285</v>
      </c>
    </row>
    <row r="104" spans="3:17">
      <c r="E104">
        <f t="shared" ref="E104" si="1">E103+100000</f>
        <v>250001</v>
      </c>
      <c r="F104">
        <v>46120.38403041019</v>
      </c>
      <c r="G104">
        <v>46120.384720025715</v>
      </c>
      <c r="H104">
        <v>46120.385409641232</v>
      </c>
      <c r="J104">
        <f t="shared" si="0"/>
        <v>250001</v>
      </c>
      <c r="K104">
        <f t="shared" si="0"/>
        <v>46120.38403041019</v>
      </c>
      <c r="L104">
        <f t="shared" si="0"/>
        <v>46120.384720025715</v>
      </c>
      <c r="M104">
        <f t="shared" si="0"/>
        <v>46120.385409641232</v>
      </c>
    </row>
    <row r="105" spans="3:17">
      <c r="E105">
        <v>150002</v>
      </c>
      <c r="F105">
        <v>27672.490898102369</v>
      </c>
      <c r="G105">
        <v>27672.49158771789</v>
      </c>
      <c r="H105">
        <v>27672.492277333415</v>
      </c>
    </row>
    <row r="106" spans="3:17">
      <c r="E106">
        <f t="shared" ref="E106" si="2">E105+100000</f>
        <v>250002</v>
      </c>
      <c r="F106">
        <v>46120.56851118632</v>
      </c>
      <c r="G106">
        <v>46120.569200801845</v>
      </c>
      <c r="H106">
        <v>46120.569890417362</v>
      </c>
    </row>
    <row r="107" spans="3:17">
      <c r="E107">
        <v>150003</v>
      </c>
      <c r="F107">
        <v>27672.675378878499</v>
      </c>
      <c r="G107">
        <v>27672.676068494024</v>
      </c>
      <c r="H107">
        <v>27672.676758109545</v>
      </c>
    </row>
    <row r="108" spans="3:17">
      <c r="E108">
        <f t="shared" ref="E108" si="3">E107+100000</f>
        <v>250003</v>
      </c>
      <c r="F108">
        <v>46120.752991962458</v>
      </c>
      <c r="G108">
        <v>46120.753681577968</v>
      </c>
      <c r="H108">
        <v>46120.7543711935</v>
      </c>
    </row>
    <row r="109" spans="3:17">
      <c r="E109">
        <v>150004</v>
      </c>
      <c r="F109">
        <v>27672.859859654633</v>
      </c>
      <c r="G109">
        <v>27672.860549270154</v>
      </c>
      <c r="H109">
        <v>27672.861238885675</v>
      </c>
    </row>
    <row r="110" spans="3:17">
      <c r="E110">
        <f t="shared" ref="E110" si="4">E109+100000</f>
        <v>250004</v>
      </c>
      <c r="F110">
        <v>46120.937472738588</v>
      </c>
      <c r="G110">
        <v>46120.938162354105</v>
      </c>
      <c r="H110">
        <v>46120.938851969629</v>
      </c>
    </row>
    <row r="111" spans="3:17">
      <c r="E111">
        <v>150005</v>
      </c>
      <c r="F111">
        <v>27673.044340430763</v>
      </c>
      <c r="G111">
        <v>27673.045030046287</v>
      </c>
      <c r="H111">
        <v>27673.045719661808</v>
      </c>
    </row>
    <row r="112" spans="3:17">
      <c r="E112">
        <f t="shared" ref="E112" si="5">E111+100000</f>
        <v>250005</v>
      </c>
      <c r="F112">
        <v>46121.121953514717</v>
      </c>
      <c r="G112">
        <v>46121.122643130235</v>
      </c>
      <c r="H112">
        <v>46121.123332745759</v>
      </c>
    </row>
    <row r="113" spans="1:9">
      <c r="E113">
        <v>150006</v>
      </c>
      <c r="F113">
        <v>27673.228821206892</v>
      </c>
      <c r="G113">
        <v>27673.229510822413</v>
      </c>
      <c r="H113">
        <v>27673.230200437942</v>
      </c>
    </row>
    <row r="114" spans="1:9">
      <c r="E114">
        <f t="shared" ref="E114" si="6">E113+100000</f>
        <v>250006</v>
      </c>
      <c r="F114">
        <v>46121.306434290855</v>
      </c>
      <c r="G114">
        <v>46121.307123906365</v>
      </c>
      <c r="H114">
        <v>46121.307813521889</v>
      </c>
    </row>
    <row r="117" spans="1:9">
      <c r="A117" t="s">
        <v>1350</v>
      </c>
      <c r="D117" t="s">
        <v>1351</v>
      </c>
    </row>
    <row r="118" spans="1:9">
      <c r="F118" t="s">
        <v>1352</v>
      </c>
    </row>
    <row r="120" spans="1:9">
      <c r="F120">
        <v>1801.2</v>
      </c>
      <c r="G120">
        <v>332.29229089104905</v>
      </c>
      <c r="H120">
        <v>332.29298050657172</v>
      </c>
      <c r="I120">
        <v>4587</v>
      </c>
    </row>
    <row r="121" spans="1:9">
      <c r="F121">
        <v>150000</v>
      </c>
      <c r="G121">
        <v>27672.121936550109</v>
      </c>
      <c r="H121">
        <v>27672.12262616563</v>
      </c>
      <c r="I121">
        <v>27672.123315781151</v>
      </c>
    </row>
    <row r="122" spans="1:9">
      <c r="F122">
        <f>F121+100000</f>
        <v>250000</v>
      </c>
      <c r="G122">
        <v>46120.199549634061</v>
      </c>
      <c r="H122">
        <v>46120.200239249585</v>
      </c>
      <c r="I122">
        <v>46120.20092886511</v>
      </c>
    </row>
    <row r="123" spans="1:9">
      <c r="F123">
        <v>150001</v>
      </c>
      <c r="G123">
        <v>27672.306417326236</v>
      </c>
      <c r="H123">
        <v>27672.30710694176</v>
      </c>
      <c r="I123">
        <v>27672.307796557285</v>
      </c>
    </row>
    <row r="124" spans="1:9">
      <c r="F124">
        <f t="shared" ref="F124" si="7">F123+100000</f>
        <v>250001</v>
      </c>
      <c r="G124">
        <v>46120.38403041019</v>
      </c>
      <c r="H124">
        <v>46120.384720025715</v>
      </c>
      <c r="I124">
        <v>46120.385409641232</v>
      </c>
    </row>
    <row r="125" spans="1:9">
      <c r="F125">
        <v>150002</v>
      </c>
      <c r="G125">
        <v>27672.490898102369</v>
      </c>
      <c r="H125">
        <v>27672.49158771789</v>
      </c>
      <c r="I125">
        <v>27672.492277333415</v>
      </c>
    </row>
    <row r="126" spans="1:9">
      <c r="F126">
        <f t="shared" ref="F126" si="8">F125+100000</f>
        <v>250002</v>
      </c>
      <c r="G126">
        <v>46120.56851118632</v>
      </c>
      <c r="H126">
        <v>46120.569200801845</v>
      </c>
      <c r="I126">
        <v>46120.569890417362</v>
      </c>
    </row>
    <row r="127" spans="1:9">
      <c r="F127">
        <v>150003</v>
      </c>
      <c r="G127">
        <v>27672.675378878499</v>
      </c>
      <c r="H127">
        <v>27672.676068494024</v>
      </c>
      <c r="I127">
        <v>27672.676758109545</v>
      </c>
    </row>
    <row r="128" spans="1:9">
      <c r="F128">
        <f t="shared" ref="F128" si="9">F127+100000</f>
        <v>250003</v>
      </c>
      <c r="G128">
        <v>46120.752991962458</v>
      </c>
      <c r="H128">
        <v>46120.753681577968</v>
      </c>
      <c r="I128">
        <v>46120.7543711935</v>
      </c>
    </row>
    <row r="129" spans="1:9">
      <c r="F129">
        <v>150004</v>
      </c>
      <c r="G129">
        <v>27672.859859654633</v>
      </c>
      <c r="H129">
        <v>27672.860549270154</v>
      </c>
      <c r="I129">
        <v>27672.861238885675</v>
      </c>
    </row>
    <row r="130" spans="1:9">
      <c r="F130">
        <f t="shared" ref="F130" si="10">F129+100000</f>
        <v>250004</v>
      </c>
      <c r="G130">
        <v>46120.937472738588</v>
      </c>
      <c r="H130">
        <v>46120.938162354105</v>
      </c>
      <c r="I130">
        <v>46120.938851969629</v>
      </c>
    </row>
    <row r="131" spans="1:9">
      <c r="F131">
        <v>150005</v>
      </c>
      <c r="G131">
        <v>27673.044340430763</v>
      </c>
      <c r="H131">
        <v>27673.045030046287</v>
      </c>
      <c r="I131">
        <v>27673.045719661808</v>
      </c>
    </row>
    <row r="132" spans="1:9">
      <c r="F132">
        <f t="shared" ref="F132" si="11">F131+100000</f>
        <v>250005</v>
      </c>
      <c r="G132">
        <v>46121.121953514717</v>
      </c>
      <c r="H132">
        <v>46121.122643130235</v>
      </c>
      <c r="I132">
        <v>46121.123332745759</v>
      </c>
    </row>
    <row r="133" spans="1:9">
      <c r="F133">
        <v>150006</v>
      </c>
      <c r="G133">
        <v>27673.228821206892</v>
      </c>
      <c r="H133">
        <v>27673.229510822413</v>
      </c>
      <c r="I133">
        <v>27673.230200437942</v>
      </c>
    </row>
    <row r="134" spans="1:9">
      <c r="F134">
        <f t="shared" ref="F134" si="12">F133+100000</f>
        <v>250006</v>
      </c>
      <c r="G134">
        <v>46121.306434290855</v>
      </c>
      <c r="H134">
        <v>46121.307123906365</v>
      </c>
      <c r="I134">
        <v>46121.307813521889</v>
      </c>
    </row>
    <row r="138" spans="1:9">
      <c r="A138" s="136" t="s">
        <v>1353</v>
      </c>
      <c r="B138" s="136"/>
      <c r="C138" s="136"/>
      <c r="D138" s="136"/>
      <c r="E138" s="136"/>
    </row>
    <row r="139" spans="1:9">
      <c r="A139" s="136"/>
      <c r="B139" s="136"/>
      <c r="C139" s="136"/>
      <c r="D139" s="136"/>
      <c r="E139" s="136"/>
    </row>
    <row r="140" spans="1:9">
      <c r="A140" s="136"/>
      <c r="B140" s="136"/>
      <c r="C140" s="136"/>
      <c r="D140" s="136"/>
      <c r="E140" s="136"/>
    </row>
    <row r="143" spans="1:9">
      <c r="A143" t="s">
        <v>1354</v>
      </c>
      <c r="C143" t="s">
        <v>1355</v>
      </c>
    </row>
    <row r="144" spans="1:9">
      <c r="C144" t="s">
        <v>1356</v>
      </c>
    </row>
    <row r="145" spans="1:7">
      <c r="C145" t="s">
        <v>1357</v>
      </c>
    </row>
    <row r="147" spans="1:7">
      <c r="E147" t="s">
        <v>1358</v>
      </c>
      <c r="F147" t="s">
        <v>64</v>
      </c>
      <c r="G147" t="s">
        <v>1359</v>
      </c>
    </row>
    <row r="148" spans="1:7">
      <c r="E148" t="s">
        <v>1358</v>
      </c>
      <c r="F148" t="s">
        <v>43</v>
      </c>
      <c r="G148">
        <v>120000</v>
      </c>
    </row>
    <row r="149" spans="1:7">
      <c r="E149" t="s">
        <v>1358</v>
      </c>
      <c r="F149" t="s">
        <v>44</v>
      </c>
      <c r="G149">
        <f>G148+3000</f>
        <v>123000</v>
      </c>
    </row>
    <row r="150" spans="1:7">
      <c r="E150" t="s">
        <v>1358</v>
      </c>
      <c r="F150" t="s">
        <v>45</v>
      </c>
      <c r="G150">
        <f t="shared" ref="G150:G153" si="13">G149+3000</f>
        <v>126000</v>
      </c>
    </row>
    <row r="151" spans="1:7">
      <c r="E151" t="s">
        <v>1325</v>
      </c>
      <c r="F151" t="s">
        <v>1362</v>
      </c>
      <c r="G151">
        <f t="shared" si="13"/>
        <v>129000</v>
      </c>
    </row>
    <row r="152" spans="1:7">
      <c r="E152" t="s">
        <v>1360</v>
      </c>
      <c r="F152" t="s">
        <v>1363</v>
      </c>
      <c r="G152">
        <f t="shared" si="13"/>
        <v>132000</v>
      </c>
    </row>
    <row r="153" spans="1:7">
      <c r="E153" t="s">
        <v>1361</v>
      </c>
      <c r="F153" t="s">
        <v>1364</v>
      </c>
      <c r="G153">
        <f t="shared" si="13"/>
        <v>135000</v>
      </c>
    </row>
    <row r="155" spans="1:7">
      <c r="A155" t="s">
        <v>1365</v>
      </c>
      <c r="C155" t="s">
        <v>1366</v>
      </c>
    </row>
    <row r="157" spans="1:7">
      <c r="A157" t="s">
        <v>1367</v>
      </c>
      <c r="E157" t="s">
        <v>1368</v>
      </c>
    </row>
    <row r="159" spans="1:7">
      <c r="A159" s="130" t="s">
        <v>1369</v>
      </c>
      <c r="B159" s="130"/>
      <c r="C159" s="130"/>
      <c r="D159" s="130"/>
    </row>
    <row r="160" spans="1:7">
      <c r="A160" s="130"/>
      <c r="B160" s="130"/>
      <c r="C160" s="130"/>
      <c r="D160" s="130"/>
    </row>
    <row r="161" spans="1:8">
      <c r="A161" s="130"/>
      <c r="B161" s="130"/>
      <c r="C161" s="130"/>
      <c r="D161" s="130"/>
    </row>
    <row r="164" spans="1:8">
      <c r="A164" t="s">
        <v>1370</v>
      </c>
      <c r="D164" t="s">
        <v>1371</v>
      </c>
    </row>
    <row r="165" spans="1:8">
      <c r="D165" t="s">
        <v>1372</v>
      </c>
    </row>
    <row r="167" spans="1:8">
      <c r="D167" t="s">
        <v>1373</v>
      </c>
    </row>
    <row r="169" spans="1:8">
      <c r="D169" s="41" t="s">
        <v>1374</v>
      </c>
      <c r="E169" s="41"/>
      <c r="F169" s="41"/>
      <c r="G169" s="41"/>
      <c r="H169" s="41"/>
    </row>
    <row r="174" spans="1:8">
      <c r="B174" s="131" t="s">
        <v>1375</v>
      </c>
      <c r="C174" s="131"/>
      <c r="D174" s="131"/>
      <c r="E174" s="131"/>
    </row>
    <row r="175" spans="1:8">
      <c r="B175" s="131"/>
      <c r="C175" s="131"/>
      <c r="D175" s="131"/>
      <c r="E175" s="131"/>
    </row>
    <row r="176" spans="1:8">
      <c r="B176" s="131"/>
      <c r="C176" s="131"/>
      <c r="D176" s="131"/>
      <c r="E176" s="131"/>
    </row>
    <row r="177" spans="2:5">
      <c r="B177" s="131"/>
      <c r="C177" s="131"/>
      <c r="D177" s="131"/>
      <c r="E177" s="131"/>
    </row>
    <row r="178" spans="2:5">
      <c r="B178" s="131"/>
      <c r="C178" s="131"/>
      <c r="D178" s="131"/>
      <c r="E178" s="131"/>
    </row>
  </sheetData>
  <mergeCells count="10">
    <mergeCell ref="A1:E3"/>
    <mergeCell ref="A5:H7"/>
    <mergeCell ref="A16:E19"/>
    <mergeCell ref="A39:E41"/>
    <mergeCell ref="A59:G61"/>
    <mergeCell ref="A159:D161"/>
    <mergeCell ref="B174:E178"/>
    <mergeCell ref="J61:M61"/>
    <mergeCell ref="A90:E92"/>
    <mergeCell ref="A138:E140"/>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sheetPr codeName="Sheet6">
    <tabColor rgb="FF0070C0"/>
  </sheetPr>
  <dimension ref="A1:Y112"/>
  <sheetViews>
    <sheetView topLeftCell="H1" workbookViewId="0">
      <selection activeCell="M20" sqref="M20"/>
    </sheetView>
  </sheetViews>
  <sheetFormatPr defaultRowHeight="14.4"/>
  <cols>
    <col min="1" max="1" width="8.77734375" customWidth="1"/>
    <col min="2" max="2" width="14.6640625" bestFit="1" customWidth="1"/>
    <col min="3" max="3" width="12.33203125" bestFit="1" customWidth="1"/>
    <col min="4" max="4" width="11.21875" bestFit="1" customWidth="1"/>
    <col min="5" max="5" width="12.77734375" bestFit="1" customWidth="1"/>
    <col min="6" max="6" width="13.5546875" bestFit="1" customWidth="1"/>
    <col min="7" max="7" width="17" bestFit="1" customWidth="1"/>
    <col min="8" max="8" width="11.33203125" bestFit="1" customWidth="1"/>
    <col min="9" max="9" width="11.88671875" bestFit="1" customWidth="1"/>
    <col min="10" max="10" width="13.88671875" bestFit="1" customWidth="1"/>
    <col min="12" max="12" width="12.5546875" customWidth="1"/>
    <col min="14" max="14" width="11.44140625" customWidth="1"/>
    <col min="15" max="15" width="10.21875" customWidth="1"/>
    <col min="16" max="16" width="13.77734375" customWidth="1"/>
    <col min="17" max="17" width="14.5546875" customWidth="1"/>
    <col min="19" max="19" width="9.88671875" customWidth="1"/>
    <col min="20" max="20" width="10" customWidth="1"/>
    <col min="23" max="23" width="10" customWidth="1"/>
    <col min="25" max="25" width="13" customWidth="1"/>
  </cols>
  <sheetData>
    <row r="1" spans="1:24">
      <c r="A1" t="s">
        <v>860</v>
      </c>
      <c r="B1" t="s">
        <v>861</v>
      </c>
      <c r="C1" t="s">
        <v>862</v>
      </c>
      <c r="D1" t="s">
        <v>863</v>
      </c>
      <c r="E1" t="s">
        <v>864</v>
      </c>
      <c r="F1" t="s">
        <v>865</v>
      </c>
      <c r="G1" t="s">
        <v>866</v>
      </c>
      <c r="H1" t="s">
        <v>867</v>
      </c>
      <c r="I1" t="s">
        <v>868</v>
      </c>
      <c r="J1" t="s">
        <v>869</v>
      </c>
      <c r="K1" t="s">
        <v>870</v>
      </c>
      <c r="L1" t="s">
        <v>871</v>
      </c>
      <c r="M1" t="s">
        <v>872</v>
      </c>
      <c r="N1" t="s">
        <v>873</v>
      </c>
      <c r="O1" t="s">
        <v>874</v>
      </c>
      <c r="P1" t="s">
        <v>875</v>
      </c>
      <c r="Q1" t="s">
        <v>876</v>
      </c>
      <c r="R1" t="s">
        <v>877</v>
      </c>
      <c r="S1" t="s">
        <v>878</v>
      </c>
      <c r="T1" t="s">
        <v>879</v>
      </c>
      <c r="U1" t="s">
        <v>880</v>
      </c>
      <c r="W1" s="25" t="s">
        <v>882</v>
      </c>
      <c r="X1" s="33" t="s">
        <v>887</v>
      </c>
    </row>
    <row r="2" spans="1:24">
      <c r="A2">
        <v>1</v>
      </c>
      <c r="B2" t="s">
        <v>402</v>
      </c>
      <c r="C2" s="8">
        <v>42682</v>
      </c>
      <c r="D2" s="8">
        <v>42685</v>
      </c>
      <c r="E2" t="s">
        <v>403</v>
      </c>
      <c r="F2" t="s">
        <v>404</v>
      </c>
      <c r="G2" t="s">
        <v>405</v>
      </c>
      <c r="H2" t="s">
        <v>406</v>
      </c>
      <c r="I2" t="s">
        <v>407</v>
      </c>
      <c r="J2" t="s">
        <v>408</v>
      </c>
      <c r="K2" t="s">
        <v>409</v>
      </c>
      <c r="L2">
        <v>42420</v>
      </c>
      <c r="M2" t="s">
        <v>410</v>
      </c>
      <c r="N2" t="s">
        <v>411</v>
      </c>
      <c r="O2" t="s">
        <v>412</v>
      </c>
      <c r="P2" t="s">
        <v>413</v>
      </c>
      <c r="Q2" t="s">
        <v>414</v>
      </c>
      <c r="R2">
        <v>261.95999999999998</v>
      </c>
      <c r="S2">
        <v>2</v>
      </c>
      <c r="T2">
        <v>0</v>
      </c>
      <c r="U2">
        <v>41.913600000000002</v>
      </c>
      <c r="W2" t="str">
        <f>IF(A3-A2&gt;0,"no_dup","duplicate")</f>
        <v>no_dup</v>
      </c>
      <c r="X2" t="str">
        <f>IF(A3-A2&gt;1,"gap","no_gap")</f>
        <v>no_gap</v>
      </c>
    </row>
    <row r="3" spans="1:24">
      <c r="A3">
        <v>2</v>
      </c>
      <c r="B3" t="s">
        <v>402</v>
      </c>
      <c r="C3" s="8">
        <v>42682</v>
      </c>
      <c r="D3" s="8">
        <v>42685</v>
      </c>
      <c r="E3" t="s">
        <v>403</v>
      </c>
      <c r="F3" t="s">
        <v>404</v>
      </c>
      <c r="G3" t="s">
        <v>405</v>
      </c>
      <c r="H3" t="s">
        <v>406</v>
      </c>
      <c r="I3" t="s">
        <v>407</v>
      </c>
      <c r="J3" t="s">
        <v>408</v>
      </c>
      <c r="K3" t="s">
        <v>409</v>
      </c>
      <c r="L3">
        <v>42420</v>
      </c>
      <c r="M3" t="s">
        <v>410</v>
      </c>
      <c r="N3" t="s">
        <v>415</v>
      </c>
      <c r="O3" t="s">
        <v>412</v>
      </c>
      <c r="P3" t="s">
        <v>416</v>
      </c>
      <c r="Q3" t="s">
        <v>417</v>
      </c>
      <c r="R3">
        <v>731.94</v>
      </c>
      <c r="S3">
        <v>3</v>
      </c>
      <c r="T3">
        <v>0</v>
      </c>
      <c r="U3">
        <v>219.58199999999999</v>
      </c>
      <c r="W3" t="str">
        <f t="shared" ref="W3:W66" si="0">IF(A4-A3&gt;0,"no_dup","duplicate")</f>
        <v>no_dup</v>
      </c>
      <c r="X3" t="str">
        <f t="shared" ref="X3:X66" si="1">IF(A4-A3&gt;1,"gap","no_gap")</f>
        <v>no_gap</v>
      </c>
    </row>
    <row r="4" spans="1:24">
      <c r="A4">
        <v>3</v>
      </c>
      <c r="B4" t="s">
        <v>418</v>
      </c>
      <c r="C4" s="8">
        <v>42533</v>
      </c>
      <c r="D4" s="8">
        <v>42537</v>
      </c>
      <c r="E4" t="s">
        <v>403</v>
      </c>
      <c r="F4" t="s">
        <v>419</v>
      </c>
      <c r="G4" t="s">
        <v>420</v>
      </c>
      <c r="H4" t="s">
        <v>421</v>
      </c>
      <c r="I4" t="s">
        <v>407</v>
      </c>
      <c r="J4" t="s">
        <v>422</v>
      </c>
      <c r="K4" t="s">
        <v>423</v>
      </c>
      <c r="L4">
        <v>90036</v>
      </c>
      <c r="M4" t="s">
        <v>424</v>
      </c>
      <c r="N4" t="s">
        <v>425</v>
      </c>
      <c r="O4" t="s">
        <v>426</v>
      </c>
      <c r="P4" t="s">
        <v>427</v>
      </c>
      <c r="Q4" t="s">
        <v>428</v>
      </c>
      <c r="R4">
        <v>14.62</v>
      </c>
      <c r="S4">
        <v>2</v>
      </c>
      <c r="T4">
        <v>0</v>
      </c>
      <c r="U4">
        <v>6.8714000000000004</v>
      </c>
      <c r="W4" t="str">
        <f t="shared" si="0"/>
        <v>no_dup</v>
      </c>
      <c r="X4" t="str">
        <f t="shared" si="1"/>
        <v>no_gap</v>
      </c>
    </row>
    <row r="5" spans="1:24">
      <c r="A5">
        <v>4</v>
      </c>
      <c r="B5" t="s">
        <v>429</v>
      </c>
      <c r="C5" s="8">
        <v>42288</v>
      </c>
      <c r="D5" s="8">
        <v>42295</v>
      </c>
      <c r="E5" t="s">
        <v>430</v>
      </c>
      <c r="F5" t="s">
        <v>431</v>
      </c>
      <c r="G5" t="s">
        <v>432</v>
      </c>
      <c r="H5" t="s">
        <v>406</v>
      </c>
      <c r="I5" t="s">
        <v>407</v>
      </c>
      <c r="J5" t="s">
        <v>433</v>
      </c>
      <c r="K5" t="s">
        <v>434</v>
      </c>
      <c r="L5">
        <v>33311</v>
      </c>
      <c r="M5" t="s">
        <v>410</v>
      </c>
      <c r="N5" t="s">
        <v>435</v>
      </c>
      <c r="O5" t="s">
        <v>412</v>
      </c>
      <c r="P5" t="s">
        <v>436</v>
      </c>
      <c r="Q5" t="s">
        <v>437</v>
      </c>
      <c r="R5">
        <v>957.57749999999999</v>
      </c>
      <c r="S5">
        <v>5</v>
      </c>
      <c r="T5">
        <v>0.45</v>
      </c>
      <c r="U5">
        <v>-383.03100000000001</v>
      </c>
      <c r="W5" t="str">
        <f t="shared" si="0"/>
        <v>no_dup</v>
      </c>
      <c r="X5" t="str">
        <f t="shared" si="1"/>
        <v>no_gap</v>
      </c>
    </row>
    <row r="6" spans="1:24">
      <c r="A6">
        <v>5</v>
      </c>
      <c r="B6" t="s">
        <v>429</v>
      </c>
      <c r="C6" s="8">
        <v>42288</v>
      </c>
      <c r="D6" s="8">
        <v>42295</v>
      </c>
      <c r="E6" t="s">
        <v>430</v>
      </c>
      <c r="F6" t="s">
        <v>431</v>
      </c>
      <c r="G6" t="s">
        <v>432</v>
      </c>
      <c r="H6" t="s">
        <v>406</v>
      </c>
      <c r="I6" t="s">
        <v>407</v>
      </c>
      <c r="J6" t="s">
        <v>433</v>
      </c>
      <c r="K6" t="s">
        <v>434</v>
      </c>
      <c r="L6">
        <v>33311</v>
      </c>
      <c r="M6" t="s">
        <v>410</v>
      </c>
      <c r="N6" t="s">
        <v>438</v>
      </c>
      <c r="O6" t="s">
        <v>426</v>
      </c>
      <c r="P6" t="s">
        <v>439</v>
      </c>
      <c r="Q6" t="s">
        <v>440</v>
      </c>
      <c r="R6">
        <v>22.367999999999999</v>
      </c>
      <c r="S6">
        <v>2</v>
      </c>
      <c r="T6">
        <v>0.2</v>
      </c>
      <c r="U6">
        <v>2.5164</v>
      </c>
      <c r="W6" t="str">
        <f t="shared" si="0"/>
        <v>no_dup</v>
      </c>
      <c r="X6" t="str">
        <f t="shared" si="1"/>
        <v>no_gap</v>
      </c>
    </row>
    <row r="7" spans="1:24">
      <c r="A7">
        <v>6</v>
      </c>
      <c r="B7" t="s">
        <v>441</v>
      </c>
      <c r="C7" s="8">
        <v>41799</v>
      </c>
      <c r="D7" s="8">
        <v>41804</v>
      </c>
      <c r="E7" t="s">
        <v>430</v>
      </c>
      <c r="F7" t="s">
        <v>442</v>
      </c>
      <c r="G7" t="s">
        <v>443</v>
      </c>
      <c r="H7" t="s">
        <v>406</v>
      </c>
      <c r="I7" t="s">
        <v>407</v>
      </c>
      <c r="J7" t="s">
        <v>422</v>
      </c>
      <c r="K7" t="s">
        <v>423</v>
      </c>
      <c r="L7">
        <v>90032</v>
      </c>
      <c r="M7" t="s">
        <v>424</v>
      </c>
      <c r="N7" t="s">
        <v>444</v>
      </c>
      <c r="O7" t="s">
        <v>412</v>
      </c>
      <c r="P7" t="s">
        <v>445</v>
      </c>
      <c r="Q7" t="s">
        <v>446</v>
      </c>
      <c r="R7">
        <v>48.86</v>
      </c>
      <c r="S7">
        <v>7</v>
      </c>
      <c r="T7">
        <v>0</v>
      </c>
      <c r="U7">
        <v>14.1694</v>
      </c>
      <c r="W7" t="str">
        <f t="shared" si="0"/>
        <v>no_dup</v>
      </c>
      <c r="X7" t="str">
        <f t="shared" si="1"/>
        <v>no_gap</v>
      </c>
    </row>
    <row r="8" spans="1:24">
      <c r="A8">
        <v>7</v>
      </c>
      <c r="B8" t="s">
        <v>441</v>
      </c>
      <c r="C8" s="8">
        <v>41799</v>
      </c>
      <c r="D8" s="8">
        <v>41804</v>
      </c>
      <c r="E8" t="s">
        <v>430</v>
      </c>
      <c r="F8" t="s">
        <v>442</v>
      </c>
      <c r="G8" t="s">
        <v>443</v>
      </c>
      <c r="H8" t="s">
        <v>406</v>
      </c>
      <c r="I8" t="s">
        <v>407</v>
      </c>
      <c r="J8" t="s">
        <v>422</v>
      </c>
      <c r="K8" t="s">
        <v>423</v>
      </c>
      <c r="L8">
        <v>90032</v>
      </c>
      <c r="M8" t="s">
        <v>424</v>
      </c>
      <c r="N8" t="s">
        <v>447</v>
      </c>
      <c r="O8" t="s">
        <v>426</v>
      </c>
      <c r="P8" t="s">
        <v>448</v>
      </c>
      <c r="Q8" t="s">
        <v>449</v>
      </c>
      <c r="R8">
        <v>7.28</v>
      </c>
      <c r="S8">
        <v>4</v>
      </c>
      <c r="T8">
        <v>0</v>
      </c>
      <c r="U8">
        <v>1.9656</v>
      </c>
      <c r="W8" t="str">
        <f t="shared" si="0"/>
        <v>no_dup</v>
      </c>
      <c r="X8" t="str">
        <f t="shared" si="1"/>
        <v>no_gap</v>
      </c>
    </row>
    <row r="9" spans="1:24">
      <c r="A9">
        <v>8</v>
      </c>
      <c r="B9" t="s">
        <v>441</v>
      </c>
      <c r="C9" s="8">
        <v>41799</v>
      </c>
      <c r="D9" s="8">
        <v>41804</v>
      </c>
      <c r="E9" t="s">
        <v>430</v>
      </c>
      <c r="F9" t="s">
        <v>442</v>
      </c>
      <c r="G9" t="s">
        <v>443</v>
      </c>
      <c r="H9" t="s">
        <v>406</v>
      </c>
      <c r="I9" t="s">
        <v>407</v>
      </c>
      <c r="J9" t="s">
        <v>422</v>
      </c>
      <c r="K9" t="s">
        <v>423</v>
      </c>
      <c r="L9">
        <v>90032</v>
      </c>
      <c r="M9" t="s">
        <v>424</v>
      </c>
      <c r="N9" t="s">
        <v>450</v>
      </c>
      <c r="O9" t="s">
        <v>451</v>
      </c>
      <c r="P9" t="s">
        <v>452</v>
      </c>
      <c r="Q9" t="s">
        <v>453</v>
      </c>
      <c r="R9">
        <v>907.15200000000004</v>
      </c>
      <c r="S9">
        <v>6</v>
      </c>
      <c r="T9">
        <v>0.2</v>
      </c>
      <c r="U9">
        <v>90.715199999999996</v>
      </c>
      <c r="W9" t="str">
        <f t="shared" si="0"/>
        <v>no_dup</v>
      </c>
      <c r="X9" t="str">
        <f t="shared" si="1"/>
        <v>no_gap</v>
      </c>
    </row>
    <row r="10" spans="1:24">
      <c r="A10">
        <v>9</v>
      </c>
      <c r="B10" t="s">
        <v>441</v>
      </c>
      <c r="C10" s="8">
        <v>41799</v>
      </c>
      <c r="D10" s="8">
        <v>41804</v>
      </c>
      <c r="E10" t="s">
        <v>430</v>
      </c>
      <c r="F10" t="s">
        <v>442</v>
      </c>
      <c r="G10" t="s">
        <v>443</v>
      </c>
      <c r="H10" t="s">
        <v>406</v>
      </c>
      <c r="I10" t="s">
        <v>407</v>
      </c>
      <c r="J10" t="s">
        <v>422</v>
      </c>
      <c r="K10" t="s">
        <v>423</v>
      </c>
      <c r="L10">
        <v>90032</v>
      </c>
      <c r="M10" t="s">
        <v>424</v>
      </c>
      <c r="N10" t="s">
        <v>454</v>
      </c>
      <c r="O10" t="s">
        <v>426</v>
      </c>
      <c r="P10" t="s">
        <v>455</v>
      </c>
      <c r="Q10" t="s">
        <v>456</v>
      </c>
      <c r="R10">
        <v>18.504000000000001</v>
      </c>
      <c r="S10">
        <v>3</v>
      </c>
      <c r="T10">
        <v>0.2</v>
      </c>
      <c r="U10">
        <v>5.7824999999999998</v>
      </c>
      <c r="W10" t="str">
        <f t="shared" si="0"/>
        <v>no_dup</v>
      </c>
      <c r="X10" t="str">
        <f t="shared" si="1"/>
        <v>no_gap</v>
      </c>
    </row>
    <row r="11" spans="1:24">
      <c r="A11">
        <v>10</v>
      </c>
      <c r="B11" t="s">
        <v>441</v>
      </c>
      <c r="C11" s="8">
        <v>41799</v>
      </c>
      <c r="D11" s="8">
        <v>41804</v>
      </c>
      <c r="E11" t="s">
        <v>430</v>
      </c>
      <c r="F11" t="s">
        <v>442</v>
      </c>
      <c r="G11" t="s">
        <v>443</v>
      </c>
      <c r="H11" t="s">
        <v>406</v>
      </c>
      <c r="I11" t="s">
        <v>407</v>
      </c>
      <c r="J11" t="s">
        <v>422</v>
      </c>
      <c r="K11" t="s">
        <v>423</v>
      </c>
      <c r="L11">
        <v>90032</v>
      </c>
      <c r="M11" t="s">
        <v>424</v>
      </c>
      <c r="N11" t="s">
        <v>457</v>
      </c>
      <c r="O11" t="s">
        <v>426</v>
      </c>
      <c r="P11" t="s">
        <v>458</v>
      </c>
      <c r="Q11" t="s">
        <v>459</v>
      </c>
      <c r="R11">
        <v>114.9</v>
      </c>
      <c r="S11">
        <v>5</v>
      </c>
      <c r="T11">
        <v>0</v>
      </c>
      <c r="U11">
        <v>34.47</v>
      </c>
      <c r="W11" t="str">
        <f t="shared" si="0"/>
        <v>no_dup</v>
      </c>
      <c r="X11" s="78" t="str">
        <f t="shared" si="1"/>
        <v>no_gap</v>
      </c>
    </row>
    <row r="12" spans="1:24">
      <c r="A12">
        <v>11</v>
      </c>
      <c r="B12" t="s">
        <v>441</v>
      </c>
      <c r="C12" s="8">
        <v>41799</v>
      </c>
      <c r="D12" s="8">
        <v>41804</v>
      </c>
      <c r="E12" t="s">
        <v>430</v>
      </c>
      <c r="F12" t="s">
        <v>442</v>
      </c>
      <c r="G12" t="s">
        <v>443</v>
      </c>
      <c r="H12" t="s">
        <v>406</v>
      </c>
      <c r="I12" t="s">
        <v>407</v>
      </c>
      <c r="J12" t="s">
        <v>422</v>
      </c>
      <c r="K12" t="s">
        <v>423</v>
      </c>
      <c r="L12">
        <v>90032</v>
      </c>
      <c r="M12" t="s">
        <v>424</v>
      </c>
      <c r="N12" t="s">
        <v>460</v>
      </c>
      <c r="O12" t="s">
        <v>412</v>
      </c>
      <c r="P12" t="s">
        <v>436</v>
      </c>
      <c r="Q12" t="s">
        <v>461</v>
      </c>
      <c r="R12">
        <v>1706.184</v>
      </c>
      <c r="S12">
        <v>9</v>
      </c>
      <c r="T12">
        <v>0.2</v>
      </c>
      <c r="U12">
        <v>85.309200000000004</v>
      </c>
      <c r="W12" t="str">
        <f t="shared" si="0"/>
        <v>no_dup</v>
      </c>
      <c r="X12" t="str">
        <f t="shared" si="1"/>
        <v>no_gap</v>
      </c>
    </row>
    <row r="13" spans="1:24">
      <c r="A13">
        <v>12</v>
      </c>
      <c r="B13" t="s">
        <v>441</v>
      </c>
      <c r="C13" s="8">
        <v>41799</v>
      </c>
      <c r="D13" s="8">
        <v>41804</v>
      </c>
      <c r="E13" t="s">
        <v>430</v>
      </c>
      <c r="F13" t="s">
        <v>442</v>
      </c>
      <c r="G13" t="s">
        <v>443</v>
      </c>
      <c r="H13" t="s">
        <v>406</v>
      </c>
      <c r="I13" t="s">
        <v>407</v>
      </c>
      <c r="J13" t="s">
        <v>422</v>
      </c>
      <c r="K13" t="s">
        <v>423</v>
      </c>
      <c r="L13">
        <v>90032</v>
      </c>
      <c r="M13" t="s">
        <v>424</v>
      </c>
      <c r="N13" t="s">
        <v>462</v>
      </c>
      <c r="O13" t="s">
        <v>451</v>
      </c>
      <c r="P13" t="s">
        <v>452</v>
      </c>
      <c r="Q13" t="s">
        <v>463</v>
      </c>
      <c r="R13">
        <v>911.42399999999998</v>
      </c>
      <c r="S13">
        <v>4</v>
      </c>
      <c r="T13">
        <v>0.2</v>
      </c>
      <c r="U13">
        <v>68.356800000000007</v>
      </c>
      <c r="W13" t="str">
        <f t="shared" si="0"/>
        <v>no_dup</v>
      </c>
      <c r="X13" t="str">
        <f t="shared" si="1"/>
        <v>no_gap</v>
      </c>
    </row>
    <row r="14" spans="1:24">
      <c r="A14">
        <v>13</v>
      </c>
      <c r="B14" t="s">
        <v>464</v>
      </c>
      <c r="C14" s="8">
        <v>42840</v>
      </c>
      <c r="D14" s="8">
        <v>42845</v>
      </c>
      <c r="E14" t="s">
        <v>430</v>
      </c>
      <c r="F14" t="s">
        <v>465</v>
      </c>
      <c r="G14" t="s">
        <v>466</v>
      </c>
      <c r="H14" t="s">
        <v>406</v>
      </c>
      <c r="I14" t="s">
        <v>407</v>
      </c>
      <c r="J14" t="s">
        <v>467</v>
      </c>
      <c r="K14" t="s">
        <v>468</v>
      </c>
      <c r="L14">
        <v>28027</v>
      </c>
      <c r="M14" t="s">
        <v>410</v>
      </c>
      <c r="N14" t="s">
        <v>469</v>
      </c>
      <c r="O14" t="s">
        <v>426</v>
      </c>
      <c r="P14" t="s">
        <v>470</v>
      </c>
      <c r="Q14" t="s">
        <v>471</v>
      </c>
      <c r="R14">
        <v>15.552</v>
      </c>
      <c r="S14">
        <v>3</v>
      </c>
      <c r="T14">
        <v>0.2</v>
      </c>
      <c r="U14">
        <v>5.4432</v>
      </c>
      <c r="W14" t="str">
        <f t="shared" si="0"/>
        <v>no_dup</v>
      </c>
      <c r="X14" t="str">
        <f t="shared" si="1"/>
        <v>no_gap</v>
      </c>
    </row>
    <row r="15" spans="1:24">
      <c r="A15">
        <v>14</v>
      </c>
      <c r="B15" t="s">
        <v>472</v>
      </c>
      <c r="C15" s="8">
        <v>42709</v>
      </c>
      <c r="D15" s="8">
        <v>42714</v>
      </c>
      <c r="E15" t="s">
        <v>430</v>
      </c>
      <c r="F15" t="s">
        <v>473</v>
      </c>
      <c r="G15" t="s">
        <v>474</v>
      </c>
      <c r="H15" t="s">
        <v>406</v>
      </c>
      <c r="I15" t="s">
        <v>407</v>
      </c>
      <c r="J15" t="s">
        <v>475</v>
      </c>
      <c r="K15" t="s">
        <v>476</v>
      </c>
      <c r="L15">
        <v>98103</v>
      </c>
      <c r="M15" t="s">
        <v>424</v>
      </c>
      <c r="N15" t="s">
        <v>477</v>
      </c>
      <c r="O15" t="s">
        <v>426</v>
      </c>
      <c r="P15" t="s">
        <v>455</v>
      </c>
      <c r="Q15" t="s">
        <v>478</v>
      </c>
      <c r="R15">
        <v>407.976</v>
      </c>
      <c r="S15">
        <v>3</v>
      </c>
      <c r="T15">
        <v>0.2</v>
      </c>
      <c r="U15">
        <v>132.59219999999999</v>
      </c>
      <c r="W15" t="str">
        <f t="shared" si="0"/>
        <v>no_dup</v>
      </c>
      <c r="X15" t="str">
        <f t="shared" si="1"/>
        <v>no_gap</v>
      </c>
    </row>
    <row r="16" spans="1:24">
      <c r="A16">
        <v>15</v>
      </c>
      <c r="B16" t="s">
        <v>479</v>
      </c>
      <c r="C16" s="8">
        <v>42330</v>
      </c>
      <c r="D16" s="8">
        <v>42334</v>
      </c>
      <c r="E16" t="s">
        <v>430</v>
      </c>
      <c r="F16" t="s">
        <v>480</v>
      </c>
      <c r="G16" t="s">
        <v>481</v>
      </c>
      <c r="H16" t="s">
        <v>482</v>
      </c>
      <c r="I16" t="s">
        <v>407</v>
      </c>
      <c r="J16" t="s">
        <v>483</v>
      </c>
      <c r="K16" t="s">
        <v>484</v>
      </c>
      <c r="L16">
        <v>76106</v>
      </c>
      <c r="M16" t="s">
        <v>485</v>
      </c>
      <c r="N16" t="s">
        <v>486</v>
      </c>
      <c r="O16" t="s">
        <v>426</v>
      </c>
      <c r="P16" t="s">
        <v>458</v>
      </c>
      <c r="Q16" t="s">
        <v>487</v>
      </c>
      <c r="R16">
        <v>68.81</v>
      </c>
      <c r="S16">
        <v>5</v>
      </c>
      <c r="T16">
        <v>0.8</v>
      </c>
      <c r="U16">
        <v>-123.858</v>
      </c>
      <c r="W16" t="str">
        <f t="shared" si="0"/>
        <v>no_dup</v>
      </c>
      <c r="X16" t="str">
        <f t="shared" si="1"/>
        <v>no_gap</v>
      </c>
    </row>
    <row r="17" spans="1:24">
      <c r="A17">
        <v>16</v>
      </c>
      <c r="B17" t="s">
        <v>479</v>
      </c>
      <c r="C17" s="8">
        <v>42330</v>
      </c>
      <c r="D17" s="8">
        <v>42334</v>
      </c>
      <c r="E17" t="s">
        <v>430</v>
      </c>
      <c r="F17" t="s">
        <v>480</v>
      </c>
      <c r="G17" t="s">
        <v>481</v>
      </c>
      <c r="H17" t="s">
        <v>482</v>
      </c>
      <c r="I17" t="s">
        <v>407</v>
      </c>
      <c r="J17" t="s">
        <v>483</v>
      </c>
      <c r="K17" t="s">
        <v>484</v>
      </c>
      <c r="L17">
        <v>76106</v>
      </c>
      <c r="M17" t="s">
        <v>485</v>
      </c>
      <c r="N17" t="s">
        <v>488</v>
      </c>
      <c r="O17" t="s">
        <v>426</v>
      </c>
      <c r="P17" t="s">
        <v>455</v>
      </c>
      <c r="Q17" t="s">
        <v>489</v>
      </c>
      <c r="R17">
        <v>2.544</v>
      </c>
      <c r="S17">
        <v>3</v>
      </c>
      <c r="T17">
        <v>0.8</v>
      </c>
      <c r="U17">
        <v>-3.8159999999999998</v>
      </c>
      <c r="W17" t="str">
        <f t="shared" si="0"/>
        <v>no_dup</v>
      </c>
      <c r="X17" t="str">
        <f t="shared" si="1"/>
        <v>no_gap</v>
      </c>
    </row>
    <row r="18" spans="1:24">
      <c r="A18">
        <v>17</v>
      </c>
      <c r="B18" t="s">
        <v>490</v>
      </c>
      <c r="C18" s="8">
        <v>41954</v>
      </c>
      <c r="D18" s="8">
        <v>41961</v>
      </c>
      <c r="E18" t="s">
        <v>430</v>
      </c>
      <c r="F18" t="s">
        <v>491</v>
      </c>
      <c r="G18" t="s">
        <v>492</v>
      </c>
      <c r="H18" t="s">
        <v>406</v>
      </c>
      <c r="I18" t="s">
        <v>407</v>
      </c>
      <c r="J18" t="s">
        <v>493</v>
      </c>
      <c r="K18" t="s">
        <v>494</v>
      </c>
      <c r="L18">
        <v>53711</v>
      </c>
      <c r="M18" t="s">
        <v>485</v>
      </c>
      <c r="N18" t="s">
        <v>495</v>
      </c>
      <c r="O18" t="s">
        <v>426</v>
      </c>
      <c r="P18" t="s">
        <v>439</v>
      </c>
      <c r="Q18" t="s">
        <v>496</v>
      </c>
      <c r="R18">
        <v>665.88</v>
      </c>
      <c r="S18">
        <v>6</v>
      </c>
      <c r="T18">
        <v>0</v>
      </c>
      <c r="U18">
        <v>13.317600000000001</v>
      </c>
      <c r="W18" t="str">
        <f t="shared" si="0"/>
        <v>no_dup</v>
      </c>
      <c r="X18" t="str">
        <f t="shared" si="1"/>
        <v>no_gap</v>
      </c>
    </row>
    <row r="19" spans="1:24">
      <c r="A19">
        <v>18</v>
      </c>
      <c r="B19" t="s">
        <v>497</v>
      </c>
      <c r="C19" s="8">
        <v>41772</v>
      </c>
      <c r="D19" s="8">
        <v>41774</v>
      </c>
      <c r="E19" t="s">
        <v>403</v>
      </c>
      <c r="F19" t="s">
        <v>498</v>
      </c>
      <c r="G19" t="s">
        <v>499</v>
      </c>
      <c r="H19" t="s">
        <v>406</v>
      </c>
      <c r="I19" t="s">
        <v>407</v>
      </c>
      <c r="J19" t="s">
        <v>500</v>
      </c>
      <c r="K19" t="s">
        <v>501</v>
      </c>
      <c r="L19">
        <v>84084</v>
      </c>
      <c r="M19" t="s">
        <v>424</v>
      </c>
      <c r="N19" t="s">
        <v>502</v>
      </c>
      <c r="O19" t="s">
        <v>426</v>
      </c>
      <c r="P19" t="s">
        <v>439</v>
      </c>
      <c r="Q19" t="s">
        <v>503</v>
      </c>
      <c r="R19">
        <v>55.5</v>
      </c>
      <c r="S19">
        <v>2</v>
      </c>
      <c r="T19">
        <v>0</v>
      </c>
      <c r="U19">
        <v>9.99</v>
      </c>
      <c r="W19" t="str">
        <f t="shared" si="0"/>
        <v>no_dup</v>
      </c>
      <c r="X19" t="str">
        <f t="shared" si="1"/>
        <v>no_gap</v>
      </c>
    </row>
    <row r="20" spans="1:24">
      <c r="A20">
        <v>19</v>
      </c>
      <c r="B20" t="s">
        <v>504</v>
      </c>
      <c r="C20" s="8">
        <v>41878</v>
      </c>
      <c r="D20" s="8">
        <v>41883</v>
      </c>
      <c r="E20" t="s">
        <v>403</v>
      </c>
      <c r="F20" t="s">
        <v>505</v>
      </c>
      <c r="G20" t="s">
        <v>506</v>
      </c>
      <c r="H20" t="s">
        <v>406</v>
      </c>
      <c r="I20" t="s">
        <v>407</v>
      </c>
      <c r="J20" t="s">
        <v>507</v>
      </c>
      <c r="K20" t="s">
        <v>423</v>
      </c>
      <c r="L20">
        <v>94109</v>
      </c>
      <c r="M20" t="s">
        <v>424</v>
      </c>
      <c r="N20" t="s">
        <v>508</v>
      </c>
      <c r="O20" t="s">
        <v>426</v>
      </c>
      <c r="P20" t="s">
        <v>448</v>
      </c>
      <c r="Q20" t="s">
        <v>509</v>
      </c>
      <c r="R20">
        <v>8.56</v>
      </c>
      <c r="S20">
        <v>2</v>
      </c>
      <c r="T20">
        <v>0</v>
      </c>
      <c r="U20">
        <v>2.4824000000000002</v>
      </c>
      <c r="W20" t="str">
        <f t="shared" si="0"/>
        <v>no_dup</v>
      </c>
      <c r="X20" t="str">
        <f t="shared" si="1"/>
        <v>no_gap</v>
      </c>
    </row>
    <row r="21" spans="1:24">
      <c r="A21">
        <v>20</v>
      </c>
      <c r="B21" t="s">
        <v>504</v>
      </c>
      <c r="C21" s="8">
        <v>41878</v>
      </c>
      <c r="D21" s="8">
        <v>41883</v>
      </c>
      <c r="E21" t="s">
        <v>403</v>
      </c>
      <c r="F21" t="s">
        <v>505</v>
      </c>
      <c r="G21" t="s">
        <v>506</v>
      </c>
      <c r="H21" t="s">
        <v>406</v>
      </c>
      <c r="I21" t="s">
        <v>407</v>
      </c>
      <c r="J21" t="s">
        <v>507</v>
      </c>
      <c r="K21" t="s">
        <v>423</v>
      </c>
      <c r="L21">
        <v>94109</v>
      </c>
      <c r="M21" t="s">
        <v>424</v>
      </c>
      <c r="N21" t="s">
        <v>510</v>
      </c>
      <c r="O21" t="s">
        <v>451</v>
      </c>
      <c r="P21" t="s">
        <v>452</v>
      </c>
      <c r="Q21" t="s">
        <v>511</v>
      </c>
      <c r="R21">
        <v>213.48</v>
      </c>
      <c r="S21">
        <v>3</v>
      </c>
      <c r="T21">
        <v>0.2</v>
      </c>
      <c r="U21">
        <v>16.010999999999999</v>
      </c>
      <c r="W21" t="str">
        <f t="shared" si="0"/>
        <v>no_dup</v>
      </c>
      <c r="X21" t="str">
        <f t="shared" si="1"/>
        <v>no_gap</v>
      </c>
    </row>
    <row r="22" spans="1:24">
      <c r="A22">
        <v>21</v>
      </c>
      <c r="B22" t="s">
        <v>504</v>
      </c>
      <c r="C22" s="8">
        <v>41878</v>
      </c>
      <c r="D22" s="8">
        <v>41883</v>
      </c>
      <c r="E22" t="s">
        <v>403</v>
      </c>
      <c r="F22" t="s">
        <v>505</v>
      </c>
      <c r="G22" t="s">
        <v>506</v>
      </c>
      <c r="H22" t="s">
        <v>406</v>
      </c>
      <c r="I22" t="s">
        <v>407</v>
      </c>
      <c r="J22" t="s">
        <v>507</v>
      </c>
      <c r="K22" t="s">
        <v>423</v>
      </c>
      <c r="L22">
        <v>94109</v>
      </c>
      <c r="M22" t="s">
        <v>424</v>
      </c>
      <c r="N22" t="s">
        <v>512</v>
      </c>
      <c r="O22" t="s">
        <v>426</v>
      </c>
      <c r="P22" t="s">
        <v>455</v>
      </c>
      <c r="Q22" t="s">
        <v>513</v>
      </c>
      <c r="R22">
        <v>22.72</v>
      </c>
      <c r="S22">
        <v>4</v>
      </c>
      <c r="T22">
        <v>0.2</v>
      </c>
      <c r="U22">
        <v>7.3840000000000003</v>
      </c>
      <c r="W22" t="str">
        <f t="shared" si="0"/>
        <v>no_dup</v>
      </c>
      <c r="X22" t="str">
        <f t="shared" si="1"/>
        <v>no_gap</v>
      </c>
    </row>
    <row r="23" spans="1:24">
      <c r="A23">
        <v>22</v>
      </c>
      <c r="B23" t="s">
        <v>514</v>
      </c>
      <c r="C23" s="8">
        <v>42713</v>
      </c>
      <c r="D23" s="8">
        <v>42717</v>
      </c>
      <c r="E23" t="s">
        <v>430</v>
      </c>
      <c r="F23" t="s">
        <v>515</v>
      </c>
      <c r="G23" t="s">
        <v>516</v>
      </c>
      <c r="H23" t="s">
        <v>421</v>
      </c>
      <c r="I23" t="s">
        <v>407</v>
      </c>
      <c r="J23" t="s">
        <v>517</v>
      </c>
      <c r="K23" t="s">
        <v>518</v>
      </c>
      <c r="L23">
        <v>68025</v>
      </c>
      <c r="M23" t="s">
        <v>485</v>
      </c>
      <c r="N23" t="s">
        <v>519</v>
      </c>
      <c r="O23" t="s">
        <v>426</v>
      </c>
      <c r="P23" t="s">
        <v>448</v>
      </c>
      <c r="Q23" t="s">
        <v>520</v>
      </c>
      <c r="R23">
        <v>19.46</v>
      </c>
      <c r="S23">
        <v>7</v>
      </c>
      <c r="T23">
        <v>0</v>
      </c>
      <c r="U23">
        <v>5.0595999999999997</v>
      </c>
      <c r="W23" t="str">
        <f t="shared" si="0"/>
        <v>no_dup</v>
      </c>
      <c r="X23" t="str">
        <f t="shared" si="1"/>
        <v>no_gap</v>
      </c>
    </row>
    <row r="24" spans="1:24">
      <c r="A24">
        <v>23</v>
      </c>
      <c r="B24" t="s">
        <v>514</v>
      </c>
      <c r="C24" s="8">
        <v>42713</v>
      </c>
      <c r="D24" s="8">
        <v>42717</v>
      </c>
      <c r="E24" t="s">
        <v>430</v>
      </c>
      <c r="F24" t="s">
        <v>515</v>
      </c>
      <c r="G24" t="s">
        <v>516</v>
      </c>
      <c r="H24" t="s">
        <v>421</v>
      </c>
      <c r="I24" t="s">
        <v>407</v>
      </c>
      <c r="J24" t="s">
        <v>517</v>
      </c>
      <c r="K24" t="s">
        <v>518</v>
      </c>
      <c r="L24">
        <v>68025</v>
      </c>
      <c r="M24" t="s">
        <v>485</v>
      </c>
      <c r="N24" t="s">
        <v>521</v>
      </c>
      <c r="O24" t="s">
        <v>426</v>
      </c>
      <c r="P24" t="s">
        <v>458</v>
      </c>
      <c r="Q24" t="s">
        <v>522</v>
      </c>
      <c r="R24">
        <v>60.34</v>
      </c>
      <c r="S24">
        <v>7</v>
      </c>
      <c r="T24">
        <v>0</v>
      </c>
      <c r="U24">
        <v>15.6884</v>
      </c>
      <c r="W24" t="str">
        <f t="shared" si="0"/>
        <v>no_dup</v>
      </c>
      <c r="X24" t="str">
        <f t="shared" si="1"/>
        <v>no_gap</v>
      </c>
    </row>
    <row r="25" spans="1:24">
      <c r="A25">
        <v>24</v>
      </c>
      <c r="B25" t="s">
        <v>523</v>
      </c>
      <c r="C25" s="8">
        <v>42932</v>
      </c>
      <c r="D25" s="8">
        <v>42934</v>
      </c>
      <c r="E25" t="s">
        <v>403</v>
      </c>
      <c r="F25" t="s">
        <v>524</v>
      </c>
      <c r="G25" t="s">
        <v>525</v>
      </c>
      <c r="H25" t="s">
        <v>406</v>
      </c>
      <c r="I25" t="s">
        <v>407</v>
      </c>
      <c r="J25" t="s">
        <v>526</v>
      </c>
      <c r="K25" t="s">
        <v>527</v>
      </c>
      <c r="L25">
        <v>19140</v>
      </c>
      <c r="M25" t="s">
        <v>528</v>
      </c>
      <c r="N25" t="s">
        <v>529</v>
      </c>
      <c r="O25" t="s">
        <v>412</v>
      </c>
      <c r="P25" t="s">
        <v>416</v>
      </c>
      <c r="Q25" t="s">
        <v>530</v>
      </c>
      <c r="R25">
        <v>71.372</v>
      </c>
      <c r="S25">
        <v>2</v>
      </c>
      <c r="T25">
        <v>0.3</v>
      </c>
      <c r="U25">
        <v>-1.0196000000000001</v>
      </c>
      <c r="W25" t="str">
        <f t="shared" si="0"/>
        <v>no_dup</v>
      </c>
      <c r="X25" t="str">
        <f t="shared" si="1"/>
        <v>no_gap</v>
      </c>
    </row>
    <row r="26" spans="1:24">
      <c r="A26">
        <v>25</v>
      </c>
      <c r="B26" t="s">
        <v>531</v>
      </c>
      <c r="C26" s="8">
        <v>42272</v>
      </c>
      <c r="D26" s="8">
        <v>42277</v>
      </c>
      <c r="E26" t="s">
        <v>430</v>
      </c>
      <c r="F26" t="s">
        <v>532</v>
      </c>
      <c r="G26" t="s">
        <v>533</v>
      </c>
      <c r="H26" t="s">
        <v>406</v>
      </c>
      <c r="I26" t="s">
        <v>407</v>
      </c>
      <c r="J26" t="s">
        <v>534</v>
      </c>
      <c r="K26" t="s">
        <v>501</v>
      </c>
      <c r="L26">
        <v>84057</v>
      </c>
      <c r="M26" t="s">
        <v>424</v>
      </c>
      <c r="N26" t="s">
        <v>435</v>
      </c>
      <c r="O26" t="s">
        <v>412</v>
      </c>
      <c r="P26" t="s">
        <v>436</v>
      </c>
      <c r="Q26" t="s">
        <v>437</v>
      </c>
      <c r="R26">
        <v>1044.6300000000001</v>
      </c>
      <c r="S26">
        <v>3</v>
      </c>
      <c r="T26">
        <v>0</v>
      </c>
      <c r="U26">
        <v>240.26490000000001</v>
      </c>
      <c r="W26" t="str">
        <f t="shared" si="0"/>
        <v>no_dup</v>
      </c>
      <c r="X26" t="str">
        <f t="shared" si="1"/>
        <v>no_gap</v>
      </c>
    </row>
    <row r="27" spans="1:24">
      <c r="A27">
        <v>26</v>
      </c>
      <c r="B27" t="s">
        <v>535</v>
      </c>
      <c r="C27" s="8">
        <v>42385</v>
      </c>
      <c r="D27" s="8">
        <v>42389</v>
      </c>
      <c r="E27" t="s">
        <v>403</v>
      </c>
      <c r="F27" t="s">
        <v>536</v>
      </c>
      <c r="G27" t="s">
        <v>537</v>
      </c>
      <c r="H27" t="s">
        <v>406</v>
      </c>
      <c r="I27" t="s">
        <v>407</v>
      </c>
      <c r="J27" t="s">
        <v>422</v>
      </c>
      <c r="K27" t="s">
        <v>423</v>
      </c>
      <c r="L27">
        <v>90049</v>
      </c>
      <c r="M27" t="s">
        <v>424</v>
      </c>
      <c r="N27" t="s">
        <v>538</v>
      </c>
      <c r="O27" t="s">
        <v>426</v>
      </c>
      <c r="P27" t="s">
        <v>455</v>
      </c>
      <c r="Q27" t="s">
        <v>539</v>
      </c>
      <c r="R27">
        <v>11.648</v>
      </c>
      <c r="S27">
        <v>2</v>
      </c>
      <c r="T27">
        <v>0.2</v>
      </c>
      <c r="U27">
        <v>4.2224000000000004</v>
      </c>
      <c r="W27" t="str">
        <f t="shared" si="0"/>
        <v>no_dup</v>
      </c>
      <c r="X27" t="str">
        <f t="shared" si="1"/>
        <v>no_gap</v>
      </c>
    </row>
    <row r="28" spans="1:24">
      <c r="A28">
        <v>27</v>
      </c>
      <c r="B28" t="s">
        <v>535</v>
      </c>
      <c r="C28" s="8">
        <v>42385</v>
      </c>
      <c r="D28" s="8">
        <v>42389</v>
      </c>
      <c r="E28" t="s">
        <v>403</v>
      </c>
      <c r="F28" t="s">
        <v>536</v>
      </c>
      <c r="G28" t="s">
        <v>537</v>
      </c>
      <c r="H28" t="s">
        <v>406</v>
      </c>
      <c r="I28" t="s">
        <v>407</v>
      </c>
      <c r="J28" t="s">
        <v>422</v>
      </c>
      <c r="K28" t="s">
        <v>423</v>
      </c>
      <c r="L28">
        <v>90049</v>
      </c>
      <c r="M28" t="s">
        <v>424</v>
      </c>
      <c r="N28" t="s">
        <v>540</v>
      </c>
      <c r="O28" t="s">
        <v>451</v>
      </c>
      <c r="P28" t="s">
        <v>541</v>
      </c>
      <c r="Q28" t="s">
        <v>542</v>
      </c>
      <c r="R28">
        <v>90.57</v>
      </c>
      <c r="S28">
        <v>3</v>
      </c>
      <c r="T28">
        <v>0</v>
      </c>
      <c r="U28">
        <v>11.774100000000001</v>
      </c>
      <c r="W28" t="str">
        <f t="shared" si="0"/>
        <v>no_dup</v>
      </c>
      <c r="X28" t="str">
        <f t="shared" si="1"/>
        <v>no_gap</v>
      </c>
    </row>
    <row r="29" spans="1:24">
      <c r="A29">
        <v>28</v>
      </c>
      <c r="B29" t="s">
        <v>543</v>
      </c>
      <c r="C29" s="8">
        <v>42264</v>
      </c>
      <c r="D29" s="8">
        <v>42268</v>
      </c>
      <c r="E29" t="s">
        <v>430</v>
      </c>
      <c r="F29" t="s">
        <v>544</v>
      </c>
      <c r="G29" t="s">
        <v>545</v>
      </c>
      <c r="H29" t="s">
        <v>406</v>
      </c>
      <c r="I29" t="s">
        <v>407</v>
      </c>
      <c r="J29" t="s">
        <v>526</v>
      </c>
      <c r="K29" t="s">
        <v>527</v>
      </c>
      <c r="L29">
        <v>19140</v>
      </c>
      <c r="M29" t="s">
        <v>528</v>
      </c>
      <c r="N29" t="s">
        <v>546</v>
      </c>
      <c r="O29" t="s">
        <v>412</v>
      </c>
      <c r="P29" t="s">
        <v>413</v>
      </c>
      <c r="Q29" t="s">
        <v>547</v>
      </c>
      <c r="R29">
        <v>3083.43</v>
      </c>
      <c r="S29">
        <v>7</v>
      </c>
      <c r="T29">
        <v>0.5</v>
      </c>
      <c r="U29">
        <v>-1665.0522000000001</v>
      </c>
      <c r="W29" t="str">
        <f t="shared" si="0"/>
        <v>no_dup</v>
      </c>
      <c r="X29" t="str">
        <f t="shared" si="1"/>
        <v>no_gap</v>
      </c>
    </row>
    <row r="30" spans="1:24">
      <c r="A30">
        <v>29</v>
      </c>
      <c r="B30" t="s">
        <v>543</v>
      </c>
      <c r="C30" s="8">
        <v>42264</v>
      </c>
      <c r="D30" s="8">
        <v>42268</v>
      </c>
      <c r="E30" t="s">
        <v>430</v>
      </c>
      <c r="F30" t="s">
        <v>544</v>
      </c>
      <c r="G30" t="s">
        <v>545</v>
      </c>
      <c r="H30" t="s">
        <v>406</v>
      </c>
      <c r="I30" t="s">
        <v>407</v>
      </c>
      <c r="J30" t="s">
        <v>526</v>
      </c>
      <c r="K30" t="s">
        <v>527</v>
      </c>
      <c r="L30">
        <v>19140</v>
      </c>
      <c r="M30" t="s">
        <v>528</v>
      </c>
      <c r="N30" t="s">
        <v>548</v>
      </c>
      <c r="O30" t="s">
        <v>426</v>
      </c>
      <c r="P30" t="s">
        <v>455</v>
      </c>
      <c r="Q30" t="s">
        <v>549</v>
      </c>
      <c r="R30">
        <v>9.6180000000000003</v>
      </c>
      <c r="S30">
        <v>2</v>
      </c>
      <c r="T30">
        <v>0.7</v>
      </c>
      <c r="U30">
        <v>-7.0532000000000004</v>
      </c>
      <c r="W30" t="str">
        <f t="shared" si="0"/>
        <v>no_dup</v>
      </c>
      <c r="X30" t="str">
        <f t="shared" si="1"/>
        <v>no_gap</v>
      </c>
    </row>
    <row r="31" spans="1:24">
      <c r="A31">
        <v>30</v>
      </c>
      <c r="B31" t="s">
        <v>543</v>
      </c>
      <c r="C31" s="8">
        <v>42264</v>
      </c>
      <c r="D31" s="8">
        <v>42268</v>
      </c>
      <c r="E31" t="s">
        <v>430</v>
      </c>
      <c r="F31" t="s">
        <v>544</v>
      </c>
      <c r="G31" t="s">
        <v>545</v>
      </c>
      <c r="H31" t="s">
        <v>406</v>
      </c>
      <c r="I31" t="s">
        <v>407</v>
      </c>
      <c r="J31" t="s">
        <v>526</v>
      </c>
      <c r="K31" t="s">
        <v>527</v>
      </c>
      <c r="L31">
        <v>19140</v>
      </c>
      <c r="M31" t="s">
        <v>528</v>
      </c>
      <c r="N31" t="s">
        <v>550</v>
      </c>
      <c r="O31" t="s">
        <v>412</v>
      </c>
      <c r="P31" t="s">
        <v>445</v>
      </c>
      <c r="Q31" t="s">
        <v>551</v>
      </c>
      <c r="R31">
        <v>124.2</v>
      </c>
      <c r="S31">
        <v>3</v>
      </c>
      <c r="T31">
        <v>0.2</v>
      </c>
      <c r="U31">
        <v>15.525</v>
      </c>
      <c r="W31" t="str">
        <f t="shared" si="0"/>
        <v>no_dup</v>
      </c>
      <c r="X31" t="str">
        <f t="shared" si="1"/>
        <v>no_gap</v>
      </c>
    </row>
    <row r="32" spans="1:24">
      <c r="A32">
        <v>31</v>
      </c>
      <c r="B32" t="s">
        <v>543</v>
      </c>
      <c r="C32" s="8">
        <v>42264</v>
      </c>
      <c r="D32" s="8">
        <v>42268</v>
      </c>
      <c r="E32" t="s">
        <v>430</v>
      </c>
      <c r="F32" t="s">
        <v>544</v>
      </c>
      <c r="G32" t="s">
        <v>545</v>
      </c>
      <c r="H32" t="s">
        <v>406</v>
      </c>
      <c r="I32" t="s">
        <v>407</v>
      </c>
      <c r="J32" t="s">
        <v>526</v>
      </c>
      <c r="K32" t="s">
        <v>527</v>
      </c>
      <c r="L32">
        <v>19140</v>
      </c>
      <c r="M32" t="s">
        <v>528</v>
      </c>
      <c r="N32" t="s">
        <v>552</v>
      </c>
      <c r="O32" t="s">
        <v>426</v>
      </c>
      <c r="P32" t="s">
        <v>553</v>
      </c>
      <c r="Q32" t="s">
        <v>554</v>
      </c>
      <c r="R32">
        <v>3.2639999999999998</v>
      </c>
      <c r="S32">
        <v>2</v>
      </c>
      <c r="T32">
        <v>0.2</v>
      </c>
      <c r="U32">
        <v>1.1015999999999999</v>
      </c>
      <c r="W32" t="str">
        <f t="shared" si="0"/>
        <v>no_dup</v>
      </c>
      <c r="X32" t="str">
        <f t="shared" si="1"/>
        <v>no_gap</v>
      </c>
    </row>
    <row r="33" spans="1:24">
      <c r="A33">
        <v>32</v>
      </c>
      <c r="B33" t="s">
        <v>543</v>
      </c>
      <c r="C33" s="8">
        <v>42264</v>
      </c>
      <c r="D33" s="8">
        <v>42268</v>
      </c>
      <c r="E33" t="s">
        <v>430</v>
      </c>
      <c r="F33" t="s">
        <v>544</v>
      </c>
      <c r="G33" t="s">
        <v>545</v>
      </c>
      <c r="H33" t="s">
        <v>406</v>
      </c>
      <c r="I33" t="s">
        <v>407</v>
      </c>
      <c r="J33" t="s">
        <v>526</v>
      </c>
      <c r="K33" t="s">
        <v>527</v>
      </c>
      <c r="L33">
        <v>19140</v>
      </c>
      <c r="M33" t="s">
        <v>528</v>
      </c>
      <c r="N33" t="s">
        <v>555</v>
      </c>
      <c r="O33" t="s">
        <v>426</v>
      </c>
      <c r="P33" t="s">
        <v>448</v>
      </c>
      <c r="Q33" t="s">
        <v>556</v>
      </c>
      <c r="R33">
        <v>86.304000000000002</v>
      </c>
      <c r="S33">
        <v>6</v>
      </c>
      <c r="T33">
        <v>0.2</v>
      </c>
      <c r="U33">
        <v>9.7091999999999992</v>
      </c>
      <c r="W33" t="str">
        <f t="shared" si="0"/>
        <v>no_dup</v>
      </c>
      <c r="X33" t="str">
        <f t="shared" si="1"/>
        <v>no_gap</v>
      </c>
    </row>
    <row r="34" spans="1:24">
      <c r="A34">
        <v>33</v>
      </c>
      <c r="B34" t="s">
        <v>543</v>
      </c>
      <c r="C34" s="8">
        <v>42264</v>
      </c>
      <c r="D34" s="8">
        <v>42268</v>
      </c>
      <c r="E34" t="s">
        <v>430</v>
      </c>
      <c r="F34" t="s">
        <v>544</v>
      </c>
      <c r="G34" t="s">
        <v>545</v>
      </c>
      <c r="H34" t="s">
        <v>406</v>
      </c>
      <c r="I34" t="s">
        <v>407</v>
      </c>
      <c r="J34" t="s">
        <v>526</v>
      </c>
      <c r="K34" t="s">
        <v>527</v>
      </c>
      <c r="L34">
        <v>19140</v>
      </c>
      <c r="M34" t="s">
        <v>528</v>
      </c>
      <c r="N34" t="s">
        <v>557</v>
      </c>
      <c r="O34" t="s">
        <v>426</v>
      </c>
      <c r="P34" t="s">
        <v>455</v>
      </c>
      <c r="Q34" t="s">
        <v>558</v>
      </c>
      <c r="R34">
        <v>6.8579999999999997</v>
      </c>
      <c r="S34">
        <v>6</v>
      </c>
      <c r="T34">
        <v>0.7</v>
      </c>
      <c r="U34">
        <v>-5.7149999999999999</v>
      </c>
      <c r="W34" t="str">
        <f t="shared" si="0"/>
        <v>no_dup</v>
      </c>
      <c r="X34" t="str">
        <f t="shared" si="1"/>
        <v>no_gap</v>
      </c>
    </row>
    <row r="35" spans="1:24">
      <c r="A35">
        <v>34</v>
      </c>
      <c r="B35" t="s">
        <v>543</v>
      </c>
      <c r="C35" s="8">
        <v>42264</v>
      </c>
      <c r="D35" s="8">
        <v>42268</v>
      </c>
      <c r="E35" t="s">
        <v>430</v>
      </c>
      <c r="F35" t="s">
        <v>544</v>
      </c>
      <c r="G35" t="s">
        <v>545</v>
      </c>
      <c r="H35" t="s">
        <v>406</v>
      </c>
      <c r="I35" t="s">
        <v>407</v>
      </c>
      <c r="J35" t="s">
        <v>526</v>
      </c>
      <c r="K35" t="s">
        <v>527</v>
      </c>
      <c r="L35">
        <v>19140</v>
      </c>
      <c r="M35" t="s">
        <v>528</v>
      </c>
      <c r="N35" t="s">
        <v>559</v>
      </c>
      <c r="O35" t="s">
        <v>426</v>
      </c>
      <c r="P35" t="s">
        <v>448</v>
      </c>
      <c r="Q35" t="s">
        <v>560</v>
      </c>
      <c r="R35">
        <v>15.76</v>
      </c>
      <c r="S35">
        <v>2</v>
      </c>
      <c r="T35">
        <v>0.2</v>
      </c>
      <c r="U35">
        <v>3.5459999999999998</v>
      </c>
      <c r="W35" t="str">
        <f t="shared" si="0"/>
        <v>no_dup</v>
      </c>
      <c r="X35" t="str">
        <f t="shared" si="1"/>
        <v>no_gap</v>
      </c>
    </row>
    <row r="36" spans="1:24">
      <c r="A36">
        <v>35</v>
      </c>
      <c r="B36" t="s">
        <v>561</v>
      </c>
      <c r="C36" s="8">
        <v>43027</v>
      </c>
      <c r="D36" s="8">
        <v>43031</v>
      </c>
      <c r="E36" t="s">
        <v>403</v>
      </c>
      <c r="F36" t="s">
        <v>562</v>
      </c>
      <c r="G36" t="s">
        <v>563</v>
      </c>
      <c r="H36" t="s">
        <v>482</v>
      </c>
      <c r="I36" t="s">
        <v>407</v>
      </c>
      <c r="J36" t="s">
        <v>564</v>
      </c>
      <c r="K36" t="s">
        <v>484</v>
      </c>
      <c r="L36">
        <v>77095</v>
      </c>
      <c r="M36" t="s">
        <v>485</v>
      </c>
      <c r="N36" t="s">
        <v>565</v>
      </c>
      <c r="O36" t="s">
        <v>426</v>
      </c>
      <c r="P36" t="s">
        <v>470</v>
      </c>
      <c r="Q36" t="s">
        <v>566</v>
      </c>
      <c r="R36">
        <v>29.472000000000001</v>
      </c>
      <c r="S36">
        <v>3</v>
      </c>
      <c r="T36">
        <v>0.2</v>
      </c>
      <c r="U36">
        <v>9.9467999999999996</v>
      </c>
      <c r="W36" t="str">
        <f t="shared" si="0"/>
        <v>no_dup</v>
      </c>
      <c r="X36" t="str">
        <f t="shared" si="1"/>
        <v>no_gap</v>
      </c>
    </row>
    <row r="37" spans="1:24">
      <c r="A37">
        <v>36</v>
      </c>
      <c r="B37" t="s">
        <v>567</v>
      </c>
      <c r="C37" s="8">
        <v>42712</v>
      </c>
      <c r="D37" s="8">
        <v>42714</v>
      </c>
      <c r="E37" t="s">
        <v>568</v>
      </c>
      <c r="F37" t="s">
        <v>569</v>
      </c>
      <c r="G37" t="s">
        <v>570</v>
      </c>
      <c r="H37" t="s">
        <v>421</v>
      </c>
      <c r="I37" t="s">
        <v>407</v>
      </c>
      <c r="J37" t="s">
        <v>571</v>
      </c>
      <c r="K37" t="s">
        <v>484</v>
      </c>
      <c r="L37">
        <v>75080</v>
      </c>
      <c r="M37" t="s">
        <v>485</v>
      </c>
      <c r="N37" t="s">
        <v>572</v>
      </c>
      <c r="O37" t="s">
        <v>451</v>
      </c>
      <c r="P37" t="s">
        <v>452</v>
      </c>
      <c r="Q37" t="s">
        <v>573</v>
      </c>
      <c r="R37">
        <v>1097.5440000000001</v>
      </c>
      <c r="S37">
        <v>7</v>
      </c>
      <c r="T37">
        <v>0.2</v>
      </c>
      <c r="U37">
        <v>123.47369999999999</v>
      </c>
      <c r="W37" t="str">
        <f t="shared" si="0"/>
        <v>no_dup</v>
      </c>
      <c r="X37" t="str">
        <f t="shared" si="1"/>
        <v>no_gap</v>
      </c>
    </row>
    <row r="38" spans="1:24">
      <c r="A38">
        <v>37</v>
      </c>
      <c r="B38" t="s">
        <v>567</v>
      </c>
      <c r="C38" s="8">
        <v>42712</v>
      </c>
      <c r="D38" s="8">
        <v>42714</v>
      </c>
      <c r="E38" t="s">
        <v>568</v>
      </c>
      <c r="F38" t="s">
        <v>569</v>
      </c>
      <c r="G38" t="s">
        <v>570</v>
      </c>
      <c r="H38" t="s">
        <v>421</v>
      </c>
      <c r="I38" t="s">
        <v>407</v>
      </c>
      <c r="J38" t="s">
        <v>571</v>
      </c>
      <c r="K38" t="s">
        <v>484</v>
      </c>
      <c r="L38">
        <v>75080</v>
      </c>
      <c r="M38" t="s">
        <v>485</v>
      </c>
      <c r="N38" t="s">
        <v>574</v>
      </c>
      <c r="O38" t="s">
        <v>412</v>
      </c>
      <c r="P38" t="s">
        <v>445</v>
      </c>
      <c r="Q38" t="s">
        <v>575</v>
      </c>
      <c r="R38">
        <v>190.92</v>
      </c>
      <c r="S38">
        <v>5</v>
      </c>
      <c r="T38">
        <v>0.6</v>
      </c>
      <c r="U38">
        <v>-147.96299999999999</v>
      </c>
      <c r="W38" t="str">
        <f t="shared" si="0"/>
        <v>no_dup</v>
      </c>
      <c r="X38" t="str">
        <f t="shared" si="1"/>
        <v>no_gap</v>
      </c>
    </row>
    <row r="39" spans="1:24">
      <c r="A39">
        <v>38</v>
      </c>
      <c r="B39" t="s">
        <v>576</v>
      </c>
      <c r="C39" s="8">
        <v>42365</v>
      </c>
      <c r="D39" s="8">
        <v>42369</v>
      </c>
      <c r="E39" t="s">
        <v>430</v>
      </c>
      <c r="F39" t="s">
        <v>577</v>
      </c>
      <c r="G39" t="s">
        <v>578</v>
      </c>
      <c r="H39" t="s">
        <v>482</v>
      </c>
      <c r="I39" t="s">
        <v>407</v>
      </c>
      <c r="J39" t="s">
        <v>564</v>
      </c>
      <c r="K39" t="s">
        <v>484</v>
      </c>
      <c r="L39">
        <v>77041</v>
      </c>
      <c r="M39" t="s">
        <v>485</v>
      </c>
      <c r="N39" t="s">
        <v>579</v>
      </c>
      <c r="O39" t="s">
        <v>426</v>
      </c>
      <c r="P39" t="s">
        <v>553</v>
      </c>
      <c r="Q39" t="s">
        <v>580</v>
      </c>
      <c r="R39">
        <v>113.328</v>
      </c>
      <c r="S39">
        <v>9</v>
      </c>
      <c r="T39">
        <v>0.2</v>
      </c>
      <c r="U39">
        <v>35.414999999999999</v>
      </c>
      <c r="W39" t="str">
        <f t="shared" si="0"/>
        <v>no_dup</v>
      </c>
      <c r="X39" t="str">
        <f t="shared" si="1"/>
        <v>no_gap</v>
      </c>
    </row>
    <row r="40" spans="1:24">
      <c r="A40">
        <v>39</v>
      </c>
      <c r="B40" t="s">
        <v>576</v>
      </c>
      <c r="C40" s="8">
        <v>42365</v>
      </c>
      <c r="D40" s="8">
        <v>42369</v>
      </c>
      <c r="E40" t="s">
        <v>430</v>
      </c>
      <c r="F40" t="s">
        <v>577</v>
      </c>
      <c r="G40" t="s">
        <v>578</v>
      </c>
      <c r="H40" t="s">
        <v>482</v>
      </c>
      <c r="I40" t="s">
        <v>407</v>
      </c>
      <c r="J40" t="s">
        <v>564</v>
      </c>
      <c r="K40" t="s">
        <v>484</v>
      </c>
      <c r="L40">
        <v>77041</v>
      </c>
      <c r="M40" t="s">
        <v>485</v>
      </c>
      <c r="N40" t="s">
        <v>581</v>
      </c>
      <c r="O40" t="s">
        <v>412</v>
      </c>
      <c r="P40" t="s">
        <v>413</v>
      </c>
      <c r="Q40" t="s">
        <v>582</v>
      </c>
      <c r="R40">
        <v>532.39919999999995</v>
      </c>
      <c r="S40">
        <v>3</v>
      </c>
      <c r="T40">
        <v>0.32</v>
      </c>
      <c r="U40">
        <v>-46.976399999999998</v>
      </c>
      <c r="W40" t="str">
        <f t="shared" si="0"/>
        <v>no_dup</v>
      </c>
      <c r="X40" t="str">
        <f t="shared" si="1"/>
        <v>no_gap</v>
      </c>
    </row>
    <row r="41" spans="1:24">
      <c r="A41">
        <v>40</v>
      </c>
      <c r="B41" t="s">
        <v>576</v>
      </c>
      <c r="C41" s="8">
        <v>42365</v>
      </c>
      <c r="D41" s="8">
        <v>42369</v>
      </c>
      <c r="E41" t="s">
        <v>430</v>
      </c>
      <c r="F41" t="s">
        <v>577</v>
      </c>
      <c r="G41" t="s">
        <v>578</v>
      </c>
      <c r="H41" t="s">
        <v>482</v>
      </c>
      <c r="I41" t="s">
        <v>407</v>
      </c>
      <c r="J41" t="s">
        <v>564</v>
      </c>
      <c r="K41" t="s">
        <v>484</v>
      </c>
      <c r="L41">
        <v>77041</v>
      </c>
      <c r="M41" t="s">
        <v>485</v>
      </c>
      <c r="N41" t="s">
        <v>583</v>
      </c>
      <c r="O41" t="s">
        <v>412</v>
      </c>
      <c r="P41" t="s">
        <v>416</v>
      </c>
      <c r="Q41" t="s">
        <v>584</v>
      </c>
      <c r="R41">
        <v>212.05799999999999</v>
      </c>
      <c r="S41">
        <v>3</v>
      </c>
      <c r="T41">
        <v>0.3</v>
      </c>
      <c r="U41">
        <v>-15.147</v>
      </c>
      <c r="W41" t="str">
        <f t="shared" si="0"/>
        <v>no_dup</v>
      </c>
      <c r="X41" t="str">
        <f t="shared" si="1"/>
        <v>no_gap</v>
      </c>
    </row>
    <row r="42" spans="1:24">
      <c r="A42">
        <v>41</v>
      </c>
      <c r="B42" t="s">
        <v>576</v>
      </c>
      <c r="C42" s="8">
        <v>42365</v>
      </c>
      <c r="D42" s="8">
        <v>42369</v>
      </c>
      <c r="E42" t="s">
        <v>430</v>
      </c>
      <c r="F42" t="s">
        <v>577</v>
      </c>
      <c r="G42" t="s">
        <v>578</v>
      </c>
      <c r="H42" t="s">
        <v>482</v>
      </c>
      <c r="I42" t="s">
        <v>407</v>
      </c>
      <c r="J42" t="s">
        <v>564</v>
      </c>
      <c r="K42" t="s">
        <v>484</v>
      </c>
      <c r="L42">
        <v>77041</v>
      </c>
      <c r="M42" t="s">
        <v>485</v>
      </c>
      <c r="N42" t="s">
        <v>585</v>
      </c>
      <c r="O42" t="s">
        <v>451</v>
      </c>
      <c r="P42" t="s">
        <v>452</v>
      </c>
      <c r="Q42" t="s">
        <v>586</v>
      </c>
      <c r="R42">
        <v>371.16800000000001</v>
      </c>
      <c r="S42">
        <v>4</v>
      </c>
      <c r="T42">
        <v>0.2</v>
      </c>
      <c r="U42">
        <v>41.756399999999999</v>
      </c>
      <c r="W42" t="str">
        <f t="shared" si="0"/>
        <v>no_dup</v>
      </c>
      <c r="X42" t="str">
        <f t="shared" si="1"/>
        <v>no_gap</v>
      </c>
    </row>
    <row r="43" spans="1:24">
      <c r="A43">
        <v>42</v>
      </c>
      <c r="B43" t="s">
        <v>587</v>
      </c>
      <c r="C43" s="8">
        <v>42988</v>
      </c>
      <c r="D43" s="8">
        <v>42993</v>
      </c>
      <c r="E43" t="s">
        <v>430</v>
      </c>
      <c r="F43" t="s">
        <v>588</v>
      </c>
      <c r="G43" t="s">
        <v>589</v>
      </c>
      <c r="H43" t="s">
        <v>421</v>
      </c>
      <c r="I43" t="s">
        <v>407</v>
      </c>
      <c r="J43" t="s">
        <v>590</v>
      </c>
      <c r="K43" t="s">
        <v>591</v>
      </c>
      <c r="L43">
        <v>60540</v>
      </c>
      <c r="M43" t="s">
        <v>485</v>
      </c>
      <c r="N43" t="s">
        <v>592</v>
      </c>
      <c r="O43" t="s">
        <v>451</v>
      </c>
      <c r="P43" t="s">
        <v>452</v>
      </c>
      <c r="Q43" t="s">
        <v>593</v>
      </c>
      <c r="R43">
        <v>147.16800000000001</v>
      </c>
      <c r="S43">
        <v>4</v>
      </c>
      <c r="T43">
        <v>0.2</v>
      </c>
      <c r="U43">
        <v>16.5564</v>
      </c>
      <c r="W43" t="str">
        <f t="shared" si="0"/>
        <v>no_dup</v>
      </c>
      <c r="X43" t="str">
        <f t="shared" si="1"/>
        <v>no_gap</v>
      </c>
    </row>
    <row r="44" spans="1:24">
      <c r="A44">
        <v>43</v>
      </c>
      <c r="B44" t="s">
        <v>594</v>
      </c>
      <c r="C44" s="8">
        <v>42568</v>
      </c>
      <c r="D44" s="8">
        <v>42573</v>
      </c>
      <c r="E44" t="s">
        <v>430</v>
      </c>
      <c r="F44" t="s">
        <v>595</v>
      </c>
      <c r="G44" t="s">
        <v>596</v>
      </c>
      <c r="H44" t="s">
        <v>421</v>
      </c>
      <c r="I44" t="s">
        <v>407</v>
      </c>
      <c r="J44" t="s">
        <v>422</v>
      </c>
      <c r="K44" t="s">
        <v>423</v>
      </c>
      <c r="L44">
        <v>90049</v>
      </c>
      <c r="M44" t="s">
        <v>424</v>
      </c>
      <c r="N44" t="s">
        <v>597</v>
      </c>
      <c r="O44" t="s">
        <v>426</v>
      </c>
      <c r="P44" t="s">
        <v>439</v>
      </c>
      <c r="Q44" t="s">
        <v>598</v>
      </c>
      <c r="R44">
        <v>77.88</v>
      </c>
      <c r="S44">
        <v>2</v>
      </c>
      <c r="T44">
        <v>0</v>
      </c>
      <c r="U44">
        <v>3.8940000000000001</v>
      </c>
      <c r="W44" t="str">
        <f t="shared" si="0"/>
        <v>no_dup</v>
      </c>
      <c r="X44" t="str">
        <f t="shared" si="1"/>
        <v>no_gap</v>
      </c>
    </row>
    <row r="45" spans="1:24">
      <c r="A45">
        <v>44</v>
      </c>
      <c r="B45" t="s">
        <v>599</v>
      </c>
      <c r="C45" s="8">
        <v>42997</v>
      </c>
      <c r="D45" s="8">
        <v>43001</v>
      </c>
      <c r="E45" t="s">
        <v>430</v>
      </c>
      <c r="F45" t="s">
        <v>600</v>
      </c>
      <c r="G45" t="s">
        <v>601</v>
      </c>
      <c r="H45" t="s">
        <v>421</v>
      </c>
      <c r="I45" t="s">
        <v>407</v>
      </c>
      <c r="J45" t="s">
        <v>602</v>
      </c>
      <c r="K45" t="s">
        <v>434</v>
      </c>
      <c r="L45">
        <v>32935</v>
      </c>
      <c r="M45" t="s">
        <v>410</v>
      </c>
      <c r="N45" t="s">
        <v>603</v>
      </c>
      <c r="O45" t="s">
        <v>426</v>
      </c>
      <c r="P45" t="s">
        <v>439</v>
      </c>
      <c r="Q45" t="s">
        <v>604</v>
      </c>
      <c r="R45">
        <v>95.616</v>
      </c>
      <c r="S45">
        <v>2</v>
      </c>
      <c r="T45">
        <v>0.2</v>
      </c>
      <c r="U45">
        <v>9.5616000000000003</v>
      </c>
      <c r="W45" t="str">
        <f t="shared" si="0"/>
        <v>no_dup</v>
      </c>
      <c r="X45" t="str">
        <f t="shared" si="1"/>
        <v>no_gap</v>
      </c>
    </row>
    <row r="46" spans="1:24">
      <c r="A46">
        <v>45</v>
      </c>
      <c r="B46" t="s">
        <v>605</v>
      </c>
      <c r="C46" s="8">
        <v>42440</v>
      </c>
      <c r="D46" s="8">
        <v>42442</v>
      </c>
      <c r="E46" t="s">
        <v>568</v>
      </c>
      <c r="F46" t="s">
        <v>606</v>
      </c>
      <c r="G46" t="s">
        <v>607</v>
      </c>
      <c r="H46" t="s">
        <v>421</v>
      </c>
      <c r="I46" t="s">
        <v>407</v>
      </c>
      <c r="J46" t="s">
        <v>608</v>
      </c>
      <c r="K46" t="s">
        <v>609</v>
      </c>
      <c r="L46">
        <v>55122</v>
      </c>
      <c r="M46" t="s">
        <v>485</v>
      </c>
      <c r="N46" t="s">
        <v>610</v>
      </c>
      <c r="O46" t="s">
        <v>451</v>
      </c>
      <c r="P46" t="s">
        <v>541</v>
      </c>
      <c r="Q46" t="s">
        <v>611</v>
      </c>
      <c r="R46">
        <v>45.98</v>
      </c>
      <c r="S46">
        <v>2</v>
      </c>
      <c r="T46">
        <v>0</v>
      </c>
      <c r="U46">
        <v>19.7714</v>
      </c>
      <c r="W46" t="str">
        <f t="shared" si="0"/>
        <v>no_dup</v>
      </c>
      <c r="X46" t="str">
        <f t="shared" si="1"/>
        <v>no_gap</v>
      </c>
    </row>
    <row r="47" spans="1:24">
      <c r="A47">
        <v>46</v>
      </c>
      <c r="B47" t="s">
        <v>605</v>
      </c>
      <c r="C47" s="8">
        <v>42440</v>
      </c>
      <c r="D47" s="8">
        <v>42442</v>
      </c>
      <c r="E47" t="s">
        <v>568</v>
      </c>
      <c r="F47" t="s">
        <v>606</v>
      </c>
      <c r="G47" t="s">
        <v>607</v>
      </c>
      <c r="H47" t="s">
        <v>421</v>
      </c>
      <c r="I47" t="s">
        <v>407</v>
      </c>
      <c r="J47" t="s">
        <v>608</v>
      </c>
      <c r="K47" t="s">
        <v>609</v>
      </c>
      <c r="L47">
        <v>55122</v>
      </c>
      <c r="M47" t="s">
        <v>485</v>
      </c>
      <c r="N47" t="s">
        <v>612</v>
      </c>
      <c r="O47" t="s">
        <v>426</v>
      </c>
      <c r="P47" t="s">
        <v>455</v>
      </c>
      <c r="Q47" t="s">
        <v>613</v>
      </c>
      <c r="R47">
        <v>17.46</v>
      </c>
      <c r="S47">
        <v>2</v>
      </c>
      <c r="T47">
        <v>0</v>
      </c>
      <c r="U47">
        <v>8.2062000000000008</v>
      </c>
      <c r="W47" t="str">
        <f t="shared" si="0"/>
        <v>no_dup</v>
      </c>
      <c r="X47" t="str">
        <f t="shared" si="1"/>
        <v>no_gap</v>
      </c>
    </row>
    <row r="48" spans="1:24">
      <c r="A48">
        <v>47</v>
      </c>
      <c r="B48" t="s">
        <v>614</v>
      </c>
      <c r="C48" s="8">
        <v>41932</v>
      </c>
      <c r="D48" s="8">
        <v>41937</v>
      </c>
      <c r="E48" t="s">
        <v>403</v>
      </c>
      <c r="F48" t="s">
        <v>615</v>
      </c>
      <c r="G48" t="s">
        <v>616</v>
      </c>
      <c r="H48" t="s">
        <v>406</v>
      </c>
      <c r="I48" t="s">
        <v>407</v>
      </c>
      <c r="J48" t="s">
        <v>617</v>
      </c>
      <c r="K48" t="s">
        <v>618</v>
      </c>
      <c r="L48">
        <v>48185</v>
      </c>
      <c r="M48" t="s">
        <v>485</v>
      </c>
      <c r="N48" t="s">
        <v>619</v>
      </c>
      <c r="O48" t="s">
        <v>426</v>
      </c>
      <c r="P48" t="s">
        <v>439</v>
      </c>
      <c r="Q48" t="s">
        <v>620</v>
      </c>
      <c r="R48">
        <v>211.96</v>
      </c>
      <c r="S48">
        <v>4</v>
      </c>
      <c r="T48">
        <v>0</v>
      </c>
      <c r="U48">
        <v>8.4784000000000006</v>
      </c>
      <c r="W48" t="str">
        <f t="shared" si="0"/>
        <v>no_dup</v>
      </c>
      <c r="X48" t="str">
        <f t="shared" si="1"/>
        <v>no_gap</v>
      </c>
    </row>
    <row r="49" spans="1:24">
      <c r="A49">
        <v>48</v>
      </c>
      <c r="B49" t="s">
        <v>621</v>
      </c>
      <c r="C49" s="8">
        <v>42541</v>
      </c>
      <c r="D49" s="8">
        <v>42546</v>
      </c>
      <c r="E49" t="s">
        <v>430</v>
      </c>
      <c r="F49" t="s">
        <v>622</v>
      </c>
      <c r="G49" t="s">
        <v>623</v>
      </c>
      <c r="H49" t="s">
        <v>406</v>
      </c>
      <c r="I49" t="s">
        <v>407</v>
      </c>
      <c r="J49" t="s">
        <v>624</v>
      </c>
      <c r="K49" t="s">
        <v>625</v>
      </c>
      <c r="L49">
        <v>19901</v>
      </c>
      <c r="M49" t="s">
        <v>528</v>
      </c>
      <c r="N49" t="s">
        <v>626</v>
      </c>
      <c r="O49" t="s">
        <v>451</v>
      </c>
      <c r="P49" t="s">
        <v>541</v>
      </c>
      <c r="Q49" t="s">
        <v>627</v>
      </c>
      <c r="R49">
        <v>45</v>
      </c>
      <c r="S49">
        <v>3</v>
      </c>
      <c r="T49">
        <v>0</v>
      </c>
      <c r="U49">
        <v>4.95</v>
      </c>
      <c r="W49" t="str">
        <f t="shared" si="0"/>
        <v>no_dup</v>
      </c>
      <c r="X49" t="str">
        <f t="shared" si="1"/>
        <v>no_gap</v>
      </c>
    </row>
    <row r="50" spans="1:24">
      <c r="A50">
        <v>49</v>
      </c>
      <c r="B50" t="s">
        <v>621</v>
      </c>
      <c r="C50" s="8">
        <v>42541</v>
      </c>
      <c r="D50" s="8">
        <v>42546</v>
      </c>
      <c r="E50" t="s">
        <v>430</v>
      </c>
      <c r="F50" t="s">
        <v>622</v>
      </c>
      <c r="G50" t="s">
        <v>623</v>
      </c>
      <c r="H50" t="s">
        <v>406</v>
      </c>
      <c r="I50" t="s">
        <v>407</v>
      </c>
      <c r="J50" t="s">
        <v>624</v>
      </c>
      <c r="K50" t="s">
        <v>625</v>
      </c>
      <c r="L50">
        <v>19901</v>
      </c>
      <c r="M50" t="s">
        <v>528</v>
      </c>
      <c r="N50" t="s">
        <v>628</v>
      </c>
      <c r="O50" t="s">
        <v>451</v>
      </c>
      <c r="P50" t="s">
        <v>452</v>
      </c>
      <c r="Q50" t="s">
        <v>629</v>
      </c>
      <c r="R50">
        <v>21.8</v>
      </c>
      <c r="S50">
        <v>2</v>
      </c>
      <c r="T50">
        <v>0</v>
      </c>
      <c r="U50">
        <v>6.1040000000000001</v>
      </c>
      <c r="W50" t="str">
        <f t="shared" si="0"/>
        <v>no_dup</v>
      </c>
      <c r="X50" t="str">
        <f t="shared" si="1"/>
        <v>no_gap</v>
      </c>
    </row>
    <row r="51" spans="1:24">
      <c r="A51">
        <v>50</v>
      </c>
      <c r="B51" t="s">
        <v>630</v>
      </c>
      <c r="C51" s="8">
        <v>42112</v>
      </c>
      <c r="D51" s="8">
        <v>42116</v>
      </c>
      <c r="E51" t="s">
        <v>430</v>
      </c>
      <c r="F51" t="s">
        <v>631</v>
      </c>
      <c r="G51" t="s">
        <v>632</v>
      </c>
      <c r="H51" t="s">
        <v>406</v>
      </c>
      <c r="I51" t="s">
        <v>407</v>
      </c>
      <c r="J51" t="s">
        <v>633</v>
      </c>
      <c r="K51" t="s">
        <v>634</v>
      </c>
      <c r="L51">
        <v>47150</v>
      </c>
      <c r="M51" t="s">
        <v>485</v>
      </c>
      <c r="N51" t="s">
        <v>635</v>
      </c>
      <c r="O51" t="s">
        <v>426</v>
      </c>
      <c r="P51" t="s">
        <v>455</v>
      </c>
      <c r="Q51" t="s">
        <v>636</v>
      </c>
      <c r="R51">
        <v>38.22</v>
      </c>
      <c r="S51">
        <v>6</v>
      </c>
      <c r="T51">
        <v>0</v>
      </c>
      <c r="U51">
        <v>17.9634</v>
      </c>
      <c r="W51" t="str">
        <f t="shared" si="0"/>
        <v>no_dup</v>
      </c>
      <c r="X51" t="str">
        <f t="shared" si="1"/>
        <v>no_gap</v>
      </c>
    </row>
    <row r="52" spans="1:24">
      <c r="A52">
        <v>51</v>
      </c>
      <c r="B52" t="s">
        <v>630</v>
      </c>
      <c r="C52" s="8">
        <v>42112</v>
      </c>
      <c r="D52" s="8">
        <v>42116</v>
      </c>
      <c r="E52" t="s">
        <v>430</v>
      </c>
      <c r="F52" t="s">
        <v>631</v>
      </c>
      <c r="G52" t="s">
        <v>632</v>
      </c>
      <c r="H52" t="s">
        <v>406</v>
      </c>
      <c r="I52" t="s">
        <v>407</v>
      </c>
      <c r="J52" t="s">
        <v>633</v>
      </c>
      <c r="K52" t="s">
        <v>634</v>
      </c>
      <c r="L52">
        <v>47150</v>
      </c>
      <c r="M52" t="s">
        <v>485</v>
      </c>
      <c r="N52" t="s">
        <v>637</v>
      </c>
      <c r="O52" t="s">
        <v>426</v>
      </c>
      <c r="P52" t="s">
        <v>427</v>
      </c>
      <c r="Q52" t="s">
        <v>638</v>
      </c>
      <c r="R52">
        <v>75.180000000000007</v>
      </c>
      <c r="S52">
        <v>6</v>
      </c>
      <c r="T52">
        <v>0</v>
      </c>
      <c r="U52">
        <v>35.334600000000002</v>
      </c>
      <c r="W52" t="str">
        <f t="shared" si="0"/>
        <v>no_dup</v>
      </c>
      <c r="X52" t="str">
        <f t="shared" si="1"/>
        <v>no_gap</v>
      </c>
    </row>
    <row r="53" spans="1:24">
      <c r="A53">
        <v>52</v>
      </c>
      <c r="B53" t="s">
        <v>630</v>
      </c>
      <c r="C53" s="8">
        <v>42112</v>
      </c>
      <c r="D53" s="8">
        <v>42116</v>
      </c>
      <c r="E53" t="s">
        <v>430</v>
      </c>
      <c r="F53" t="s">
        <v>631</v>
      </c>
      <c r="G53" t="s">
        <v>632</v>
      </c>
      <c r="H53" t="s">
        <v>406</v>
      </c>
      <c r="I53" t="s">
        <v>407</v>
      </c>
      <c r="J53" t="s">
        <v>633</v>
      </c>
      <c r="K53" t="s">
        <v>634</v>
      </c>
      <c r="L53">
        <v>47150</v>
      </c>
      <c r="M53" t="s">
        <v>485</v>
      </c>
      <c r="N53" t="s">
        <v>639</v>
      </c>
      <c r="O53" t="s">
        <v>412</v>
      </c>
      <c r="P53" t="s">
        <v>445</v>
      </c>
      <c r="Q53" t="s">
        <v>640</v>
      </c>
      <c r="R53">
        <v>6.16</v>
      </c>
      <c r="S53">
        <v>2</v>
      </c>
      <c r="T53">
        <v>0</v>
      </c>
      <c r="U53">
        <v>2.9567999999999999</v>
      </c>
      <c r="W53" t="str">
        <f t="shared" si="0"/>
        <v>no_dup</v>
      </c>
      <c r="X53" t="str">
        <f t="shared" si="1"/>
        <v>no_gap</v>
      </c>
    </row>
    <row r="54" spans="1:24">
      <c r="A54">
        <v>53</v>
      </c>
      <c r="B54" t="s">
        <v>630</v>
      </c>
      <c r="C54" s="8">
        <v>42112</v>
      </c>
      <c r="D54" s="8">
        <v>42116</v>
      </c>
      <c r="E54" t="s">
        <v>430</v>
      </c>
      <c r="F54" t="s">
        <v>631</v>
      </c>
      <c r="G54" t="s">
        <v>632</v>
      </c>
      <c r="H54" t="s">
        <v>406</v>
      </c>
      <c r="I54" t="s">
        <v>407</v>
      </c>
      <c r="J54" t="s">
        <v>633</v>
      </c>
      <c r="K54" t="s">
        <v>634</v>
      </c>
      <c r="L54">
        <v>47150</v>
      </c>
      <c r="M54" t="s">
        <v>485</v>
      </c>
      <c r="N54" t="s">
        <v>641</v>
      </c>
      <c r="O54" t="s">
        <v>412</v>
      </c>
      <c r="P54" t="s">
        <v>416</v>
      </c>
      <c r="Q54" t="s">
        <v>642</v>
      </c>
      <c r="R54">
        <v>89.99</v>
      </c>
      <c r="S54">
        <v>1</v>
      </c>
      <c r="T54">
        <v>0</v>
      </c>
      <c r="U54">
        <v>17.098099999999999</v>
      </c>
      <c r="W54" t="str">
        <f t="shared" si="0"/>
        <v>no_dup</v>
      </c>
      <c r="X54" t="str">
        <f t="shared" si="1"/>
        <v>no_gap</v>
      </c>
    </row>
    <row r="55" spans="1:24">
      <c r="A55">
        <v>54</v>
      </c>
      <c r="B55" t="s">
        <v>643</v>
      </c>
      <c r="C55" s="8">
        <v>42715</v>
      </c>
      <c r="D55" s="8">
        <v>42721</v>
      </c>
      <c r="E55" t="s">
        <v>430</v>
      </c>
      <c r="F55" t="s">
        <v>644</v>
      </c>
      <c r="G55" t="s">
        <v>645</v>
      </c>
      <c r="H55" t="s">
        <v>421</v>
      </c>
      <c r="I55" t="s">
        <v>407</v>
      </c>
      <c r="J55" t="s">
        <v>646</v>
      </c>
      <c r="K55" t="s">
        <v>647</v>
      </c>
      <c r="L55">
        <v>10024</v>
      </c>
      <c r="M55" t="s">
        <v>528</v>
      </c>
      <c r="N55" t="s">
        <v>648</v>
      </c>
      <c r="O55" t="s">
        <v>426</v>
      </c>
      <c r="P55" t="s">
        <v>649</v>
      </c>
      <c r="Q55" t="s">
        <v>650</v>
      </c>
      <c r="R55">
        <v>15.26</v>
      </c>
      <c r="S55">
        <v>7</v>
      </c>
      <c r="T55">
        <v>0</v>
      </c>
      <c r="U55">
        <v>6.2565999999999997</v>
      </c>
      <c r="W55" t="str">
        <f t="shared" si="0"/>
        <v>no_dup</v>
      </c>
      <c r="X55" t="str">
        <f t="shared" si="1"/>
        <v>no_gap</v>
      </c>
    </row>
    <row r="56" spans="1:24">
      <c r="A56">
        <v>55</v>
      </c>
      <c r="B56" t="s">
        <v>643</v>
      </c>
      <c r="C56" s="8">
        <v>42715</v>
      </c>
      <c r="D56" s="8">
        <v>42721</v>
      </c>
      <c r="E56" t="s">
        <v>430</v>
      </c>
      <c r="F56" t="s">
        <v>644</v>
      </c>
      <c r="G56" t="s">
        <v>645</v>
      </c>
      <c r="H56" t="s">
        <v>421</v>
      </c>
      <c r="I56" t="s">
        <v>407</v>
      </c>
      <c r="J56" t="s">
        <v>646</v>
      </c>
      <c r="K56" t="s">
        <v>647</v>
      </c>
      <c r="L56">
        <v>10024</v>
      </c>
      <c r="M56" t="s">
        <v>528</v>
      </c>
      <c r="N56" t="s">
        <v>651</v>
      </c>
      <c r="O56" t="s">
        <v>451</v>
      </c>
      <c r="P56" t="s">
        <v>452</v>
      </c>
      <c r="Q56" t="s">
        <v>652</v>
      </c>
      <c r="R56">
        <v>1029.95</v>
      </c>
      <c r="S56">
        <v>5</v>
      </c>
      <c r="T56">
        <v>0</v>
      </c>
      <c r="U56">
        <v>298.68549999999999</v>
      </c>
      <c r="W56" t="str">
        <f t="shared" si="0"/>
        <v>no_dup</v>
      </c>
      <c r="X56" t="str">
        <f t="shared" si="1"/>
        <v>no_gap</v>
      </c>
    </row>
    <row r="57" spans="1:24">
      <c r="A57">
        <v>56</v>
      </c>
      <c r="B57" t="s">
        <v>653</v>
      </c>
      <c r="C57" s="8">
        <v>42538</v>
      </c>
      <c r="D57" s="8">
        <v>42539</v>
      </c>
      <c r="E57" t="s">
        <v>568</v>
      </c>
      <c r="F57" t="s">
        <v>654</v>
      </c>
      <c r="G57" t="s">
        <v>655</v>
      </c>
      <c r="H57" t="s">
        <v>406</v>
      </c>
      <c r="I57" t="s">
        <v>407</v>
      </c>
      <c r="J57" t="s">
        <v>656</v>
      </c>
      <c r="K57" t="s">
        <v>647</v>
      </c>
      <c r="L57">
        <v>12180</v>
      </c>
      <c r="M57" t="s">
        <v>528</v>
      </c>
      <c r="N57" t="s">
        <v>657</v>
      </c>
      <c r="O57" t="s">
        <v>426</v>
      </c>
      <c r="P57" t="s">
        <v>439</v>
      </c>
      <c r="Q57" t="s">
        <v>658</v>
      </c>
      <c r="R57">
        <v>208.56</v>
      </c>
      <c r="S57">
        <v>6</v>
      </c>
      <c r="T57">
        <v>0</v>
      </c>
      <c r="U57">
        <v>52.14</v>
      </c>
      <c r="W57" t="str">
        <f t="shared" si="0"/>
        <v>no_dup</v>
      </c>
      <c r="X57" t="str">
        <f t="shared" si="1"/>
        <v>no_gap</v>
      </c>
    </row>
    <row r="58" spans="1:24">
      <c r="A58">
        <v>57</v>
      </c>
      <c r="B58" t="s">
        <v>653</v>
      </c>
      <c r="C58" s="8">
        <v>42538</v>
      </c>
      <c r="D58" s="8">
        <v>42539</v>
      </c>
      <c r="E58" t="s">
        <v>568</v>
      </c>
      <c r="F58" t="s">
        <v>654</v>
      </c>
      <c r="G58" t="s">
        <v>655</v>
      </c>
      <c r="H58" t="s">
        <v>406</v>
      </c>
      <c r="I58" t="s">
        <v>407</v>
      </c>
      <c r="J58" t="s">
        <v>656</v>
      </c>
      <c r="K58" t="s">
        <v>647</v>
      </c>
      <c r="L58">
        <v>12180</v>
      </c>
      <c r="M58" t="s">
        <v>528</v>
      </c>
      <c r="N58" t="s">
        <v>659</v>
      </c>
      <c r="O58" t="s">
        <v>426</v>
      </c>
      <c r="P58" t="s">
        <v>470</v>
      </c>
      <c r="Q58" t="s">
        <v>660</v>
      </c>
      <c r="R58">
        <v>32.4</v>
      </c>
      <c r="S58">
        <v>5</v>
      </c>
      <c r="T58">
        <v>0</v>
      </c>
      <c r="U58">
        <v>15.552</v>
      </c>
      <c r="W58" t="str">
        <f t="shared" si="0"/>
        <v>no_dup</v>
      </c>
      <c r="X58" t="str">
        <f t="shared" si="1"/>
        <v>no_gap</v>
      </c>
    </row>
    <row r="59" spans="1:24">
      <c r="A59">
        <v>58</v>
      </c>
      <c r="B59" t="s">
        <v>653</v>
      </c>
      <c r="C59" s="8">
        <v>42538</v>
      </c>
      <c r="D59" s="8">
        <v>42539</v>
      </c>
      <c r="E59" t="s">
        <v>568</v>
      </c>
      <c r="F59" t="s">
        <v>654</v>
      </c>
      <c r="G59" t="s">
        <v>655</v>
      </c>
      <c r="H59" t="s">
        <v>406</v>
      </c>
      <c r="I59" t="s">
        <v>407</v>
      </c>
      <c r="J59" t="s">
        <v>656</v>
      </c>
      <c r="K59" t="s">
        <v>647</v>
      </c>
      <c r="L59">
        <v>12180</v>
      </c>
      <c r="M59" t="s">
        <v>528</v>
      </c>
      <c r="N59" t="s">
        <v>661</v>
      </c>
      <c r="O59" t="s">
        <v>412</v>
      </c>
      <c r="P59" t="s">
        <v>416</v>
      </c>
      <c r="Q59" t="s">
        <v>662</v>
      </c>
      <c r="R59">
        <v>319.41000000000003</v>
      </c>
      <c r="S59">
        <v>5</v>
      </c>
      <c r="T59">
        <v>0.1</v>
      </c>
      <c r="U59">
        <v>7.0979999999999999</v>
      </c>
      <c r="W59" t="str">
        <f t="shared" si="0"/>
        <v>no_dup</v>
      </c>
      <c r="X59" t="str">
        <f t="shared" si="1"/>
        <v>no_gap</v>
      </c>
    </row>
    <row r="60" spans="1:24">
      <c r="A60">
        <v>59</v>
      </c>
      <c r="B60" t="s">
        <v>653</v>
      </c>
      <c r="C60" s="8">
        <v>42538</v>
      </c>
      <c r="D60" s="8">
        <v>42539</v>
      </c>
      <c r="E60" t="s">
        <v>568</v>
      </c>
      <c r="F60" t="s">
        <v>654</v>
      </c>
      <c r="G60" t="s">
        <v>655</v>
      </c>
      <c r="H60" t="s">
        <v>406</v>
      </c>
      <c r="I60" t="s">
        <v>407</v>
      </c>
      <c r="J60" t="s">
        <v>656</v>
      </c>
      <c r="K60" t="s">
        <v>647</v>
      </c>
      <c r="L60">
        <v>12180</v>
      </c>
      <c r="M60" t="s">
        <v>528</v>
      </c>
      <c r="N60" t="s">
        <v>663</v>
      </c>
      <c r="O60" t="s">
        <v>426</v>
      </c>
      <c r="P60" t="s">
        <v>470</v>
      </c>
      <c r="Q60" t="s">
        <v>664</v>
      </c>
      <c r="R60">
        <v>14.56</v>
      </c>
      <c r="S60">
        <v>2</v>
      </c>
      <c r="T60">
        <v>0</v>
      </c>
      <c r="U60">
        <v>6.9888000000000003</v>
      </c>
      <c r="W60" t="str">
        <f t="shared" si="0"/>
        <v>no_dup</v>
      </c>
      <c r="X60" t="str">
        <f t="shared" si="1"/>
        <v>no_gap</v>
      </c>
    </row>
    <row r="61" spans="1:24">
      <c r="A61">
        <v>60</v>
      </c>
      <c r="B61" t="s">
        <v>653</v>
      </c>
      <c r="C61" s="8">
        <v>42538</v>
      </c>
      <c r="D61" s="8">
        <v>42539</v>
      </c>
      <c r="E61" t="s">
        <v>568</v>
      </c>
      <c r="F61" t="s">
        <v>654</v>
      </c>
      <c r="G61" t="s">
        <v>655</v>
      </c>
      <c r="H61" t="s">
        <v>406</v>
      </c>
      <c r="I61" t="s">
        <v>407</v>
      </c>
      <c r="J61" t="s">
        <v>656</v>
      </c>
      <c r="K61" t="s">
        <v>647</v>
      </c>
      <c r="L61">
        <v>12180</v>
      </c>
      <c r="M61" t="s">
        <v>528</v>
      </c>
      <c r="N61" t="s">
        <v>626</v>
      </c>
      <c r="O61" t="s">
        <v>451</v>
      </c>
      <c r="P61" t="s">
        <v>541</v>
      </c>
      <c r="Q61" t="s">
        <v>627</v>
      </c>
      <c r="R61">
        <v>30</v>
      </c>
      <c r="S61">
        <v>2</v>
      </c>
      <c r="T61">
        <v>0</v>
      </c>
      <c r="U61">
        <v>3.3</v>
      </c>
      <c r="W61" t="str">
        <f t="shared" si="0"/>
        <v>no_dup</v>
      </c>
      <c r="X61" t="str">
        <f t="shared" si="1"/>
        <v>no_gap</v>
      </c>
    </row>
    <row r="62" spans="1:24">
      <c r="A62">
        <v>61</v>
      </c>
      <c r="B62" t="s">
        <v>653</v>
      </c>
      <c r="C62" s="8">
        <v>42538</v>
      </c>
      <c r="D62" s="8">
        <v>42539</v>
      </c>
      <c r="E62" t="s">
        <v>568</v>
      </c>
      <c r="F62" t="s">
        <v>654</v>
      </c>
      <c r="G62" t="s">
        <v>655</v>
      </c>
      <c r="H62" t="s">
        <v>406</v>
      </c>
      <c r="I62" t="s">
        <v>407</v>
      </c>
      <c r="J62" t="s">
        <v>656</v>
      </c>
      <c r="K62" t="s">
        <v>647</v>
      </c>
      <c r="L62">
        <v>12180</v>
      </c>
      <c r="M62" t="s">
        <v>528</v>
      </c>
      <c r="N62" t="s">
        <v>665</v>
      </c>
      <c r="O62" t="s">
        <v>426</v>
      </c>
      <c r="P62" t="s">
        <v>455</v>
      </c>
      <c r="Q62" t="s">
        <v>666</v>
      </c>
      <c r="R62">
        <v>48.48</v>
      </c>
      <c r="S62">
        <v>4</v>
      </c>
      <c r="T62">
        <v>0.2</v>
      </c>
      <c r="U62">
        <v>16.361999999999998</v>
      </c>
      <c r="W62" t="str">
        <f t="shared" si="0"/>
        <v>no_dup</v>
      </c>
      <c r="X62" t="str">
        <f t="shared" si="1"/>
        <v>no_gap</v>
      </c>
    </row>
    <row r="63" spans="1:24">
      <c r="A63">
        <v>62</v>
      </c>
      <c r="B63" t="s">
        <v>653</v>
      </c>
      <c r="C63" s="8">
        <v>42538</v>
      </c>
      <c r="D63" s="8">
        <v>42539</v>
      </c>
      <c r="E63" t="s">
        <v>568</v>
      </c>
      <c r="F63" t="s">
        <v>654</v>
      </c>
      <c r="G63" t="s">
        <v>655</v>
      </c>
      <c r="H63" t="s">
        <v>406</v>
      </c>
      <c r="I63" t="s">
        <v>407</v>
      </c>
      <c r="J63" t="s">
        <v>656</v>
      </c>
      <c r="K63" t="s">
        <v>647</v>
      </c>
      <c r="L63">
        <v>12180</v>
      </c>
      <c r="M63" t="s">
        <v>528</v>
      </c>
      <c r="N63" t="s">
        <v>667</v>
      </c>
      <c r="O63" t="s">
        <v>426</v>
      </c>
      <c r="P63" t="s">
        <v>448</v>
      </c>
      <c r="Q63" t="s">
        <v>668</v>
      </c>
      <c r="R63">
        <v>1.68</v>
      </c>
      <c r="S63">
        <v>1</v>
      </c>
      <c r="T63">
        <v>0</v>
      </c>
      <c r="U63">
        <v>0.84</v>
      </c>
      <c r="W63" t="str">
        <f t="shared" si="0"/>
        <v>no_dup</v>
      </c>
      <c r="X63" t="str">
        <f t="shared" si="1"/>
        <v>no_gap</v>
      </c>
    </row>
    <row r="64" spans="1:24">
      <c r="A64">
        <v>63</v>
      </c>
      <c r="B64" t="s">
        <v>669</v>
      </c>
      <c r="C64" s="8">
        <v>42332</v>
      </c>
      <c r="D64" s="8">
        <v>42338</v>
      </c>
      <c r="E64" t="s">
        <v>430</v>
      </c>
      <c r="F64" t="s">
        <v>670</v>
      </c>
      <c r="G64" t="s">
        <v>671</v>
      </c>
      <c r="H64" t="s">
        <v>406</v>
      </c>
      <c r="I64" t="s">
        <v>407</v>
      </c>
      <c r="J64" t="s">
        <v>422</v>
      </c>
      <c r="K64" t="s">
        <v>423</v>
      </c>
      <c r="L64">
        <v>90004</v>
      </c>
      <c r="M64" t="s">
        <v>424</v>
      </c>
      <c r="N64" t="s">
        <v>672</v>
      </c>
      <c r="O64" t="s">
        <v>451</v>
      </c>
      <c r="P64" t="s">
        <v>541</v>
      </c>
      <c r="Q64" t="s">
        <v>673</v>
      </c>
      <c r="R64">
        <v>13.98</v>
      </c>
      <c r="S64">
        <v>2</v>
      </c>
      <c r="T64">
        <v>0</v>
      </c>
      <c r="U64">
        <v>6.1512000000000002</v>
      </c>
      <c r="W64" t="str">
        <f t="shared" si="0"/>
        <v>no_dup</v>
      </c>
      <c r="X64" t="str">
        <f t="shared" si="1"/>
        <v>no_gap</v>
      </c>
    </row>
    <row r="65" spans="1:24">
      <c r="A65">
        <v>64</v>
      </c>
      <c r="B65" t="s">
        <v>669</v>
      </c>
      <c r="C65" s="8">
        <v>42332</v>
      </c>
      <c r="D65" s="8">
        <v>42338</v>
      </c>
      <c r="E65" t="s">
        <v>430</v>
      </c>
      <c r="F65" t="s">
        <v>670</v>
      </c>
      <c r="G65" t="s">
        <v>671</v>
      </c>
      <c r="H65" t="s">
        <v>406</v>
      </c>
      <c r="I65" t="s">
        <v>407</v>
      </c>
      <c r="J65" t="s">
        <v>422</v>
      </c>
      <c r="K65" t="s">
        <v>423</v>
      </c>
      <c r="L65">
        <v>90004</v>
      </c>
      <c r="M65" t="s">
        <v>424</v>
      </c>
      <c r="N65" t="s">
        <v>674</v>
      </c>
      <c r="O65" t="s">
        <v>426</v>
      </c>
      <c r="P65" t="s">
        <v>455</v>
      </c>
      <c r="Q65" t="s">
        <v>675</v>
      </c>
      <c r="R65">
        <v>25.824000000000002</v>
      </c>
      <c r="S65">
        <v>6</v>
      </c>
      <c r="T65">
        <v>0.2</v>
      </c>
      <c r="U65">
        <v>9.3612000000000002</v>
      </c>
      <c r="W65" t="str">
        <f t="shared" si="0"/>
        <v>no_dup</v>
      </c>
      <c r="X65" t="str">
        <f t="shared" si="1"/>
        <v>no_gap</v>
      </c>
    </row>
    <row r="66" spans="1:24">
      <c r="A66">
        <v>65</v>
      </c>
      <c r="B66" t="s">
        <v>669</v>
      </c>
      <c r="C66" s="8">
        <v>42332</v>
      </c>
      <c r="D66" s="8">
        <v>42338</v>
      </c>
      <c r="E66" t="s">
        <v>430</v>
      </c>
      <c r="F66" t="s">
        <v>670</v>
      </c>
      <c r="G66" t="s">
        <v>671</v>
      </c>
      <c r="H66" t="s">
        <v>406</v>
      </c>
      <c r="I66" t="s">
        <v>407</v>
      </c>
      <c r="J66" t="s">
        <v>422</v>
      </c>
      <c r="K66" t="s">
        <v>423</v>
      </c>
      <c r="L66">
        <v>90004</v>
      </c>
      <c r="M66" t="s">
        <v>424</v>
      </c>
      <c r="N66" t="s">
        <v>676</v>
      </c>
      <c r="O66" t="s">
        <v>426</v>
      </c>
      <c r="P66" t="s">
        <v>470</v>
      </c>
      <c r="Q66" t="s">
        <v>677</v>
      </c>
      <c r="R66">
        <v>146.72999999999999</v>
      </c>
      <c r="S66">
        <v>3</v>
      </c>
      <c r="T66">
        <v>0</v>
      </c>
      <c r="U66">
        <v>68.963099999999997</v>
      </c>
      <c r="W66" t="str">
        <f t="shared" si="0"/>
        <v>no_dup</v>
      </c>
      <c r="X66" t="str">
        <f t="shared" si="1"/>
        <v>no_gap</v>
      </c>
    </row>
    <row r="67" spans="1:24">
      <c r="A67">
        <v>66</v>
      </c>
      <c r="B67" t="s">
        <v>669</v>
      </c>
      <c r="C67" s="8">
        <v>42332</v>
      </c>
      <c r="D67" s="8">
        <v>42338</v>
      </c>
      <c r="E67" t="s">
        <v>430</v>
      </c>
      <c r="F67" t="s">
        <v>670</v>
      </c>
      <c r="G67" t="s">
        <v>671</v>
      </c>
      <c r="H67" t="s">
        <v>406</v>
      </c>
      <c r="I67" t="s">
        <v>407</v>
      </c>
      <c r="J67" t="s">
        <v>422</v>
      </c>
      <c r="K67" t="s">
        <v>423</v>
      </c>
      <c r="L67">
        <v>90004</v>
      </c>
      <c r="M67" t="s">
        <v>424</v>
      </c>
      <c r="N67" t="s">
        <v>678</v>
      </c>
      <c r="O67" t="s">
        <v>412</v>
      </c>
      <c r="P67" t="s">
        <v>445</v>
      </c>
      <c r="Q67" t="s">
        <v>679</v>
      </c>
      <c r="R67">
        <v>79.760000000000005</v>
      </c>
      <c r="S67">
        <v>4</v>
      </c>
      <c r="T67">
        <v>0</v>
      </c>
      <c r="U67">
        <v>22.332799999999999</v>
      </c>
      <c r="W67" t="str">
        <f t="shared" ref="W67:W111" si="2">IF(A68-A67&gt;0,"no_dup","duplicate")</f>
        <v>no_dup</v>
      </c>
      <c r="X67" t="str">
        <f t="shared" ref="X67:X112" si="3">IF(A68-A67&gt;1,"gap","no_gap")</f>
        <v>no_gap</v>
      </c>
    </row>
    <row r="68" spans="1:24">
      <c r="A68">
        <v>67</v>
      </c>
      <c r="B68" t="s">
        <v>680</v>
      </c>
      <c r="C68" s="8">
        <v>42124</v>
      </c>
      <c r="D68" s="8">
        <v>42129</v>
      </c>
      <c r="E68" t="s">
        <v>430</v>
      </c>
      <c r="F68" t="s">
        <v>681</v>
      </c>
      <c r="G68" t="s">
        <v>682</v>
      </c>
      <c r="H68" t="s">
        <v>482</v>
      </c>
      <c r="I68" t="s">
        <v>407</v>
      </c>
      <c r="J68" t="s">
        <v>683</v>
      </c>
      <c r="K68" t="s">
        <v>591</v>
      </c>
      <c r="L68">
        <v>60610</v>
      </c>
      <c r="M68" t="s">
        <v>485</v>
      </c>
      <c r="N68" t="s">
        <v>684</v>
      </c>
      <c r="O68" t="s">
        <v>412</v>
      </c>
      <c r="P68" t="s">
        <v>416</v>
      </c>
      <c r="Q68" t="s">
        <v>685</v>
      </c>
      <c r="R68">
        <v>213.11500000000001</v>
      </c>
      <c r="S68">
        <v>5</v>
      </c>
      <c r="T68">
        <v>0.3</v>
      </c>
      <c r="U68">
        <v>-15.2225</v>
      </c>
      <c r="W68" t="str">
        <f t="shared" si="2"/>
        <v>no_dup</v>
      </c>
      <c r="X68" t="str">
        <f t="shared" si="3"/>
        <v>no_gap</v>
      </c>
    </row>
    <row r="69" spans="1:24">
      <c r="A69">
        <v>68</v>
      </c>
      <c r="B69" t="s">
        <v>686</v>
      </c>
      <c r="C69" s="8">
        <v>41978</v>
      </c>
      <c r="D69" s="8">
        <v>41983</v>
      </c>
      <c r="E69" t="s">
        <v>430</v>
      </c>
      <c r="F69" t="s">
        <v>687</v>
      </c>
      <c r="G69" t="s">
        <v>688</v>
      </c>
      <c r="H69" t="s">
        <v>421</v>
      </c>
      <c r="I69" t="s">
        <v>407</v>
      </c>
      <c r="J69" t="s">
        <v>689</v>
      </c>
      <c r="K69" t="s">
        <v>690</v>
      </c>
      <c r="L69">
        <v>85234</v>
      </c>
      <c r="M69" t="s">
        <v>424</v>
      </c>
      <c r="N69" t="s">
        <v>691</v>
      </c>
      <c r="O69" t="s">
        <v>426</v>
      </c>
      <c r="P69" t="s">
        <v>448</v>
      </c>
      <c r="Q69" t="s">
        <v>692</v>
      </c>
      <c r="R69">
        <v>1113.0239999999999</v>
      </c>
      <c r="S69">
        <v>8</v>
      </c>
      <c r="T69">
        <v>0.2</v>
      </c>
      <c r="U69">
        <v>111.30240000000001</v>
      </c>
      <c r="W69" t="str">
        <f t="shared" si="2"/>
        <v>no_dup</v>
      </c>
      <c r="X69" t="str">
        <f t="shared" si="3"/>
        <v>no_gap</v>
      </c>
    </row>
    <row r="70" spans="1:24">
      <c r="A70">
        <v>69</v>
      </c>
      <c r="B70" t="s">
        <v>686</v>
      </c>
      <c r="C70" s="8">
        <v>41978</v>
      </c>
      <c r="D70" s="8">
        <v>41983</v>
      </c>
      <c r="E70" t="s">
        <v>430</v>
      </c>
      <c r="F70" t="s">
        <v>687</v>
      </c>
      <c r="G70" t="s">
        <v>688</v>
      </c>
      <c r="H70" t="s">
        <v>421</v>
      </c>
      <c r="I70" t="s">
        <v>407</v>
      </c>
      <c r="J70" t="s">
        <v>689</v>
      </c>
      <c r="K70" t="s">
        <v>690</v>
      </c>
      <c r="L70">
        <v>85234</v>
      </c>
      <c r="M70" t="s">
        <v>424</v>
      </c>
      <c r="N70" t="s">
        <v>693</v>
      </c>
      <c r="O70" t="s">
        <v>451</v>
      </c>
      <c r="P70" t="s">
        <v>452</v>
      </c>
      <c r="Q70" t="s">
        <v>694</v>
      </c>
      <c r="R70">
        <v>167.96799999999999</v>
      </c>
      <c r="S70">
        <v>4</v>
      </c>
      <c r="T70">
        <v>0.2</v>
      </c>
      <c r="U70">
        <v>62.988</v>
      </c>
      <c r="W70" t="str">
        <f t="shared" si="2"/>
        <v>no_dup</v>
      </c>
      <c r="X70" t="str">
        <f t="shared" si="3"/>
        <v>no_gap</v>
      </c>
    </row>
    <row r="71" spans="1:24">
      <c r="A71">
        <v>70</v>
      </c>
      <c r="B71" t="s">
        <v>695</v>
      </c>
      <c r="C71" s="8">
        <v>42525</v>
      </c>
      <c r="D71" s="8">
        <v>42527</v>
      </c>
      <c r="E71" t="s">
        <v>568</v>
      </c>
      <c r="F71" t="s">
        <v>696</v>
      </c>
      <c r="G71" t="s">
        <v>697</v>
      </c>
      <c r="H71" t="s">
        <v>406</v>
      </c>
      <c r="I71" t="s">
        <v>407</v>
      </c>
      <c r="J71" t="s">
        <v>698</v>
      </c>
      <c r="K71" t="s">
        <v>699</v>
      </c>
      <c r="L71">
        <v>22153</v>
      </c>
      <c r="M71" t="s">
        <v>410</v>
      </c>
      <c r="N71" t="s">
        <v>700</v>
      </c>
      <c r="O71" t="s">
        <v>426</v>
      </c>
      <c r="P71" t="s">
        <v>470</v>
      </c>
      <c r="Q71" t="s">
        <v>701</v>
      </c>
      <c r="R71">
        <v>75.88</v>
      </c>
      <c r="S71">
        <v>2</v>
      </c>
      <c r="T71">
        <v>0</v>
      </c>
      <c r="U71">
        <v>35.663600000000002</v>
      </c>
      <c r="W71" t="str">
        <f t="shared" si="2"/>
        <v>no_dup</v>
      </c>
      <c r="X71" t="str">
        <f t="shared" si="3"/>
        <v>no_gap</v>
      </c>
    </row>
    <row r="72" spans="1:24">
      <c r="A72">
        <v>71</v>
      </c>
      <c r="B72" t="s">
        <v>702</v>
      </c>
      <c r="C72" s="8">
        <v>42631</v>
      </c>
      <c r="D72" s="8">
        <v>42636</v>
      </c>
      <c r="E72" t="s">
        <v>430</v>
      </c>
      <c r="F72" t="s">
        <v>703</v>
      </c>
      <c r="G72" t="s">
        <v>704</v>
      </c>
      <c r="H72" t="s">
        <v>406</v>
      </c>
      <c r="I72" t="s">
        <v>407</v>
      </c>
      <c r="J72" t="s">
        <v>646</v>
      </c>
      <c r="K72" t="s">
        <v>647</v>
      </c>
      <c r="L72">
        <v>10009</v>
      </c>
      <c r="M72" t="s">
        <v>528</v>
      </c>
      <c r="N72" t="s">
        <v>705</v>
      </c>
      <c r="O72" t="s">
        <v>426</v>
      </c>
      <c r="P72" t="s">
        <v>455</v>
      </c>
      <c r="Q72" t="s">
        <v>706</v>
      </c>
      <c r="R72">
        <v>4.6159999999999997</v>
      </c>
      <c r="S72">
        <v>1</v>
      </c>
      <c r="T72">
        <v>0.2</v>
      </c>
      <c r="U72">
        <v>1.7310000000000001</v>
      </c>
      <c r="W72" t="str">
        <f t="shared" si="2"/>
        <v>no_dup</v>
      </c>
      <c r="X72" t="str">
        <f t="shared" si="3"/>
        <v>no_gap</v>
      </c>
    </row>
    <row r="73" spans="1:24">
      <c r="A73">
        <v>72</v>
      </c>
      <c r="B73" t="s">
        <v>707</v>
      </c>
      <c r="C73" s="8">
        <v>42992</v>
      </c>
      <c r="D73" s="8">
        <v>42995</v>
      </c>
      <c r="E73" t="s">
        <v>403</v>
      </c>
      <c r="F73" t="s">
        <v>544</v>
      </c>
      <c r="G73" t="s">
        <v>545</v>
      </c>
      <c r="H73" t="s">
        <v>406</v>
      </c>
      <c r="I73" t="s">
        <v>407</v>
      </c>
      <c r="J73" t="s">
        <v>708</v>
      </c>
      <c r="K73" t="s">
        <v>618</v>
      </c>
      <c r="L73">
        <v>49201</v>
      </c>
      <c r="M73" t="s">
        <v>485</v>
      </c>
      <c r="N73" t="s">
        <v>709</v>
      </c>
      <c r="O73" t="s">
        <v>426</v>
      </c>
      <c r="P73" t="s">
        <v>470</v>
      </c>
      <c r="Q73" t="s">
        <v>710</v>
      </c>
      <c r="R73">
        <v>19.05</v>
      </c>
      <c r="S73">
        <v>3</v>
      </c>
      <c r="T73">
        <v>0</v>
      </c>
      <c r="U73">
        <v>8.7629999999999999</v>
      </c>
      <c r="W73" t="str">
        <f t="shared" si="2"/>
        <v>no_dup</v>
      </c>
      <c r="X73" t="str">
        <f t="shared" si="3"/>
        <v>no_gap</v>
      </c>
    </row>
    <row r="74" spans="1:24">
      <c r="A74">
        <v>73</v>
      </c>
      <c r="B74" t="s">
        <v>711</v>
      </c>
      <c r="C74" s="8">
        <v>42120</v>
      </c>
      <c r="D74" s="8">
        <v>42126</v>
      </c>
      <c r="E74" t="s">
        <v>430</v>
      </c>
      <c r="F74" t="s">
        <v>712</v>
      </c>
      <c r="G74" t="s">
        <v>713</v>
      </c>
      <c r="H74" t="s">
        <v>406</v>
      </c>
      <c r="I74" t="s">
        <v>407</v>
      </c>
      <c r="J74" t="s">
        <v>714</v>
      </c>
      <c r="K74" t="s">
        <v>715</v>
      </c>
      <c r="L74">
        <v>38109</v>
      </c>
      <c r="M74" t="s">
        <v>410</v>
      </c>
      <c r="N74" t="s">
        <v>716</v>
      </c>
      <c r="O74" t="s">
        <v>412</v>
      </c>
      <c r="P74" t="s">
        <v>416</v>
      </c>
      <c r="Q74" t="s">
        <v>717</v>
      </c>
      <c r="R74">
        <v>831.93600000000004</v>
      </c>
      <c r="S74">
        <v>8</v>
      </c>
      <c r="T74">
        <v>0.2</v>
      </c>
      <c r="U74">
        <v>-114.3912</v>
      </c>
      <c r="W74" t="str">
        <f t="shared" si="2"/>
        <v>no_dup</v>
      </c>
      <c r="X74" t="str">
        <f t="shared" si="3"/>
        <v>no_gap</v>
      </c>
    </row>
    <row r="75" spans="1:24">
      <c r="A75">
        <v>74</v>
      </c>
      <c r="B75" t="s">
        <v>711</v>
      </c>
      <c r="C75" s="8">
        <v>42120</v>
      </c>
      <c r="D75" s="8">
        <v>42126</v>
      </c>
      <c r="E75" t="s">
        <v>430</v>
      </c>
      <c r="F75" t="s">
        <v>712</v>
      </c>
      <c r="G75" t="s">
        <v>713</v>
      </c>
      <c r="H75" t="s">
        <v>406</v>
      </c>
      <c r="I75" t="s">
        <v>407</v>
      </c>
      <c r="J75" t="s">
        <v>714</v>
      </c>
      <c r="K75" t="s">
        <v>715</v>
      </c>
      <c r="L75">
        <v>38109</v>
      </c>
      <c r="M75" t="s">
        <v>410</v>
      </c>
      <c r="N75" t="s">
        <v>718</v>
      </c>
      <c r="O75" t="s">
        <v>412</v>
      </c>
      <c r="P75" t="s">
        <v>445</v>
      </c>
      <c r="Q75" t="s">
        <v>719</v>
      </c>
      <c r="R75">
        <v>97.04</v>
      </c>
      <c r="S75">
        <v>2</v>
      </c>
      <c r="T75">
        <v>0.2</v>
      </c>
      <c r="U75">
        <v>1.2130000000000001</v>
      </c>
      <c r="W75" t="str">
        <f t="shared" si="2"/>
        <v>no_dup</v>
      </c>
      <c r="X75" t="str">
        <f t="shared" si="3"/>
        <v>no_gap</v>
      </c>
    </row>
    <row r="76" spans="1:24">
      <c r="A76">
        <v>75</v>
      </c>
      <c r="B76" t="s">
        <v>711</v>
      </c>
      <c r="C76" s="8">
        <v>42120</v>
      </c>
      <c r="D76" s="8">
        <v>42126</v>
      </c>
      <c r="E76" t="s">
        <v>430</v>
      </c>
      <c r="F76" t="s">
        <v>712</v>
      </c>
      <c r="G76" t="s">
        <v>713</v>
      </c>
      <c r="H76" t="s">
        <v>406</v>
      </c>
      <c r="I76" t="s">
        <v>407</v>
      </c>
      <c r="J76" t="s">
        <v>714</v>
      </c>
      <c r="K76" t="s">
        <v>715</v>
      </c>
      <c r="L76">
        <v>38109</v>
      </c>
      <c r="M76" t="s">
        <v>410</v>
      </c>
      <c r="N76" t="s">
        <v>720</v>
      </c>
      <c r="O76" t="s">
        <v>426</v>
      </c>
      <c r="P76" t="s">
        <v>439</v>
      </c>
      <c r="Q76" t="s">
        <v>721</v>
      </c>
      <c r="R76">
        <v>72.784000000000006</v>
      </c>
      <c r="S76">
        <v>1</v>
      </c>
      <c r="T76">
        <v>0.2</v>
      </c>
      <c r="U76">
        <v>-18.196000000000002</v>
      </c>
      <c r="W76" t="str">
        <f t="shared" si="2"/>
        <v>no_dup</v>
      </c>
      <c r="X76" t="str">
        <f t="shared" si="3"/>
        <v>no_gap</v>
      </c>
    </row>
    <row r="77" spans="1:24">
      <c r="A77">
        <v>76</v>
      </c>
      <c r="B77" t="s">
        <v>722</v>
      </c>
      <c r="C77" s="8">
        <v>43078</v>
      </c>
      <c r="D77" s="8">
        <v>43080</v>
      </c>
      <c r="E77" t="s">
        <v>568</v>
      </c>
      <c r="F77" t="s">
        <v>723</v>
      </c>
      <c r="G77" t="s">
        <v>724</v>
      </c>
      <c r="H77" t="s">
        <v>421</v>
      </c>
      <c r="I77" t="s">
        <v>407</v>
      </c>
      <c r="J77" t="s">
        <v>564</v>
      </c>
      <c r="K77" t="s">
        <v>484</v>
      </c>
      <c r="L77">
        <v>77041</v>
      </c>
      <c r="M77" t="s">
        <v>485</v>
      </c>
      <c r="N77" t="s">
        <v>725</v>
      </c>
      <c r="O77" t="s">
        <v>426</v>
      </c>
      <c r="P77" t="s">
        <v>455</v>
      </c>
      <c r="Q77" t="s">
        <v>726</v>
      </c>
      <c r="R77">
        <v>1.248</v>
      </c>
      <c r="S77">
        <v>3</v>
      </c>
      <c r="T77">
        <v>0.8</v>
      </c>
      <c r="U77">
        <v>-1.9343999999999999</v>
      </c>
      <c r="W77" t="str">
        <f t="shared" si="2"/>
        <v>no_dup</v>
      </c>
      <c r="X77" t="str">
        <f t="shared" si="3"/>
        <v>no_gap</v>
      </c>
    </row>
    <row r="78" spans="1:24">
      <c r="A78">
        <v>77</v>
      </c>
      <c r="B78" t="s">
        <v>722</v>
      </c>
      <c r="C78" s="8">
        <v>43078</v>
      </c>
      <c r="D78" s="8">
        <v>43080</v>
      </c>
      <c r="E78" t="s">
        <v>568</v>
      </c>
      <c r="F78" t="s">
        <v>723</v>
      </c>
      <c r="G78" t="s">
        <v>724</v>
      </c>
      <c r="H78" t="s">
        <v>421</v>
      </c>
      <c r="I78" t="s">
        <v>407</v>
      </c>
      <c r="J78" t="s">
        <v>564</v>
      </c>
      <c r="K78" t="s">
        <v>484</v>
      </c>
      <c r="L78">
        <v>77041</v>
      </c>
      <c r="M78" t="s">
        <v>485</v>
      </c>
      <c r="N78" t="s">
        <v>727</v>
      </c>
      <c r="O78" t="s">
        <v>412</v>
      </c>
      <c r="P78" t="s">
        <v>445</v>
      </c>
      <c r="Q78" t="s">
        <v>728</v>
      </c>
      <c r="R78">
        <v>9.7080000000000002</v>
      </c>
      <c r="S78">
        <v>3</v>
      </c>
      <c r="T78">
        <v>0.6</v>
      </c>
      <c r="U78">
        <v>-5.8247999999999998</v>
      </c>
      <c r="W78" t="str">
        <f t="shared" si="2"/>
        <v>no_dup</v>
      </c>
      <c r="X78" t="str">
        <f t="shared" si="3"/>
        <v>no_gap</v>
      </c>
    </row>
    <row r="79" spans="1:24">
      <c r="A79">
        <v>78</v>
      </c>
      <c r="B79" t="s">
        <v>722</v>
      </c>
      <c r="C79" s="8">
        <v>43078</v>
      </c>
      <c r="D79" s="8">
        <v>43080</v>
      </c>
      <c r="E79" t="s">
        <v>568</v>
      </c>
      <c r="F79" t="s">
        <v>723</v>
      </c>
      <c r="G79" t="s">
        <v>724</v>
      </c>
      <c r="H79" t="s">
        <v>421</v>
      </c>
      <c r="I79" t="s">
        <v>407</v>
      </c>
      <c r="J79" t="s">
        <v>564</v>
      </c>
      <c r="K79" t="s">
        <v>484</v>
      </c>
      <c r="L79">
        <v>77041</v>
      </c>
      <c r="M79" t="s">
        <v>485</v>
      </c>
      <c r="N79" t="s">
        <v>729</v>
      </c>
      <c r="O79" t="s">
        <v>426</v>
      </c>
      <c r="P79" t="s">
        <v>439</v>
      </c>
      <c r="Q79" t="s">
        <v>730</v>
      </c>
      <c r="R79">
        <v>27.24</v>
      </c>
      <c r="S79">
        <v>3</v>
      </c>
      <c r="T79">
        <v>0.2</v>
      </c>
      <c r="U79">
        <v>2.7240000000000002</v>
      </c>
      <c r="W79" t="str">
        <f t="shared" si="2"/>
        <v>no_dup</v>
      </c>
      <c r="X79" t="str">
        <f t="shared" si="3"/>
        <v>no_gap</v>
      </c>
    </row>
    <row r="80" spans="1:24">
      <c r="A80">
        <v>79</v>
      </c>
      <c r="B80" t="s">
        <v>731</v>
      </c>
      <c r="C80" s="8">
        <v>41969</v>
      </c>
      <c r="D80" s="8">
        <v>41974</v>
      </c>
      <c r="E80" t="s">
        <v>403</v>
      </c>
      <c r="F80" t="s">
        <v>712</v>
      </c>
      <c r="G80" t="s">
        <v>713</v>
      </c>
      <c r="H80" t="s">
        <v>406</v>
      </c>
      <c r="I80" t="s">
        <v>407</v>
      </c>
      <c r="J80" t="s">
        <v>564</v>
      </c>
      <c r="K80" t="s">
        <v>484</v>
      </c>
      <c r="L80">
        <v>77070</v>
      </c>
      <c r="M80" t="s">
        <v>485</v>
      </c>
      <c r="N80" t="s">
        <v>732</v>
      </c>
      <c r="O80" t="s">
        <v>412</v>
      </c>
      <c r="P80" t="s">
        <v>445</v>
      </c>
      <c r="Q80" t="s">
        <v>733</v>
      </c>
      <c r="R80">
        <v>19.3</v>
      </c>
      <c r="S80">
        <v>5</v>
      </c>
      <c r="T80">
        <v>0.6</v>
      </c>
      <c r="U80">
        <v>-14.475</v>
      </c>
      <c r="W80" t="str">
        <f t="shared" si="2"/>
        <v>no_dup</v>
      </c>
      <c r="X80" t="str">
        <f t="shared" si="3"/>
        <v>no_gap</v>
      </c>
    </row>
    <row r="81" spans="1:24">
      <c r="A81">
        <v>80</v>
      </c>
      <c r="B81" t="s">
        <v>734</v>
      </c>
      <c r="C81" s="8">
        <v>42533</v>
      </c>
      <c r="D81" s="8">
        <v>42536</v>
      </c>
      <c r="E81" t="s">
        <v>568</v>
      </c>
      <c r="F81" t="s">
        <v>735</v>
      </c>
      <c r="G81" t="s">
        <v>736</v>
      </c>
      <c r="H81" t="s">
        <v>421</v>
      </c>
      <c r="I81" t="s">
        <v>407</v>
      </c>
      <c r="J81" t="s">
        <v>737</v>
      </c>
      <c r="K81" t="s">
        <v>738</v>
      </c>
      <c r="L81">
        <v>35601</v>
      </c>
      <c r="M81" t="s">
        <v>410</v>
      </c>
      <c r="N81" t="s">
        <v>739</v>
      </c>
      <c r="O81" t="s">
        <v>426</v>
      </c>
      <c r="P81" t="s">
        <v>458</v>
      </c>
      <c r="Q81" t="s">
        <v>740</v>
      </c>
      <c r="R81">
        <v>208.16</v>
      </c>
      <c r="S81">
        <v>1</v>
      </c>
      <c r="T81">
        <v>0</v>
      </c>
      <c r="U81">
        <v>56.203200000000002</v>
      </c>
      <c r="W81" t="str">
        <f t="shared" si="2"/>
        <v>no_dup</v>
      </c>
      <c r="X81" t="str">
        <f t="shared" si="3"/>
        <v>no_gap</v>
      </c>
    </row>
    <row r="82" spans="1:24">
      <c r="A82">
        <v>81</v>
      </c>
      <c r="B82" t="s">
        <v>734</v>
      </c>
      <c r="C82" s="8">
        <v>42533</v>
      </c>
      <c r="D82" s="8">
        <v>42536</v>
      </c>
      <c r="E82" t="s">
        <v>568</v>
      </c>
      <c r="F82" t="s">
        <v>735</v>
      </c>
      <c r="G82" t="s">
        <v>736</v>
      </c>
      <c r="H82" t="s">
        <v>421</v>
      </c>
      <c r="I82" t="s">
        <v>407</v>
      </c>
      <c r="J82" t="s">
        <v>737</v>
      </c>
      <c r="K82" t="s">
        <v>738</v>
      </c>
      <c r="L82">
        <v>35601</v>
      </c>
      <c r="M82" t="s">
        <v>410</v>
      </c>
      <c r="N82" t="s">
        <v>741</v>
      </c>
      <c r="O82" t="s">
        <v>426</v>
      </c>
      <c r="P82" t="s">
        <v>455</v>
      </c>
      <c r="Q82" t="s">
        <v>742</v>
      </c>
      <c r="R82">
        <v>16.739999999999998</v>
      </c>
      <c r="S82">
        <v>3</v>
      </c>
      <c r="T82">
        <v>0</v>
      </c>
      <c r="U82">
        <v>8.0351999999999997</v>
      </c>
      <c r="W82" t="str">
        <f t="shared" si="2"/>
        <v>no_dup</v>
      </c>
      <c r="X82" t="str">
        <f t="shared" si="3"/>
        <v>no_gap</v>
      </c>
    </row>
    <row r="83" spans="1:24">
      <c r="A83">
        <v>82</v>
      </c>
      <c r="B83" t="s">
        <v>743</v>
      </c>
      <c r="C83" s="8">
        <v>41924</v>
      </c>
      <c r="D83" s="8">
        <v>41928</v>
      </c>
      <c r="E83" t="s">
        <v>430</v>
      </c>
      <c r="F83" t="s">
        <v>744</v>
      </c>
      <c r="G83" t="s">
        <v>745</v>
      </c>
      <c r="H83" t="s">
        <v>406</v>
      </c>
      <c r="I83" t="s">
        <v>407</v>
      </c>
      <c r="J83" t="s">
        <v>507</v>
      </c>
      <c r="K83" t="s">
        <v>423</v>
      </c>
      <c r="L83">
        <v>94122</v>
      </c>
      <c r="M83" t="s">
        <v>424</v>
      </c>
      <c r="N83" t="s">
        <v>746</v>
      </c>
      <c r="O83" t="s">
        <v>426</v>
      </c>
      <c r="P83" t="s">
        <v>448</v>
      </c>
      <c r="Q83" t="s">
        <v>747</v>
      </c>
      <c r="R83">
        <v>14.9</v>
      </c>
      <c r="S83">
        <v>5</v>
      </c>
      <c r="T83">
        <v>0</v>
      </c>
      <c r="U83">
        <v>4.1719999999999997</v>
      </c>
      <c r="W83" t="str">
        <f t="shared" si="2"/>
        <v>no_dup</v>
      </c>
      <c r="X83" t="str">
        <f t="shared" si="3"/>
        <v>no_gap</v>
      </c>
    </row>
    <row r="84" spans="1:24">
      <c r="A84">
        <v>83</v>
      </c>
      <c r="B84" t="s">
        <v>743</v>
      </c>
      <c r="C84" s="8">
        <v>41924</v>
      </c>
      <c r="D84" s="8">
        <v>41928</v>
      </c>
      <c r="E84" t="s">
        <v>430</v>
      </c>
      <c r="F84" t="s">
        <v>744</v>
      </c>
      <c r="G84" t="s">
        <v>745</v>
      </c>
      <c r="H84" t="s">
        <v>406</v>
      </c>
      <c r="I84" t="s">
        <v>407</v>
      </c>
      <c r="J84" t="s">
        <v>507</v>
      </c>
      <c r="K84" t="s">
        <v>423</v>
      </c>
      <c r="L84">
        <v>94122</v>
      </c>
      <c r="M84" t="s">
        <v>424</v>
      </c>
      <c r="N84" t="s">
        <v>748</v>
      </c>
      <c r="O84" t="s">
        <v>426</v>
      </c>
      <c r="P84" t="s">
        <v>439</v>
      </c>
      <c r="Q84" t="s">
        <v>749</v>
      </c>
      <c r="R84">
        <v>21.39</v>
      </c>
      <c r="S84">
        <v>1</v>
      </c>
      <c r="T84">
        <v>0</v>
      </c>
      <c r="U84">
        <v>6.2031000000000001</v>
      </c>
      <c r="W84" t="str">
        <f t="shared" si="2"/>
        <v>no_dup</v>
      </c>
      <c r="X84" t="str">
        <f t="shared" si="3"/>
        <v>no_gap</v>
      </c>
    </row>
    <row r="85" spans="1:24">
      <c r="A85">
        <v>84</v>
      </c>
      <c r="B85" t="s">
        <v>750</v>
      </c>
      <c r="C85" s="8">
        <v>42250</v>
      </c>
      <c r="D85" s="8">
        <v>42255</v>
      </c>
      <c r="E85" t="s">
        <v>430</v>
      </c>
      <c r="F85" t="s">
        <v>751</v>
      </c>
      <c r="G85" t="s">
        <v>752</v>
      </c>
      <c r="H85" t="s">
        <v>421</v>
      </c>
      <c r="I85" t="s">
        <v>407</v>
      </c>
      <c r="J85" t="s">
        <v>753</v>
      </c>
      <c r="K85" t="s">
        <v>468</v>
      </c>
      <c r="L85">
        <v>27707</v>
      </c>
      <c r="M85" t="s">
        <v>410</v>
      </c>
      <c r="N85" t="s">
        <v>754</v>
      </c>
      <c r="O85" t="s">
        <v>426</v>
      </c>
      <c r="P85" t="s">
        <v>553</v>
      </c>
      <c r="Q85" t="s">
        <v>755</v>
      </c>
      <c r="R85">
        <v>200.98400000000001</v>
      </c>
      <c r="S85">
        <v>7</v>
      </c>
      <c r="T85">
        <v>0.2</v>
      </c>
      <c r="U85">
        <v>62.807499999999997</v>
      </c>
      <c r="W85" t="str">
        <f t="shared" si="2"/>
        <v>no_dup</v>
      </c>
      <c r="X85" t="str">
        <f t="shared" si="3"/>
        <v>no_gap</v>
      </c>
    </row>
    <row r="86" spans="1:24">
      <c r="A86">
        <v>85</v>
      </c>
      <c r="B86" t="s">
        <v>756</v>
      </c>
      <c r="C86" s="8">
        <v>43052</v>
      </c>
      <c r="D86" s="8">
        <v>43055</v>
      </c>
      <c r="E86" t="s">
        <v>568</v>
      </c>
      <c r="F86" t="s">
        <v>757</v>
      </c>
      <c r="G86" t="s">
        <v>758</v>
      </c>
      <c r="H86" t="s">
        <v>482</v>
      </c>
      <c r="I86" t="s">
        <v>407</v>
      </c>
      <c r="J86" t="s">
        <v>683</v>
      </c>
      <c r="K86" t="s">
        <v>591</v>
      </c>
      <c r="L86">
        <v>60623</v>
      </c>
      <c r="M86" t="s">
        <v>485</v>
      </c>
      <c r="N86" t="s">
        <v>759</v>
      </c>
      <c r="O86" t="s">
        <v>426</v>
      </c>
      <c r="P86" t="s">
        <v>439</v>
      </c>
      <c r="Q86" t="s">
        <v>760</v>
      </c>
      <c r="R86">
        <v>230.376</v>
      </c>
      <c r="S86">
        <v>3</v>
      </c>
      <c r="T86">
        <v>0.2</v>
      </c>
      <c r="U86">
        <v>-48.954900000000002</v>
      </c>
      <c r="W86" t="str">
        <f t="shared" si="2"/>
        <v>no_dup</v>
      </c>
      <c r="X86" t="str">
        <f t="shared" si="3"/>
        <v>no_gap</v>
      </c>
    </row>
    <row r="87" spans="1:24">
      <c r="A87">
        <v>86</v>
      </c>
      <c r="B87" t="s">
        <v>761</v>
      </c>
      <c r="C87" s="8">
        <v>42883</v>
      </c>
      <c r="D87" s="8">
        <v>42885</v>
      </c>
      <c r="E87" t="s">
        <v>403</v>
      </c>
      <c r="F87" t="s">
        <v>615</v>
      </c>
      <c r="G87" t="s">
        <v>616</v>
      </c>
      <c r="H87" t="s">
        <v>406</v>
      </c>
      <c r="I87" t="s">
        <v>407</v>
      </c>
      <c r="J87" t="s">
        <v>762</v>
      </c>
      <c r="K87" t="s">
        <v>763</v>
      </c>
      <c r="L87">
        <v>29203</v>
      </c>
      <c r="M87" t="s">
        <v>410</v>
      </c>
      <c r="N87" t="s">
        <v>764</v>
      </c>
      <c r="O87" t="s">
        <v>412</v>
      </c>
      <c r="P87" t="s">
        <v>416</v>
      </c>
      <c r="Q87" t="s">
        <v>765</v>
      </c>
      <c r="R87">
        <v>301.95999999999998</v>
      </c>
      <c r="S87">
        <v>2</v>
      </c>
      <c r="T87">
        <v>0</v>
      </c>
      <c r="U87">
        <v>33.215600000000002</v>
      </c>
      <c r="W87" t="str">
        <f t="shared" si="2"/>
        <v>no_dup</v>
      </c>
      <c r="X87" t="str">
        <f t="shared" si="3"/>
        <v>no_gap</v>
      </c>
    </row>
    <row r="88" spans="1:24">
      <c r="A88">
        <v>87</v>
      </c>
      <c r="B88" t="s">
        <v>766</v>
      </c>
      <c r="C88" s="8">
        <v>43034</v>
      </c>
      <c r="D88" s="8">
        <v>43041</v>
      </c>
      <c r="E88" t="s">
        <v>430</v>
      </c>
      <c r="F88" t="s">
        <v>767</v>
      </c>
      <c r="G88" t="s">
        <v>768</v>
      </c>
      <c r="H88" t="s">
        <v>406</v>
      </c>
      <c r="I88" t="s">
        <v>407</v>
      </c>
      <c r="J88" t="s">
        <v>769</v>
      </c>
      <c r="K88" t="s">
        <v>609</v>
      </c>
      <c r="L88">
        <v>55901</v>
      </c>
      <c r="M88" t="s">
        <v>485</v>
      </c>
      <c r="N88" t="s">
        <v>770</v>
      </c>
      <c r="O88" t="s">
        <v>451</v>
      </c>
      <c r="P88" t="s">
        <v>541</v>
      </c>
      <c r="Q88" t="s">
        <v>771</v>
      </c>
      <c r="R88">
        <v>19.989999999999998</v>
      </c>
      <c r="S88">
        <v>1</v>
      </c>
      <c r="T88">
        <v>0</v>
      </c>
      <c r="U88">
        <v>6.7965999999999998</v>
      </c>
      <c r="W88" t="str">
        <f t="shared" si="2"/>
        <v>no_dup</v>
      </c>
      <c r="X88" t="str">
        <f t="shared" si="3"/>
        <v>no_gap</v>
      </c>
    </row>
    <row r="89" spans="1:24">
      <c r="A89">
        <v>88</v>
      </c>
      <c r="B89" t="s">
        <v>766</v>
      </c>
      <c r="C89" s="8">
        <v>43034</v>
      </c>
      <c r="D89" s="8">
        <v>43041</v>
      </c>
      <c r="E89" t="s">
        <v>430</v>
      </c>
      <c r="F89" t="s">
        <v>767</v>
      </c>
      <c r="G89" t="s">
        <v>768</v>
      </c>
      <c r="H89" t="s">
        <v>406</v>
      </c>
      <c r="I89" t="s">
        <v>407</v>
      </c>
      <c r="J89" t="s">
        <v>769</v>
      </c>
      <c r="K89" t="s">
        <v>609</v>
      </c>
      <c r="L89">
        <v>55901</v>
      </c>
      <c r="M89" t="s">
        <v>485</v>
      </c>
      <c r="N89" t="s">
        <v>772</v>
      </c>
      <c r="O89" t="s">
        <v>426</v>
      </c>
      <c r="P89" t="s">
        <v>427</v>
      </c>
      <c r="Q89" t="s">
        <v>773</v>
      </c>
      <c r="R89">
        <v>6.16</v>
      </c>
      <c r="S89">
        <v>2</v>
      </c>
      <c r="T89">
        <v>0</v>
      </c>
      <c r="U89">
        <v>2.9567999999999999</v>
      </c>
      <c r="W89" t="str">
        <f t="shared" si="2"/>
        <v>no_dup</v>
      </c>
      <c r="X89" t="str">
        <f t="shared" si="3"/>
        <v>no_gap</v>
      </c>
    </row>
    <row r="90" spans="1:24">
      <c r="A90">
        <v>89</v>
      </c>
      <c r="B90" t="s">
        <v>774</v>
      </c>
      <c r="C90" s="8">
        <v>42465</v>
      </c>
      <c r="D90" s="8">
        <v>42470</v>
      </c>
      <c r="E90" t="s">
        <v>403</v>
      </c>
      <c r="F90" t="s">
        <v>775</v>
      </c>
      <c r="G90" t="s">
        <v>776</v>
      </c>
      <c r="H90" t="s">
        <v>482</v>
      </c>
      <c r="I90" t="s">
        <v>407</v>
      </c>
      <c r="J90" t="s">
        <v>564</v>
      </c>
      <c r="K90" t="s">
        <v>484</v>
      </c>
      <c r="L90">
        <v>77095</v>
      </c>
      <c r="M90" t="s">
        <v>485</v>
      </c>
      <c r="N90" t="s">
        <v>777</v>
      </c>
      <c r="O90" t="s">
        <v>426</v>
      </c>
      <c r="P90" t="s">
        <v>439</v>
      </c>
      <c r="Q90" t="s">
        <v>778</v>
      </c>
      <c r="R90">
        <v>158.36799999999999</v>
      </c>
      <c r="S90">
        <v>7</v>
      </c>
      <c r="T90">
        <v>0.2</v>
      </c>
      <c r="U90">
        <v>13.857200000000001</v>
      </c>
      <c r="W90" t="str">
        <f t="shared" si="2"/>
        <v>no_dup</v>
      </c>
      <c r="X90" t="str">
        <f t="shared" si="3"/>
        <v>no_gap</v>
      </c>
    </row>
    <row r="91" spans="1:24">
      <c r="A91">
        <v>90</v>
      </c>
      <c r="B91" t="s">
        <v>779</v>
      </c>
      <c r="C91" s="8">
        <v>42630</v>
      </c>
      <c r="D91" s="8">
        <v>42635</v>
      </c>
      <c r="E91" t="s">
        <v>430</v>
      </c>
      <c r="F91" t="s">
        <v>780</v>
      </c>
      <c r="G91" t="s">
        <v>781</v>
      </c>
      <c r="H91" t="s">
        <v>421</v>
      </c>
      <c r="I91" t="s">
        <v>407</v>
      </c>
      <c r="J91" t="s">
        <v>422</v>
      </c>
      <c r="K91" t="s">
        <v>423</v>
      </c>
      <c r="L91">
        <v>90036</v>
      </c>
      <c r="M91" t="s">
        <v>424</v>
      </c>
      <c r="N91" t="s">
        <v>782</v>
      </c>
      <c r="O91" t="s">
        <v>426</v>
      </c>
      <c r="P91" t="s">
        <v>448</v>
      </c>
      <c r="Q91" t="s">
        <v>783</v>
      </c>
      <c r="R91">
        <v>20.100000000000001</v>
      </c>
      <c r="S91">
        <v>3</v>
      </c>
      <c r="T91">
        <v>0</v>
      </c>
      <c r="U91">
        <v>6.633</v>
      </c>
      <c r="W91" t="str">
        <f t="shared" si="2"/>
        <v>no_dup</v>
      </c>
      <c r="X91" t="str">
        <f t="shared" si="3"/>
        <v>no_gap</v>
      </c>
    </row>
    <row r="92" spans="1:24">
      <c r="A92">
        <v>91</v>
      </c>
      <c r="B92" t="s">
        <v>779</v>
      </c>
      <c r="C92" s="8">
        <v>42630</v>
      </c>
      <c r="D92" s="8">
        <v>42635</v>
      </c>
      <c r="E92" t="s">
        <v>430</v>
      </c>
      <c r="F92" t="s">
        <v>780</v>
      </c>
      <c r="G92" t="s">
        <v>781</v>
      </c>
      <c r="H92" t="s">
        <v>421</v>
      </c>
      <c r="I92" t="s">
        <v>407</v>
      </c>
      <c r="J92" t="s">
        <v>422</v>
      </c>
      <c r="K92" t="s">
        <v>423</v>
      </c>
      <c r="L92">
        <v>90036</v>
      </c>
      <c r="M92" t="s">
        <v>424</v>
      </c>
      <c r="N92" t="s">
        <v>592</v>
      </c>
      <c r="O92" t="s">
        <v>451</v>
      </c>
      <c r="P92" t="s">
        <v>452</v>
      </c>
      <c r="Q92" t="s">
        <v>593</v>
      </c>
      <c r="R92">
        <v>73.584000000000003</v>
      </c>
      <c r="S92">
        <v>2</v>
      </c>
      <c r="T92">
        <v>0.2</v>
      </c>
      <c r="U92">
        <v>8.2782</v>
      </c>
      <c r="W92" t="str">
        <f t="shared" si="2"/>
        <v>no_dup</v>
      </c>
      <c r="X92" t="str">
        <f t="shared" si="3"/>
        <v>no_gap</v>
      </c>
    </row>
    <row r="93" spans="1:24">
      <c r="A93">
        <v>92</v>
      </c>
      <c r="B93" t="s">
        <v>779</v>
      </c>
      <c r="C93" s="8">
        <v>42630</v>
      </c>
      <c r="D93" s="8">
        <v>42635</v>
      </c>
      <c r="E93" t="s">
        <v>430</v>
      </c>
      <c r="F93" t="s">
        <v>780</v>
      </c>
      <c r="G93" t="s">
        <v>781</v>
      </c>
      <c r="H93" t="s">
        <v>421</v>
      </c>
      <c r="I93" t="s">
        <v>407</v>
      </c>
      <c r="J93" t="s">
        <v>422</v>
      </c>
      <c r="K93" t="s">
        <v>423</v>
      </c>
      <c r="L93">
        <v>90036</v>
      </c>
      <c r="M93" t="s">
        <v>424</v>
      </c>
      <c r="N93" t="s">
        <v>784</v>
      </c>
      <c r="O93" t="s">
        <v>426</v>
      </c>
      <c r="P93" t="s">
        <v>470</v>
      </c>
      <c r="Q93" t="s">
        <v>785</v>
      </c>
      <c r="R93">
        <v>6.48</v>
      </c>
      <c r="S93">
        <v>1</v>
      </c>
      <c r="T93">
        <v>0</v>
      </c>
      <c r="U93">
        <v>3.1103999999999998</v>
      </c>
      <c r="W93" t="str">
        <f t="shared" si="2"/>
        <v>no_dup</v>
      </c>
      <c r="X93" t="str">
        <f t="shared" si="3"/>
        <v>no_gap</v>
      </c>
    </row>
    <row r="94" spans="1:24">
      <c r="A94">
        <v>93</v>
      </c>
      <c r="B94" t="s">
        <v>786</v>
      </c>
      <c r="C94" s="8">
        <v>42035</v>
      </c>
      <c r="D94" s="8">
        <v>42040</v>
      </c>
      <c r="E94" t="s">
        <v>403</v>
      </c>
      <c r="F94" t="s">
        <v>787</v>
      </c>
      <c r="G94" t="s">
        <v>788</v>
      </c>
      <c r="H94" t="s">
        <v>406</v>
      </c>
      <c r="I94" t="s">
        <v>407</v>
      </c>
      <c r="J94" t="s">
        <v>789</v>
      </c>
      <c r="K94" t="s">
        <v>609</v>
      </c>
      <c r="L94">
        <v>55407</v>
      </c>
      <c r="M94" t="s">
        <v>485</v>
      </c>
      <c r="N94" t="s">
        <v>790</v>
      </c>
      <c r="O94" t="s">
        <v>426</v>
      </c>
      <c r="P94" t="s">
        <v>470</v>
      </c>
      <c r="Q94" t="s">
        <v>791</v>
      </c>
      <c r="R94">
        <v>12.96</v>
      </c>
      <c r="S94">
        <v>2</v>
      </c>
      <c r="T94">
        <v>0</v>
      </c>
      <c r="U94">
        <v>6.2207999999999997</v>
      </c>
      <c r="W94" t="str">
        <f t="shared" si="2"/>
        <v>no_dup</v>
      </c>
      <c r="X94" t="str">
        <f t="shared" si="3"/>
        <v>no_gap</v>
      </c>
    </row>
    <row r="95" spans="1:24">
      <c r="A95">
        <v>94</v>
      </c>
      <c r="B95" t="s">
        <v>786</v>
      </c>
      <c r="C95" s="8">
        <v>42035</v>
      </c>
      <c r="D95" s="8">
        <v>42040</v>
      </c>
      <c r="E95" t="s">
        <v>403</v>
      </c>
      <c r="F95" t="s">
        <v>787</v>
      </c>
      <c r="G95" t="s">
        <v>788</v>
      </c>
      <c r="H95" t="s">
        <v>406</v>
      </c>
      <c r="I95" t="s">
        <v>407</v>
      </c>
      <c r="J95" t="s">
        <v>789</v>
      </c>
      <c r="K95" t="s">
        <v>609</v>
      </c>
      <c r="L95">
        <v>55407</v>
      </c>
      <c r="M95" t="s">
        <v>485</v>
      </c>
      <c r="N95" t="s">
        <v>792</v>
      </c>
      <c r="O95" t="s">
        <v>412</v>
      </c>
      <c r="P95" t="s">
        <v>445</v>
      </c>
      <c r="Q95" t="s">
        <v>793</v>
      </c>
      <c r="R95">
        <v>53.34</v>
      </c>
      <c r="S95">
        <v>3</v>
      </c>
      <c r="T95">
        <v>0</v>
      </c>
      <c r="U95">
        <v>16.535399999999999</v>
      </c>
      <c r="W95" t="str">
        <f t="shared" si="2"/>
        <v>no_dup</v>
      </c>
      <c r="X95" t="str">
        <f t="shared" si="3"/>
        <v>no_gap</v>
      </c>
    </row>
    <row r="96" spans="1:24">
      <c r="A96">
        <v>95</v>
      </c>
      <c r="B96" t="s">
        <v>786</v>
      </c>
      <c r="C96" s="8">
        <v>42035</v>
      </c>
      <c r="D96" s="8">
        <v>42040</v>
      </c>
      <c r="E96" t="s">
        <v>403</v>
      </c>
      <c r="F96" t="s">
        <v>787</v>
      </c>
      <c r="G96" t="s">
        <v>788</v>
      </c>
      <c r="H96" t="s">
        <v>406</v>
      </c>
      <c r="I96" t="s">
        <v>407</v>
      </c>
      <c r="J96" t="s">
        <v>789</v>
      </c>
      <c r="K96" t="s">
        <v>609</v>
      </c>
      <c r="L96">
        <v>55407</v>
      </c>
      <c r="M96" t="s">
        <v>485</v>
      </c>
      <c r="N96" t="s">
        <v>794</v>
      </c>
      <c r="O96" t="s">
        <v>426</v>
      </c>
      <c r="P96" t="s">
        <v>455</v>
      </c>
      <c r="Q96" t="s">
        <v>795</v>
      </c>
      <c r="R96">
        <v>32.96</v>
      </c>
      <c r="S96">
        <v>2</v>
      </c>
      <c r="T96">
        <v>0</v>
      </c>
      <c r="U96">
        <v>16.150400000000001</v>
      </c>
      <c r="W96" t="str">
        <f t="shared" si="2"/>
        <v>no_dup</v>
      </c>
      <c r="X96" t="str">
        <f t="shared" si="3"/>
        <v>no_gap</v>
      </c>
    </row>
    <row r="97" spans="1:25">
      <c r="A97">
        <v>96</v>
      </c>
      <c r="B97" t="s">
        <v>796</v>
      </c>
      <c r="C97" s="8">
        <v>43045</v>
      </c>
      <c r="D97" s="8">
        <v>43051</v>
      </c>
      <c r="E97" t="s">
        <v>430</v>
      </c>
      <c r="F97" t="s">
        <v>797</v>
      </c>
      <c r="G97" t="s">
        <v>798</v>
      </c>
      <c r="H97" t="s">
        <v>482</v>
      </c>
      <c r="I97" t="s">
        <v>407</v>
      </c>
      <c r="J97" t="s">
        <v>799</v>
      </c>
      <c r="K97" t="s">
        <v>800</v>
      </c>
      <c r="L97">
        <v>97206</v>
      </c>
      <c r="M97" t="s">
        <v>424</v>
      </c>
      <c r="N97" t="s">
        <v>801</v>
      </c>
      <c r="O97" t="s">
        <v>426</v>
      </c>
      <c r="P97" t="s">
        <v>455</v>
      </c>
      <c r="Q97" t="s">
        <v>802</v>
      </c>
      <c r="R97">
        <v>5.6820000000000004</v>
      </c>
      <c r="S97">
        <v>1</v>
      </c>
      <c r="T97">
        <v>0.7</v>
      </c>
      <c r="U97">
        <v>-3.7879999999999998</v>
      </c>
      <c r="W97" t="str">
        <f t="shared" si="2"/>
        <v>no_dup</v>
      </c>
      <c r="X97" t="str">
        <f t="shared" si="3"/>
        <v>no_gap</v>
      </c>
    </row>
    <row r="98" spans="1:25">
      <c r="A98">
        <v>97</v>
      </c>
      <c r="B98" t="s">
        <v>803</v>
      </c>
      <c r="C98" s="8">
        <v>43048</v>
      </c>
      <c r="D98" s="8">
        <v>43050</v>
      </c>
      <c r="E98" t="s">
        <v>403</v>
      </c>
      <c r="F98" t="s">
        <v>804</v>
      </c>
      <c r="G98" t="s">
        <v>805</v>
      </c>
      <c r="H98" t="s">
        <v>482</v>
      </c>
      <c r="I98" t="s">
        <v>407</v>
      </c>
      <c r="J98" t="s">
        <v>646</v>
      </c>
      <c r="K98" t="s">
        <v>647</v>
      </c>
      <c r="L98">
        <v>10009</v>
      </c>
      <c r="M98" t="s">
        <v>528</v>
      </c>
      <c r="N98" t="s">
        <v>806</v>
      </c>
      <c r="O98" t="s">
        <v>412</v>
      </c>
      <c r="P98" t="s">
        <v>445</v>
      </c>
      <c r="Q98" t="s">
        <v>807</v>
      </c>
      <c r="R98">
        <v>96.53</v>
      </c>
      <c r="S98">
        <v>7</v>
      </c>
      <c r="T98">
        <v>0</v>
      </c>
      <c r="U98">
        <v>40.5426</v>
      </c>
      <c r="W98" t="str">
        <f t="shared" si="2"/>
        <v>no_dup</v>
      </c>
      <c r="X98" t="str">
        <f t="shared" si="3"/>
        <v>no_gap</v>
      </c>
    </row>
    <row r="99" spans="1:25">
      <c r="A99">
        <v>98</v>
      </c>
      <c r="B99" t="s">
        <v>808</v>
      </c>
      <c r="C99" s="8">
        <v>42903</v>
      </c>
      <c r="D99" s="8">
        <v>42906</v>
      </c>
      <c r="E99" t="s">
        <v>568</v>
      </c>
      <c r="F99" t="s">
        <v>809</v>
      </c>
      <c r="G99" t="s">
        <v>810</v>
      </c>
      <c r="H99" t="s">
        <v>406</v>
      </c>
      <c r="I99" t="s">
        <v>407</v>
      </c>
      <c r="J99" t="s">
        <v>507</v>
      </c>
      <c r="K99" t="s">
        <v>423</v>
      </c>
      <c r="L99">
        <v>94122</v>
      </c>
      <c r="M99" t="s">
        <v>424</v>
      </c>
      <c r="N99" t="s">
        <v>811</v>
      </c>
      <c r="O99" t="s">
        <v>426</v>
      </c>
      <c r="P99" t="s">
        <v>455</v>
      </c>
      <c r="Q99" t="s">
        <v>812</v>
      </c>
      <c r="R99">
        <v>51.311999999999998</v>
      </c>
      <c r="S99">
        <v>3</v>
      </c>
      <c r="T99">
        <v>0.2</v>
      </c>
      <c r="U99">
        <v>17.959199999999999</v>
      </c>
      <c r="W99" t="str">
        <f t="shared" si="2"/>
        <v>no_dup</v>
      </c>
      <c r="X99" t="str">
        <f t="shared" si="3"/>
        <v>no_gap</v>
      </c>
    </row>
    <row r="100" spans="1:25">
      <c r="A100">
        <v>99</v>
      </c>
      <c r="B100" t="s">
        <v>813</v>
      </c>
      <c r="C100" s="8">
        <v>42619</v>
      </c>
      <c r="D100" s="8">
        <v>42624</v>
      </c>
      <c r="E100" t="s">
        <v>430</v>
      </c>
      <c r="F100" t="s">
        <v>814</v>
      </c>
      <c r="G100" t="s">
        <v>815</v>
      </c>
      <c r="H100" t="s">
        <v>421</v>
      </c>
      <c r="I100" t="s">
        <v>407</v>
      </c>
      <c r="J100" t="s">
        <v>816</v>
      </c>
      <c r="K100" t="s">
        <v>609</v>
      </c>
      <c r="L100">
        <v>55106</v>
      </c>
      <c r="M100" t="s">
        <v>485</v>
      </c>
      <c r="N100" t="s">
        <v>817</v>
      </c>
      <c r="O100" t="s">
        <v>426</v>
      </c>
      <c r="P100" t="s">
        <v>458</v>
      </c>
      <c r="Q100" t="s">
        <v>818</v>
      </c>
      <c r="R100">
        <v>77.88</v>
      </c>
      <c r="S100">
        <v>6</v>
      </c>
      <c r="T100">
        <v>0</v>
      </c>
      <c r="U100">
        <v>22.5852</v>
      </c>
      <c r="W100" t="str">
        <f t="shared" si="2"/>
        <v>no_dup</v>
      </c>
      <c r="X100" t="str">
        <f t="shared" si="3"/>
        <v>no_gap</v>
      </c>
    </row>
    <row r="101" spans="1:25">
      <c r="A101">
        <v>100</v>
      </c>
      <c r="B101" t="s">
        <v>819</v>
      </c>
      <c r="C101" s="8">
        <v>42611</v>
      </c>
      <c r="D101" s="8">
        <v>42615</v>
      </c>
      <c r="E101" t="s">
        <v>430</v>
      </c>
      <c r="F101" t="s">
        <v>820</v>
      </c>
      <c r="G101" t="s">
        <v>821</v>
      </c>
      <c r="H101" t="s">
        <v>482</v>
      </c>
      <c r="I101" t="s">
        <v>407</v>
      </c>
      <c r="J101" t="s">
        <v>683</v>
      </c>
      <c r="K101" t="s">
        <v>591</v>
      </c>
      <c r="L101">
        <v>60610</v>
      </c>
      <c r="M101" t="s">
        <v>485</v>
      </c>
      <c r="N101" t="s">
        <v>822</v>
      </c>
      <c r="O101" t="s">
        <v>426</v>
      </c>
      <c r="P101" t="s">
        <v>470</v>
      </c>
      <c r="Q101" t="s">
        <v>823</v>
      </c>
      <c r="R101">
        <v>64.623999999999995</v>
      </c>
      <c r="S101">
        <v>7</v>
      </c>
      <c r="T101">
        <v>0.2</v>
      </c>
      <c r="U101">
        <v>22.618400000000001</v>
      </c>
      <c r="W101" t="str">
        <f t="shared" si="2"/>
        <v>no_dup</v>
      </c>
      <c r="X101" t="str">
        <f t="shared" si="3"/>
        <v>no_gap</v>
      </c>
    </row>
    <row r="102" spans="1:25">
      <c r="A102">
        <v>101</v>
      </c>
      <c r="B102" t="s">
        <v>819</v>
      </c>
      <c r="C102" s="8">
        <v>42611</v>
      </c>
      <c r="D102" s="8">
        <v>42615</v>
      </c>
      <c r="E102" t="s">
        <v>430</v>
      </c>
      <c r="F102" t="s">
        <v>820</v>
      </c>
      <c r="G102" t="s">
        <v>821</v>
      </c>
      <c r="H102" t="s">
        <v>482</v>
      </c>
      <c r="I102" t="s">
        <v>407</v>
      </c>
      <c r="J102" t="s">
        <v>683</v>
      </c>
      <c r="K102" t="s">
        <v>591</v>
      </c>
      <c r="L102">
        <v>60610</v>
      </c>
      <c r="M102" t="s">
        <v>485</v>
      </c>
      <c r="N102" t="s">
        <v>824</v>
      </c>
      <c r="O102" t="s">
        <v>451</v>
      </c>
      <c r="P102" t="s">
        <v>541</v>
      </c>
      <c r="Q102" t="s">
        <v>825</v>
      </c>
      <c r="R102">
        <v>95.975999999999999</v>
      </c>
      <c r="S102">
        <v>3</v>
      </c>
      <c r="T102">
        <v>0.2</v>
      </c>
      <c r="U102">
        <v>-10.7973</v>
      </c>
      <c r="W102" t="str">
        <f t="shared" si="2"/>
        <v>no_dup</v>
      </c>
      <c r="X102" t="str">
        <f t="shared" si="3"/>
        <v>no_gap</v>
      </c>
    </row>
    <row r="103" spans="1:25">
      <c r="A103">
        <v>102</v>
      </c>
      <c r="B103" t="s">
        <v>819</v>
      </c>
      <c r="C103" s="8">
        <v>42611</v>
      </c>
      <c r="D103" s="8">
        <v>42615</v>
      </c>
      <c r="E103" t="s">
        <v>430</v>
      </c>
      <c r="F103" t="s">
        <v>820</v>
      </c>
      <c r="G103" t="s">
        <v>821</v>
      </c>
      <c r="H103" t="s">
        <v>482</v>
      </c>
      <c r="I103" t="s">
        <v>407</v>
      </c>
      <c r="J103" t="s">
        <v>683</v>
      </c>
      <c r="K103" t="s">
        <v>591</v>
      </c>
      <c r="L103">
        <v>60610</v>
      </c>
      <c r="M103" t="s">
        <v>485</v>
      </c>
      <c r="N103" t="s">
        <v>826</v>
      </c>
      <c r="O103" t="s">
        <v>426</v>
      </c>
      <c r="P103" t="s">
        <v>455</v>
      </c>
      <c r="Q103" t="s">
        <v>827</v>
      </c>
      <c r="R103">
        <v>1.788</v>
      </c>
      <c r="S103">
        <v>3</v>
      </c>
      <c r="T103">
        <v>0.8</v>
      </c>
      <c r="U103">
        <v>-3.0396000000000001</v>
      </c>
      <c r="W103" t="str">
        <f t="shared" si="2"/>
        <v>no_dup</v>
      </c>
      <c r="X103" t="str">
        <f t="shared" si="3"/>
        <v>no_gap</v>
      </c>
    </row>
    <row r="104" spans="1:25">
      <c r="A104">
        <v>103</v>
      </c>
      <c r="B104" t="s">
        <v>828</v>
      </c>
      <c r="C104" s="8">
        <v>42705</v>
      </c>
      <c r="D104" s="8">
        <v>42708</v>
      </c>
      <c r="E104" t="s">
        <v>403</v>
      </c>
      <c r="F104" t="s">
        <v>829</v>
      </c>
      <c r="G104" t="s">
        <v>830</v>
      </c>
      <c r="H104" t="s">
        <v>406</v>
      </c>
      <c r="I104" t="s">
        <v>407</v>
      </c>
      <c r="J104" t="s">
        <v>769</v>
      </c>
      <c r="K104" t="s">
        <v>609</v>
      </c>
      <c r="L104">
        <v>55901</v>
      </c>
      <c r="M104" t="s">
        <v>485</v>
      </c>
      <c r="N104" t="s">
        <v>831</v>
      </c>
      <c r="O104" t="s">
        <v>426</v>
      </c>
      <c r="P104" t="s">
        <v>470</v>
      </c>
      <c r="Q104" t="s">
        <v>832</v>
      </c>
      <c r="R104">
        <v>23.92</v>
      </c>
      <c r="S104">
        <v>4</v>
      </c>
      <c r="T104">
        <v>0</v>
      </c>
      <c r="U104">
        <v>11.720800000000001</v>
      </c>
      <c r="W104" t="str">
        <f t="shared" si="2"/>
        <v>no_dup</v>
      </c>
      <c r="X104" t="str">
        <f t="shared" si="3"/>
        <v>no_gap</v>
      </c>
    </row>
    <row r="105" spans="1:25">
      <c r="A105">
        <v>104</v>
      </c>
      <c r="B105" t="s">
        <v>833</v>
      </c>
      <c r="C105" s="8">
        <v>42321</v>
      </c>
      <c r="D105" s="8">
        <v>42325</v>
      </c>
      <c r="E105" t="s">
        <v>430</v>
      </c>
      <c r="F105" t="s">
        <v>834</v>
      </c>
      <c r="G105" t="s">
        <v>835</v>
      </c>
      <c r="H105" t="s">
        <v>406</v>
      </c>
      <c r="I105" t="s">
        <v>407</v>
      </c>
      <c r="J105" t="s">
        <v>836</v>
      </c>
      <c r="K105" t="s">
        <v>837</v>
      </c>
      <c r="L105">
        <v>80013</v>
      </c>
      <c r="M105" t="s">
        <v>424</v>
      </c>
      <c r="N105" t="s">
        <v>838</v>
      </c>
      <c r="O105" t="s">
        <v>451</v>
      </c>
      <c r="P105" t="s">
        <v>541</v>
      </c>
      <c r="Q105" t="s">
        <v>839</v>
      </c>
      <c r="R105">
        <v>238.89599999999999</v>
      </c>
      <c r="S105">
        <v>6</v>
      </c>
      <c r="T105">
        <v>0.2</v>
      </c>
      <c r="U105">
        <v>-26.875800000000002</v>
      </c>
      <c r="W105" t="str">
        <f t="shared" si="2"/>
        <v>no_dup</v>
      </c>
      <c r="X105" t="str">
        <f t="shared" si="3"/>
        <v>no_gap</v>
      </c>
    </row>
    <row r="106" spans="1:25">
      <c r="A106">
        <v>105</v>
      </c>
      <c r="B106" t="s">
        <v>833</v>
      </c>
      <c r="C106" s="8">
        <v>42321</v>
      </c>
      <c r="D106" s="8">
        <v>42325</v>
      </c>
      <c r="E106" t="s">
        <v>430</v>
      </c>
      <c r="F106" t="s">
        <v>834</v>
      </c>
      <c r="G106" t="s">
        <v>835</v>
      </c>
      <c r="H106" t="s">
        <v>406</v>
      </c>
      <c r="I106" t="s">
        <v>407</v>
      </c>
      <c r="J106" t="s">
        <v>836</v>
      </c>
      <c r="K106" t="s">
        <v>837</v>
      </c>
      <c r="L106">
        <v>80013</v>
      </c>
      <c r="M106" t="s">
        <v>424</v>
      </c>
      <c r="N106" t="s">
        <v>840</v>
      </c>
      <c r="O106" t="s">
        <v>412</v>
      </c>
      <c r="P106" t="s">
        <v>445</v>
      </c>
      <c r="Q106" t="s">
        <v>841</v>
      </c>
      <c r="R106">
        <v>102.36</v>
      </c>
      <c r="S106">
        <v>3</v>
      </c>
      <c r="T106">
        <v>0.2</v>
      </c>
      <c r="U106">
        <v>-3.8384999999999998</v>
      </c>
      <c r="W106" t="str">
        <f t="shared" si="2"/>
        <v>no_dup</v>
      </c>
      <c r="X106" t="str">
        <f t="shared" si="3"/>
        <v>no_gap</v>
      </c>
    </row>
    <row r="107" spans="1:25">
      <c r="A107">
        <v>106</v>
      </c>
      <c r="B107" t="s">
        <v>833</v>
      </c>
      <c r="C107" s="8">
        <v>42321</v>
      </c>
      <c r="D107" s="8">
        <v>42325</v>
      </c>
      <c r="E107" t="s">
        <v>430</v>
      </c>
      <c r="F107" t="s">
        <v>834</v>
      </c>
      <c r="G107" t="s">
        <v>835</v>
      </c>
      <c r="H107" t="s">
        <v>406</v>
      </c>
      <c r="I107" t="s">
        <v>407</v>
      </c>
      <c r="J107" t="s">
        <v>836</v>
      </c>
      <c r="K107" t="s">
        <v>837</v>
      </c>
      <c r="L107">
        <v>80013</v>
      </c>
      <c r="M107" t="s">
        <v>424</v>
      </c>
      <c r="N107" t="s">
        <v>842</v>
      </c>
      <c r="O107" t="s">
        <v>426</v>
      </c>
      <c r="P107" t="s">
        <v>455</v>
      </c>
      <c r="Q107" t="s">
        <v>843</v>
      </c>
      <c r="R107">
        <v>36.881999999999998</v>
      </c>
      <c r="S107">
        <v>3</v>
      </c>
      <c r="T107">
        <v>0.7</v>
      </c>
      <c r="U107">
        <v>-25.817399999999999</v>
      </c>
      <c r="W107" t="str">
        <f t="shared" si="2"/>
        <v>no_dup</v>
      </c>
      <c r="X107" t="str">
        <f t="shared" si="3"/>
        <v>no_gap</v>
      </c>
    </row>
    <row r="108" spans="1:25">
      <c r="A108">
        <v>107</v>
      </c>
      <c r="B108" t="s">
        <v>844</v>
      </c>
      <c r="C108" s="8">
        <v>43062</v>
      </c>
      <c r="D108" s="8">
        <v>43067</v>
      </c>
      <c r="E108" t="s">
        <v>430</v>
      </c>
      <c r="F108" t="s">
        <v>845</v>
      </c>
      <c r="G108" t="s">
        <v>846</v>
      </c>
      <c r="H108" t="s">
        <v>406</v>
      </c>
      <c r="I108" t="s">
        <v>407</v>
      </c>
      <c r="J108" t="s">
        <v>847</v>
      </c>
      <c r="K108" t="s">
        <v>468</v>
      </c>
      <c r="L108">
        <v>28205</v>
      </c>
      <c r="M108" t="s">
        <v>410</v>
      </c>
      <c r="N108" t="s">
        <v>848</v>
      </c>
      <c r="O108" t="s">
        <v>451</v>
      </c>
      <c r="P108" t="s">
        <v>541</v>
      </c>
      <c r="Q108" t="s">
        <v>849</v>
      </c>
      <c r="R108">
        <v>74.111999999999995</v>
      </c>
      <c r="S108">
        <v>8</v>
      </c>
      <c r="T108">
        <v>0.2</v>
      </c>
      <c r="U108">
        <v>17.601600000000001</v>
      </c>
      <c r="W108" t="str">
        <f t="shared" si="2"/>
        <v>no_dup</v>
      </c>
      <c r="X108" t="str">
        <f t="shared" si="3"/>
        <v>no_gap</v>
      </c>
    </row>
    <row r="109" spans="1:25">
      <c r="A109">
        <v>108</v>
      </c>
      <c r="B109" t="s">
        <v>844</v>
      </c>
      <c r="C109" s="8">
        <v>43062</v>
      </c>
      <c r="D109" s="8">
        <v>43067</v>
      </c>
      <c r="E109" t="s">
        <v>430</v>
      </c>
      <c r="F109" t="s">
        <v>845</v>
      </c>
      <c r="G109" t="s">
        <v>846</v>
      </c>
      <c r="H109" t="s">
        <v>406</v>
      </c>
      <c r="I109" t="s">
        <v>407</v>
      </c>
      <c r="J109" t="s">
        <v>847</v>
      </c>
      <c r="K109" t="s">
        <v>468</v>
      </c>
      <c r="L109">
        <v>28205</v>
      </c>
      <c r="M109" t="s">
        <v>410</v>
      </c>
      <c r="N109" t="s">
        <v>850</v>
      </c>
      <c r="O109" t="s">
        <v>451</v>
      </c>
      <c r="P109" t="s">
        <v>452</v>
      </c>
      <c r="Q109" t="s">
        <v>851</v>
      </c>
      <c r="R109">
        <v>27.992000000000001</v>
      </c>
      <c r="S109">
        <v>1</v>
      </c>
      <c r="T109">
        <v>0.2</v>
      </c>
      <c r="U109">
        <v>2.0994000000000002</v>
      </c>
      <c r="W109" t="str">
        <f t="shared" si="2"/>
        <v>no_dup</v>
      </c>
      <c r="X109" t="str">
        <f t="shared" si="3"/>
        <v>no_gap</v>
      </c>
    </row>
    <row r="110" spans="1:25">
      <c r="A110">
        <v>109</v>
      </c>
      <c r="B110" t="s">
        <v>844</v>
      </c>
      <c r="C110" s="8">
        <v>43062</v>
      </c>
      <c r="D110" s="8">
        <v>43067</v>
      </c>
      <c r="E110" t="s">
        <v>430</v>
      </c>
      <c r="F110" t="s">
        <v>845</v>
      </c>
      <c r="G110" t="s">
        <v>846</v>
      </c>
      <c r="H110" t="s">
        <v>406</v>
      </c>
      <c r="I110" t="s">
        <v>407</v>
      </c>
      <c r="J110" t="s">
        <v>847</v>
      </c>
      <c r="K110" t="s">
        <v>468</v>
      </c>
      <c r="L110">
        <v>28205</v>
      </c>
      <c r="M110" t="s">
        <v>410</v>
      </c>
      <c r="N110" t="s">
        <v>852</v>
      </c>
      <c r="O110" t="s">
        <v>426</v>
      </c>
      <c r="P110" t="s">
        <v>448</v>
      </c>
      <c r="Q110" t="s">
        <v>853</v>
      </c>
      <c r="R110">
        <v>3.3039999999999998</v>
      </c>
      <c r="S110">
        <v>1</v>
      </c>
      <c r="T110">
        <v>0.2</v>
      </c>
      <c r="U110">
        <v>1.0738000000000001</v>
      </c>
      <c r="W110" t="str">
        <f t="shared" si="2"/>
        <v>no_dup</v>
      </c>
      <c r="X110" t="str">
        <f t="shared" si="3"/>
        <v>no_gap</v>
      </c>
    </row>
    <row r="111" spans="1:25">
      <c r="A111">
        <v>110</v>
      </c>
      <c r="B111" t="s">
        <v>854</v>
      </c>
      <c r="C111" s="8">
        <v>42292</v>
      </c>
      <c r="D111" s="8">
        <v>42297</v>
      </c>
      <c r="E111" t="s">
        <v>430</v>
      </c>
      <c r="F111" t="s">
        <v>855</v>
      </c>
      <c r="G111" t="s">
        <v>856</v>
      </c>
      <c r="H111" t="s">
        <v>482</v>
      </c>
      <c r="I111" t="s">
        <v>407</v>
      </c>
      <c r="J111" t="s">
        <v>857</v>
      </c>
      <c r="K111" t="s">
        <v>591</v>
      </c>
      <c r="L111">
        <v>60462</v>
      </c>
      <c r="M111" t="s">
        <v>485</v>
      </c>
      <c r="N111" t="s">
        <v>858</v>
      </c>
      <c r="O111" t="s">
        <v>451</v>
      </c>
      <c r="P111" t="s">
        <v>541</v>
      </c>
      <c r="Q111" t="s">
        <v>859</v>
      </c>
      <c r="R111">
        <v>339.96</v>
      </c>
      <c r="S111">
        <v>5</v>
      </c>
      <c r="T111">
        <v>0.2</v>
      </c>
      <c r="U111">
        <v>67.992000000000004</v>
      </c>
      <c r="W111" t="str">
        <f t="shared" si="2"/>
        <v>no_dup</v>
      </c>
      <c r="X111" t="str">
        <f t="shared" si="3"/>
        <v>no_gap</v>
      </c>
    </row>
    <row r="112" spans="1:25">
      <c r="A112">
        <v>111</v>
      </c>
      <c r="B112" t="s">
        <v>854</v>
      </c>
      <c r="C112" s="8">
        <v>42292</v>
      </c>
      <c r="D112" s="8">
        <v>42297</v>
      </c>
      <c r="E112" t="s">
        <v>430</v>
      </c>
      <c r="F112" t="s">
        <v>855</v>
      </c>
      <c r="G112" t="s">
        <v>856</v>
      </c>
      <c r="H112" t="s">
        <v>482</v>
      </c>
      <c r="I112" t="s">
        <v>407</v>
      </c>
      <c r="J112" t="s">
        <v>857</v>
      </c>
      <c r="K112" t="s">
        <v>591</v>
      </c>
      <c r="L112">
        <v>60462</v>
      </c>
      <c r="M112" t="s">
        <v>485</v>
      </c>
      <c r="N112" t="s">
        <v>858</v>
      </c>
      <c r="O112" t="s">
        <v>451</v>
      </c>
      <c r="P112" t="s">
        <v>541</v>
      </c>
      <c r="Q112" t="s">
        <v>859</v>
      </c>
      <c r="R112">
        <v>339.96</v>
      </c>
      <c r="S112">
        <v>5</v>
      </c>
      <c r="T112">
        <v>0.2</v>
      </c>
      <c r="U112">
        <v>67.992000000000004</v>
      </c>
      <c r="W112" t="str">
        <f>IF(A113-A112&gt;0,"no_dup","duplicate")</f>
        <v>duplicate</v>
      </c>
      <c r="X112" t="str">
        <f t="shared" si="3"/>
        <v>no_gap</v>
      </c>
      <c r="Y112" t="s">
        <v>889</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sheetPr codeName="Sheet7"/>
  <dimension ref="A3:G96"/>
  <sheetViews>
    <sheetView topLeftCell="A19" workbookViewId="0">
      <selection activeCell="D6" sqref="D6"/>
    </sheetView>
  </sheetViews>
  <sheetFormatPr defaultRowHeight="14.4"/>
  <cols>
    <col min="1" max="1" width="22" customWidth="1"/>
    <col min="2" max="2" width="14.21875" bestFit="1" customWidth="1"/>
    <col min="3" max="3" width="14.33203125" bestFit="1" customWidth="1"/>
    <col min="4" max="4" width="13.88671875" bestFit="1" customWidth="1"/>
    <col min="5" max="5" width="14.21875" bestFit="1" customWidth="1"/>
    <col min="6" max="6" width="14.33203125" bestFit="1" customWidth="1"/>
    <col min="7" max="7" width="11.6640625" bestFit="1" customWidth="1"/>
  </cols>
  <sheetData>
    <row r="3" spans="1:7">
      <c r="E3" s="55" t="s">
        <v>901</v>
      </c>
    </row>
    <row r="4" spans="1:7">
      <c r="A4" s="55" t="s">
        <v>872</v>
      </c>
      <c r="B4" s="55" t="s">
        <v>868</v>
      </c>
      <c r="C4" s="55" t="s">
        <v>870</v>
      </c>
      <c r="D4" s="55" t="s">
        <v>869</v>
      </c>
      <c r="E4" t="s">
        <v>902</v>
      </c>
      <c r="F4" t="s">
        <v>903</v>
      </c>
      <c r="G4" t="s">
        <v>900</v>
      </c>
    </row>
    <row r="5" spans="1:7">
      <c r="A5" t="s">
        <v>485</v>
      </c>
      <c r="E5">
        <v>164</v>
      </c>
      <c r="F5">
        <v>8.32</v>
      </c>
      <c r="G5">
        <v>199.9265</v>
      </c>
    </row>
    <row r="6" spans="1:7">
      <c r="B6" t="s">
        <v>407</v>
      </c>
      <c r="E6">
        <v>164</v>
      </c>
      <c r="F6">
        <v>8.32</v>
      </c>
      <c r="G6">
        <v>199.9265</v>
      </c>
    </row>
    <row r="7" spans="1:7">
      <c r="C7" t="s">
        <v>591</v>
      </c>
      <c r="E7">
        <v>35</v>
      </c>
      <c r="F7">
        <v>2.2999999999999998</v>
      </c>
      <c r="G7">
        <v>97.144500000000008</v>
      </c>
    </row>
    <row r="8" spans="1:7">
      <c r="D8" t="s">
        <v>683</v>
      </c>
      <c r="E8">
        <v>21</v>
      </c>
      <c r="F8">
        <v>1.7</v>
      </c>
      <c r="G8">
        <v>-55.395900000000005</v>
      </c>
    </row>
    <row r="9" spans="1:7">
      <c r="D9" t="s">
        <v>590</v>
      </c>
      <c r="E9">
        <v>4</v>
      </c>
      <c r="F9">
        <v>0.2</v>
      </c>
      <c r="G9">
        <v>16.5564</v>
      </c>
    </row>
    <row r="10" spans="1:7">
      <c r="D10" t="s">
        <v>857</v>
      </c>
      <c r="E10">
        <v>10</v>
      </c>
      <c r="F10">
        <v>0.4</v>
      </c>
      <c r="G10">
        <v>135.98400000000001</v>
      </c>
    </row>
    <row r="12" spans="1:7">
      <c r="C12" t="s">
        <v>634</v>
      </c>
      <c r="E12">
        <v>15</v>
      </c>
      <c r="F12">
        <v>0</v>
      </c>
      <c r="G12">
        <v>73.352900000000005</v>
      </c>
    </row>
    <row r="13" spans="1:7">
      <c r="D13" t="s">
        <v>633</v>
      </c>
      <c r="E13">
        <v>15</v>
      </c>
      <c r="F13">
        <v>0</v>
      </c>
      <c r="G13">
        <v>73.352900000000005</v>
      </c>
    </row>
    <row r="15" spans="1:7">
      <c r="C15" t="s">
        <v>618</v>
      </c>
      <c r="E15">
        <v>7</v>
      </c>
      <c r="F15">
        <v>0</v>
      </c>
      <c r="G15">
        <v>17.241399999999999</v>
      </c>
    </row>
    <row r="16" spans="1:7">
      <c r="D16" t="s">
        <v>708</v>
      </c>
      <c r="E16">
        <v>3</v>
      </c>
      <c r="F16">
        <v>0</v>
      </c>
      <c r="G16">
        <v>8.7629999999999999</v>
      </c>
    </row>
    <row r="17" spans="3:7">
      <c r="D17" t="s">
        <v>617</v>
      </c>
      <c r="E17">
        <v>4</v>
      </c>
      <c r="F17">
        <v>0</v>
      </c>
      <c r="G17">
        <v>8.4784000000000006</v>
      </c>
    </row>
    <row r="19" spans="3:7">
      <c r="C19" t="s">
        <v>609</v>
      </c>
      <c r="E19">
        <v>24</v>
      </c>
      <c r="F19">
        <v>0</v>
      </c>
      <c r="G19">
        <v>110.94359999999999</v>
      </c>
    </row>
    <row r="20" spans="3:7">
      <c r="D20" t="s">
        <v>608</v>
      </c>
      <c r="E20">
        <v>4</v>
      </c>
      <c r="F20">
        <v>0</v>
      </c>
      <c r="G20">
        <v>27.977600000000002</v>
      </c>
    </row>
    <row r="21" spans="3:7">
      <c r="D21" t="s">
        <v>789</v>
      </c>
      <c r="E21">
        <v>7</v>
      </c>
      <c r="F21">
        <v>0</v>
      </c>
      <c r="G21">
        <v>38.906599999999997</v>
      </c>
    </row>
    <row r="22" spans="3:7">
      <c r="D22" t="s">
        <v>769</v>
      </c>
      <c r="E22">
        <v>7</v>
      </c>
      <c r="F22">
        <v>0</v>
      </c>
      <c r="G22">
        <v>21.4742</v>
      </c>
    </row>
    <row r="23" spans="3:7">
      <c r="D23" t="s">
        <v>816</v>
      </c>
      <c r="E23">
        <v>6</v>
      </c>
      <c r="F23">
        <v>0</v>
      </c>
      <c r="G23">
        <v>22.5852</v>
      </c>
    </row>
    <row r="25" spans="3:7">
      <c r="C25" t="s">
        <v>518</v>
      </c>
      <c r="E25">
        <v>14</v>
      </c>
      <c r="F25">
        <v>0</v>
      </c>
      <c r="G25">
        <v>20.747999999999998</v>
      </c>
    </row>
    <row r="26" spans="3:7">
      <c r="D26" t="s">
        <v>517</v>
      </c>
      <c r="E26">
        <v>14</v>
      </c>
      <c r="F26">
        <v>0</v>
      </c>
      <c r="G26">
        <v>20.747999999999998</v>
      </c>
    </row>
    <row r="28" spans="3:7">
      <c r="C28" t="s">
        <v>484</v>
      </c>
      <c r="E28">
        <v>63</v>
      </c>
      <c r="F28">
        <v>6.0200000000000005</v>
      </c>
      <c r="G28">
        <v>-132.82150000000001</v>
      </c>
    </row>
    <row r="29" spans="3:7">
      <c r="D29" t="s">
        <v>483</v>
      </c>
      <c r="E29">
        <v>8</v>
      </c>
      <c r="F29">
        <v>1.6</v>
      </c>
      <c r="G29">
        <v>-127.67400000000001</v>
      </c>
    </row>
    <row r="30" spans="3:7">
      <c r="D30" t="s">
        <v>564</v>
      </c>
      <c r="E30">
        <v>43</v>
      </c>
      <c r="F30">
        <v>3.6200000000000006</v>
      </c>
      <c r="G30">
        <v>19.341800000000006</v>
      </c>
    </row>
    <row r="31" spans="3:7">
      <c r="D31" t="s">
        <v>571</v>
      </c>
      <c r="E31">
        <v>12</v>
      </c>
      <c r="F31">
        <v>0.8</v>
      </c>
      <c r="G31">
        <v>-24.4893</v>
      </c>
    </row>
    <row r="33" spans="1:7">
      <c r="C33" t="s">
        <v>494</v>
      </c>
      <c r="E33">
        <v>6</v>
      </c>
      <c r="F33">
        <v>0</v>
      </c>
      <c r="G33">
        <v>13.317600000000001</v>
      </c>
    </row>
    <row r="34" spans="1:7">
      <c r="D34" t="s">
        <v>493</v>
      </c>
      <c r="E34">
        <v>6</v>
      </c>
      <c r="F34">
        <v>0</v>
      </c>
      <c r="G34">
        <v>13.317600000000001</v>
      </c>
    </row>
    <row r="36" spans="1:7">
      <c r="A36" t="s">
        <v>528</v>
      </c>
      <c r="E36">
        <v>80</v>
      </c>
      <c r="F36">
        <v>3.5</v>
      </c>
      <c r="G36">
        <v>-1188.4077000000002</v>
      </c>
    </row>
    <row r="37" spans="1:7">
      <c r="B37" t="s">
        <v>407</v>
      </c>
      <c r="E37">
        <v>80</v>
      </c>
      <c r="F37">
        <v>3.5</v>
      </c>
      <c r="G37">
        <v>-1188.4077000000002</v>
      </c>
    </row>
    <row r="38" spans="1:7">
      <c r="C38" t="s">
        <v>625</v>
      </c>
      <c r="E38">
        <v>5</v>
      </c>
      <c r="F38">
        <v>0</v>
      </c>
      <c r="G38">
        <v>11.054</v>
      </c>
    </row>
    <row r="39" spans="1:7">
      <c r="D39" t="s">
        <v>624</v>
      </c>
      <c r="E39">
        <v>5</v>
      </c>
      <c r="F39">
        <v>0</v>
      </c>
      <c r="G39">
        <v>11.054</v>
      </c>
    </row>
    <row r="41" spans="1:7">
      <c r="C41" t="s">
        <v>647</v>
      </c>
      <c r="E41">
        <v>45</v>
      </c>
      <c r="F41">
        <v>0.5</v>
      </c>
      <c r="G41">
        <v>449.49649999999997</v>
      </c>
    </row>
    <row r="42" spans="1:7">
      <c r="D42" t="s">
        <v>646</v>
      </c>
      <c r="E42">
        <v>20</v>
      </c>
      <c r="F42">
        <v>0.2</v>
      </c>
      <c r="G42">
        <v>347.21569999999997</v>
      </c>
    </row>
    <row r="43" spans="1:7">
      <c r="D43" t="s">
        <v>656</v>
      </c>
      <c r="E43">
        <v>25</v>
      </c>
      <c r="F43">
        <v>0.30000000000000004</v>
      </c>
      <c r="G43">
        <v>102.2808</v>
      </c>
    </row>
    <row r="45" spans="1:7">
      <c r="C45" t="s">
        <v>527</v>
      </c>
      <c r="E45">
        <v>30</v>
      </c>
      <c r="F45">
        <v>3</v>
      </c>
      <c r="G45">
        <v>-1648.9582</v>
      </c>
    </row>
    <row r="46" spans="1:7">
      <c r="D46" t="s">
        <v>526</v>
      </c>
      <c r="E46">
        <v>30</v>
      </c>
      <c r="F46">
        <v>3</v>
      </c>
      <c r="G46">
        <v>-1648.9582</v>
      </c>
    </row>
    <row r="48" spans="1:7">
      <c r="A48" t="s">
        <v>410</v>
      </c>
      <c r="E48">
        <v>53</v>
      </c>
      <c r="F48">
        <v>2.4500000000000002</v>
      </c>
      <c r="G48">
        <v>-18.688500000000062</v>
      </c>
    </row>
    <row r="49" spans="2:7">
      <c r="B49" t="s">
        <v>407</v>
      </c>
      <c r="E49">
        <v>53</v>
      </c>
      <c r="F49">
        <v>2.4500000000000002</v>
      </c>
      <c r="G49">
        <v>-18.688500000000062</v>
      </c>
    </row>
    <row r="50" spans="2:7">
      <c r="C50" t="s">
        <v>738</v>
      </c>
      <c r="E50">
        <v>4</v>
      </c>
      <c r="F50">
        <v>0</v>
      </c>
      <c r="G50">
        <v>64.238399999999999</v>
      </c>
    </row>
    <row r="51" spans="2:7">
      <c r="D51" t="s">
        <v>737</v>
      </c>
      <c r="E51">
        <v>4</v>
      </c>
      <c r="F51">
        <v>0</v>
      </c>
      <c r="G51">
        <v>64.238399999999999</v>
      </c>
    </row>
    <row r="53" spans="2:7">
      <c r="C53" t="s">
        <v>434</v>
      </c>
      <c r="E53">
        <v>9</v>
      </c>
      <c r="F53">
        <v>0.85000000000000009</v>
      </c>
      <c r="G53">
        <v>-370.95300000000003</v>
      </c>
    </row>
    <row r="54" spans="2:7">
      <c r="D54" t="s">
        <v>433</v>
      </c>
      <c r="E54">
        <v>7</v>
      </c>
      <c r="F54">
        <v>0.65</v>
      </c>
      <c r="G54">
        <v>-380.51460000000003</v>
      </c>
    </row>
    <row r="55" spans="2:7">
      <c r="D55" t="s">
        <v>602</v>
      </c>
      <c r="E55">
        <v>2</v>
      </c>
      <c r="F55">
        <v>0.2</v>
      </c>
      <c r="G55">
        <v>9.5616000000000003</v>
      </c>
    </row>
    <row r="57" spans="2:7">
      <c r="C57" t="s">
        <v>409</v>
      </c>
      <c r="E57">
        <v>5</v>
      </c>
      <c r="F57">
        <v>0</v>
      </c>
      <c r="G57">
        <v>261.49559999999997</v>
      </c>
    </row>
    <row r="58" spans="2:7">
      <c r="D58" t="s">
        <v>408</v>
      </c>
      <c r="E58">
        <v>5</v>
      </c>
      <c r="F58">
        <v>0</v>
      </c>
      <c r="G58">
        <v>261.49559999999997</v>
      </c>
    </row>
    <row r="60" spans="2:7">
      <c r="C60" t="s">
        <v>468</v>
      </c>
      <c r="E60">
        <v>20</v>
      </c>
      <c r="F60">
        <v>1</v>
      </c>
      <c r="G60">
        <v>89.025499999999994</v>
      </c>
    </row>
    <row r="61" spans="2:7">
      <c r="D61" t="s">
        <v>847</v>
      </c>
      <c r="E61">
        <v>10</v>
      </c>
      <c r="F61">
        <v>0.60000000000000009</v>
      </c>
      <c r="G61">
        <v>20.774799999999999</v>
      </c>
    </row>
    <row r="62" spans="2:7">
      <c r="D62" t="s">
        <v>467</v>
      </c>
      <c r="E62">
        <v>3</v>
      </c>
      <c r="F62">
        <v>0.2</v>
      </c>
      <c r="G62">
        <v>5.4432</v>
      </c>
    </row>
    <row r="63" spans="2:7">
      <c r="D63" t="s">
        <v>753</v>
      </c>
      <c r="E63">
        <v>7</v>
      </c>
      <c r="F63">
        <v>0.2</v>
      </c>
      <c r="G63">
        <v>62.807499999999997</v>
      </c>
    </row>
    <row r="65" spans="1:7">
      <c r="C65" t="s">
        <v>763</v>
      </c>
      <c r="E65">
        <v>2</v>
      </c>
      <c r="F65">
        <v>0</v>
      </c>
      <c r="G65">
        <v>33.215600000000002</v>
      </c>
    </row>
    <row r="66" spans="1:7">
      <c r="D66" t="s">
        <v>762</v>
      </c>
      <c r="E66">
        <v>2</v>
      </c>
      <c r="F66">
        <v>0</v>
      </c>
      <c r="G66">
        <v>33.215600000000002</v>
      </c>
    </row>
    <row r="68" spans="1:7">
      <c r="C68" t="s">
        <v>715</v>
      </c>
      <c r="E68">
        <v>11</v>
      </c>
      <c r="F68">
        <v>0.60000000000000009</v>
      </c>
      <c r="G68">
        <v>-131.3742</v>
      </c>
    </row>
    <row r="69" spans="1:7">
      <c r="D69" t="s">
        <v>714</v>
      </c>
      <c r="E69">
        <v>11</v>
      </c>
      <c r="F69">
        <v>0.60000000000000009</v>
      </c>
      <c r="G69">
        <v>-131.3742</v>
      </c>
    </row>
    <row r="71" spans="1:7">
      <c r="C71" t="s">
        <v>699</v>
      </c>
      <c r="E71">
        <v>2</v>
      </c>
      <c r="F71">
        <v>0</v>
      </c>
      <c r="G71">
        <v>35.663600000000002</v>
      </c>
    </row>
    <row r="72" spans="1:7">
      <c r="D72" t="s">
        <v>698</v>
      </c>
      <c r="E72">
        <v>2</v>
      </c>
      <c r="F72">
        <v>0</v>
      </c>
      <c r="G72">
        <v>35.663600000000002</v>
      </c>
    </row>
    <row r="74" spans="1:7">
      <c r="A74" t="s">
        <v>424</v>
      </c>
      <c r="E74">
        <v>119</v>
      </c>
      <c r="F74">
        <v>4.4000000000000004</v>
      </c>
      <c r="G74">
        <v>1003.3900000000001</v>
      </c>
    </row>
    <row r="75" spans="1:7">
      <c r="B75" t="s">
        <v>407</v>
      </c>
      <c r="E75">
        <v>119</v>
      </c>
      <c r="F75">
        <v>4.4000000000000004</v>
      </c>
      <c r="G75">
        <v>1003.3900000000001</v>
      </c>
    </row>
    <row r="76" spans="1:7">
      <c r="C76" t="s">
        <v>690</v>
      </c>
      <c r="E76">
        <v>12</v>
      </c>
      <c r="F76">
        <v>0.4</v>
      </c>
      <c r="G76">
        <v>174.29040000000001</v>
      </c>
    </row>
    <row r="77" spans="1:7">
      <c r="D77" t="s">
        <v>689</v>
      </c>
      <c r="E77">
        <v>12</v>
      </c>
      <c r="F77">
        <v>0.4</v>
      </c>
      <c r="G77">
        <v>174.29040000000001</v>
      </c>
    </row>
    <row r="79" spans="1:7">
      <c r="C79" t="s">
        <v>423</v>
      </c>
      <c r="E79">
        <v>86</v>
      </c>
      <c r="F79">
        <v>2</v>
      </c>
      <c r="G79">
        <v>506.57220000000007</v>
      </c>
    </row>
    <row r="80" spans="1:7">
      <c r="D80" t="s">
        <v>422</v>
      </c>
      <c r="E80">
        <v>68</v>
      </c>
      <c r="F80">
        <v>1.4</v>
      </c>
      <c r="G80">
        <v>452.36050000000006</v>
      </c>
    </row>
    <row r="81" spans="1:7">
      <c r="D81" t="s">
        <v>507</v>
      </c>
      <c r="E81">
        <v>18</v>
      </c>
      <c r="F81">
        <v>0.60000000000000009</v>
      </c>
      <c r="G81">
        <v>54.211700000000008</v>
      </c>
    </row>
    <row r="83" spans="1:7">
      <c r="C83" t="s">
        <v>837</v>
      </c>
      <c r="E83">
        <v>12</v>
      </c>
      <c r="F83">
        <v>1.1000000000000001</v>
      </c>
      <c r="G83">
        <v>-56.531700000000001</v>
      </c>
    </row>
    <row r="84" spans="1:7">
      <c r="D84" t="s">
        <v>836</v>
      </c>
      <c r="E84">
        <v>12</v>
      </c>
      <c r="F84">
        <v>1.1000000000000001</v>
      </c>
      <c r="G84">
        <v>-56.531700000000001</v>
      </c>
    </row>
    <row r="86" spans="1:7">
      <c r="C86" t="s">
        <v>800</v>
      </c>
      <c r="E86">
        <v>1</v>
      </c>
      <c r="F86">
        <v>0.7</v>
      </c>
      <c r="G86">
        <v>-3.7879999999999998</v>
      </c>
    </row>
    <row r="87" spans="1:7">
      <c r="D87" t="s">
        <v>799</v>
      </c>
      <c r="E87">
        <v>1</v>
      </c>
      <c r="F87">
        <v>0.7</v>
      </c>
      <c r="G87">
        <v>-3.7879999999999998</v>
      </c>
    </row>
    <row r="89" spans="1:7">
      <c r="C89" t="s">
        <v>501</v>
      </c>
      <c r="E89">
        <v>5</v>
      </c>
      <c r="F89">
        <v>0</v>
      </c>
      <c r="G89">
        <v>250.25490000000002</v>
      </c>
    </row>
    <row r="90" spans="1:7">
      <c r="D90" t="s">
        <v>534</v>
      </c>
      <c r="E90">
        <v>3</v>
      </c>
      <c r="F90">
        <v>0</v>
      </c>
      <c r="G90">
        <v>240.26490000000001</v>
      </c>
    </row>
    <row r="91" spans="1:7">
      <c r="D91" t="s">
        <v>500</v>
      </c>
      <c r="E91">
        <v>2</v>
      </c>
      <c r="F91">
        <v>0</v>
      </c>
      <c r="G91">
        <v>9.99</v>
      </c>
    </row>
    <row r="93" spans="1:7">
      <c r="C93" t="s">
        <v>476</v>
      </c>
      <c r="E93">
        <v>3</v>
      </c>
      <c r="F93">
        <v>0.2</v>
      </c>
      <c r="G93">
        <v>132.59219999999999</v>
      </c>
    </row>
    <row r="94" spans="1:7">
      <c r="D94" t="s">
        <v>475</v>
      </c>
      <c r="E94">
        <v>3</v>
      </c>
      <c r="F94">
        <v>0.2</v>
      </c>
      <c r="G94">
        <v>132.59219999999999</v>
      </c>
    </row>
    <row r="96" spans="1:7">
      <c r="A96" t="s">
        <v>894</v>
      </c>
      <c r="E96">
        <v>416</v>
      </c>
      <c r="F96">
        <v>18.669999999999998</v>
      </c>
      <c r="G96">
        <v>-3.7797000000002186</v>
      </c>
    </row>
  </sheetData>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sheetPr codeName="Sheet8"/>
  <dimension ref="A1:H56"/>
  <sheetViews>
    <sheetView workbookViewId="0">
      <selection activeCell="A2" sqref="A2:A27"/>
    </sheetView>
  </sheetViews>
  <sheetFormatPr defaultRowHeight="14.4"/>
  <cols>
    <col min="1" max="1" width="12.6640625" customWidth="1"/>
    <col min="2" max="2" width="11.77734375" customWidth="1"/>
    <col min="3" max="3" width="16.21875" customWidth="1"/>
    <col min="4" max="4" width="15.33203125" customWidth="1"/>
    <col min="5" max="5" width="12.6640625" bestFit="1" customWidth="1"/>
    <col min="6" max="6" width="7.109375" customWidth="1"/>
    <col min="7" max="7" width="12.21875" customWidth="1"/>
    <col min="8" max="8" width="11.5546875" bestFit="1" customWidth="1"/>
  </cols>
  <sheetData>
    <row r="1" spans="1:8" ht="15" thickBot="1">
      <c r="A1" t="s">
        <v>954</v>
      </c>
      <c r="B1" t="s">
        <v>872</v>
      </c>
      <c r="C1" t="s">
        <v>955</v>
      </c>
      <c r="D1" t="s">
        <v>956</v>
      </c>
      <c r="E1" t="s">
        <v>957</v>
      </c>
      <c r="F1" t="s">
        <v>958</v>
      </c>
      <c r="G1" s="64" t="s">
        <v>959</v>
      </c>
      <c r="H1" t="s">
        <v>960</v>
      </c>
    </row>
    <row r="2" spans="1:8" ht="15" thickBot="1">
      <c r="A2" s="65">
        <v>43106</v>
      </c>
      <c r="B2" s="66" t="s">
        <v>528</v>
      </c>
      <c r="C2" s="67" t="s">
        <v>961</v>
      </c>
      <c r="D2" s="68" t="s">
        <v>962</v>
      </c>
      <c r="E2" s="69" t="s">
        <v>963</v>
      </c>
      <c r="F2" s="66">
        <v>95</v>
      </c>
      <c r="G2" s="64">
        <v>1198</v>
      </c>
      <c r="H2" s="70">
        <f>F2*G2</f>
        <v>113810</v>
      </c>
    </row>
    <row r="3" spans="1:8" ht="15" thickBot="1">
      <c r="A3" s="65">
        <v>43123</v>
      </c>
      <c r="B3" s="66" t="s">
        <v>485</v>
      </c>
      <c r="C3" s="67" t="s">
        <v>964</v>
      </c>
      <c r="D3" s="68" t="s">
        <v>965</v>
      </c>
      <c r="E3" s="69" t="s">
        <v>966</v>
      </c>
      <c r="F3" s="66">
        <v>50</v>
      </c>
      <c r="G3" s="64">
        <v>500</v>
      </c>
      <c r="H3" s="70">
        <f t="shared" ref="H3:H44" si="0">F3*G3</f>
        <v>25000</v>
      </c>
    </row>
    <row r="4" spans="1:8" ht="15" thickBot="1">
      <c r="A4" s="65">
        <v>43140</v>
      </c>
      <c r="B4" s="66" t="s">
        <v>485</v>
      </c>
      <c r="C4" s="67" t="s">
        <v>964</v>
      </c>
      <c r="D4" s="68" t="s">
        <v>967</v>
      </c>
      <c r="E4" s="69" t="s">
        <v>963</v>
      </c>
      <c r="F4" s="66">
        <v>36</v>
      </c>
      <c r="G4" s="64">
        <v>1198</v>
      </c>
      <c r="H4" s="70">
        <f t="shared" si="0"/>
        <v>43128</v>
      </c>
    </row>
    <row r="5" spans="1:8" ht="15" thickBot="1">
      <c r="A5" s="65">
        <v>43157</v>
      </c>
      <c r="B5" s="66" t="s">
        <v>485</v>
      </c>
      <c r="C5" s="67" t="s">
        <v>968</v>
      </c>
      <c r="D5" s="68" t="s">
        <v>113</v>
      </c>
      <c r="E5" s="69" t="s">
        <v>969</v>
      </c>
      <c r="F5" s="66">
        <v>27</v>
      </c>
      <c r="G5" s="64">
        <v>225</v>
      </c>
      <c r="H5" s="70">
        <f t="shared" si="0"/>
        <v>6075</v>
      </c>
    </row>
    <row r="6" spans="1:8" ht="15" thickBot="1">
      <c r="A6" s="65">
        <v>43174</v>
      </c>
      <c r="B6" s="66" t="s">
        <v>424</v>
      </c>
      <c r="C6" s="67" t="s">
        <v>968</v>
      </c>
      <c r="D6" s="68" t="s">
        <v>970</v>
      </c>
      <c r="E6" s="69" t="s">
        <v>963</v>
      </c>
      <c r="F6" s="66">
        <v>56</v>
      </c>
      <c r="G6" s="64">
        <v>1198</v>
      </c>
      <c r="H6" s="70">
        <f t="shared" si="0"/>
        <v>67088</v>
      </c>
    </row>
    <row r="7" spans="1:8" ht="15" thickBot="1">
      <c r="A7" s="65">
        <v>43191</v>
      </c>
      <c r="B7" s="66" t="s">
        <v>528</v>
      </c>
      <c r="C7" s="67" t="s">
        <v>961</v>
      </c>
      <c r="D7" s="68" t="s">
        <v>962</v>
      </c>
      <c r="E7" s="69" t="s">
        <v>966</v>
      </c>
      <c r="F7" s="66">
        <v>60</v>
      </c>
      <c r="G7" s="64">
        <v>500</v>
      </c>
      <c r="H7" s="70">
        <f t="shared" si="0"/>
        <v>30000</v>
      </c>
    </row>
    <row r="8" spans="1:8" ht="15" thickBot="1">
      <c r="A8" s="65">
        <v>43208</v>
      </c>
      <c r="B8" s="66" t="s">
        <v>485</v>
      </c>
      <c r="C8" s="71" t="s">
        <v>961</v>
      </c>
      <c r="D8" s="68" t="s">
        <v>971</v>
      </c>
      <c r="E8" s="69" t="s">
        <v>963</v>
      </c>
      <c r="F8" s="66">
        <v>75</v>
      </c>
      <c r="G8" s="64">
        <v>1198</v>
      </c>
      <c r="H8" s="70">
        <f t="shared" si="0"/>
        <v>89850</v>
      </c>
    </row>
    <row r="9" spans="1:8" ht="15" thickBot="1">
      <c r="A9" s="65">
        <v>43225</v>
      </c>
      <c r="B9" s="66" t="s">
        <v>485</v>
      </c>
      <c r="C9" s="67" t="s">
        <v>964</v>
      </c>
      <c r="D9" s="68" t="s">
        <v>967</v>
      </c>
      <c r="E9" s="69" t="s">
        <v>963</v>
      </c>
      <c r="F9" s="66">
        <v>90</v>
      </c>
      <c r="G9" s="64">
        <v>1198</v>
      </c>
      <c r="H9" s="70">
        <f t="shared" si="0"/>
        <v>107820</v>
      </c>
    </row>
    <row r="10" spans="1:8" ht="15" thickBot="1">
      <c r="A10" s="65">
        <v>43242</v>
      </c>
      <c r="B10" s="66" t="s">
        <v>424</v>
      </c>
      <c r="C10" s="72" t="s">
        <v>972</v>
      </c>
      <c r="D10" s="68" t="s">
        <v>973</v>
      </c>
      <c r="E10" s="69" t="s">
        <v>963</v>
      </c>
      <c r="F10" s="66">
        <v>32</v>
      </c>
      <c r="G10" s="64">
        <v>1198</v>
      </c>
      <c r="H10" s="70">
        <f t="shared" si="0"/>
        <v>38336</v>
      </c>
    </row>
    <row r="11" spans="1:8" ht="15" thickBot="1">
      <c r="A11" s="65">
        <v>43259</v>
      </c>
      <c r="B11" s="66" t="s">
        <v>528</v>
      </c>
      <c r="C11" s="67" t="s">
        <v>961</v>
      </c>
      <c r="D11" s="68" t="s">
        <v>962</v>
      </c>
      <c r="E11" s="69" t="s">
        <v>966</v>
      </c>
      <c r="F11" s="66">
        <v>60</v>
      </c>
      <c r="G11" s="64">
        <v>500</v>
      </c>
      <c r="H11" s="70">
        <f t="shared" si="0"/>
        <v>30000</v>
      </c>
    </row>
    <row r="12" spans="1:8" ht="15" thickBot="1">
      <c r="A12" s="65">
        <v>43276</v>
      </c>
      <c r="B12" s="66" t="s">
        <v>485</v>
      </c>
      <c r="C12" s="67" t="s">
        <v>964</v>
      </c>
      <c r="D12" s="68" t="s">
        <v>974</v>
      </c>
      <c r="E12" s="69" t="s">
        <v>963</v>
      </c>
      <c r="F12" s="66">
        <v>90</v>
      </c>
      <c r="G12" s="64">
        <v>1198</v>
      </c>
      <c r="H12" s="70">
        <f t="shared" si="0"/>
        <v>107820</v>
      </c>
    </row>
    <row r="13" spans="1:8" ht="15" thickBot="1">
      <c r="A13" s="65">
        <v>43293</v>
      </c>
      <c r="B13" s="66" t="s">
        <v>528</v>
      </c>
      <c r="C13" s="71" t="s">
        <v>961</v>
      </c>
      <c r="D13" s="68" t="s">
        <v>975</v>
      </c>
      <c r="E13" s="69" t="s">
        <v>966</v>
      </c>
      <c r="F13" s="66">
        <v>29</v>
      </c>
      <c r="G13" s="64">
        <v>500</v>
      </c>
      <c r="H13" s="70">
        <f t="shared" si="0"/>
        <v>14500</v>
      </c>
    </row>
    <row r="14" spans="1:8" ht="15" thickBot="1">
      <c r="A14" s="65">
        <v>43310</v>
      </c>
      <c r="B14" s="66" t="s">
        <v>528</v>
      </c>
      <c r="C14" s="72" t="s">
        <v>972</v>
      </c>
      <c r="D14" s="68" t="s">
        <v>976</v>
      </c>
      <c r="E14" s="69" t="s">
        <v>966</v>
      </c>
      <c r="F14" s="66">
        <v>81</v>
      </c>
      <c r="G14" s="64">
        <v>500</v>
      </c>
      <c r="H14" s="70">
        <f t="shared" si="0"/>
        <v>40500</v>
      </c>
    </row>
    <row r="15" spans="1:8" ht="15" thickBot="1">
      <c r="A15" s="65">
        <v>43327</v>
      </c>
      <c r="B15" s="66" t="s">
        <v>528</v>
      </c>
      <c r="C15" s="67" t="s">
        <v>961</v>
      </c>
      <c r="D15" s="68" t="s">
        <v>962</v>
      </c>
      <c r="E15" s="69" t="s">
        <v>963</v>
      </c>
      <c r="F15" s="66">
        <v>35</v>
      </c>
      <c r="G15" s="64">
        <v>1198</v>
      </c>
      <c r="H15" s="70">
        <f t="shared" si="0"/>
        <v>41930</v>
      </c>
    </row>
    <row r="16" spans="1:8" ht="15" thickBot="1">
      <c r="A16" s="65">
        <v>43344</v>
      </c>
      <c r="B16" s="66" t="s">
        <v>485</v>
      </c>
      <c r="C16" s="72" t="s">
        <v>972</v>
      </c>
      <c r="D16" s="68" t="s">
        <v>977</v>
      </c>
      <c r="E16" s="69" t="s">
        <v>978</v>
      </c>
      <c r="F16" s="66">
        <v>2</v>
      </c>
      <c r="G16" s="64">
        <v>125</v>
      </c>
      <c r="H16" s="70">
        <f t="shared" si="0"/>
        <v>250</v>
      </c>
    </row>
    <row r="17" spans="1:8" ht="15" thickBot="1">
      <c r="A17" s="65">
        <v>43361</v>
      </c>
      <c r="B17" s="66" t="s">
        <v>528</v>
      </c>
      <c r="C17" s="73" t="s">
        <v>961</v>
      </c>
      <c r="D17" s="68" t="s">
        <v>962</v>
      </c>
      <c r="E17" s="69" t="s">
        <v>979</v>
      </c>
      <c r="F17" s="66">
        <v>16</v>
      </c>
      <c r="G17" s="64">
        <v>58.5</v>
      </c>
      <c r="H17" s="70">
        <f t="shared" si="0"/>
        <v>936</v>
      </c>
    </row>
    <row r="18" spans="1:8" ht="15" thickBot="1">
      <c r="A18" s="65">
        <v>43378</v>
      </c>
      <c r="B18" s="66" t="s">
        <v>485</v>
      </c>
      <c r="C18" s="73" t="s">
        <v>964</v>
      </c>
      <c r="D18" s="68" t="s">
        <v>974</v>
      </c>
      <c r="E18" s="69" t="s">
        <v>966</v>
      </c>
      <c r="F18" s="66">
        <v>28</v>
      </c>
      <c r="G18" s="64">
        <v>500</v>
      </c>
      <c r="H18" s="70">
        <f t="shared" si="0"/>
        <v>14000</v>
      </c>
    </row>
    <row r="19" spans="1:8" ht="15" thickBot="1">
      <c r="A19" s="65">
        <v>43395</v>
      </c>
      <c r="B19" s="66" t="s">
        <v>528</v>
      </c>
      <c r="C19" s="73" t="s">
        <v>961</v>
      </c>
      <c r="D19" s="68" t="s">
        <v>962</v>
      </c>
      <c r="E19" s="69" t="s">
        <v>969</v>
      </c>
      <c r="F19" s="66">
        <v>64</v>
      </c>
      <c r="G19" s="64">
        <v>225</v>
      </c>
      <c r="H19" s="70">
        <f t="shared" si="0"/>
        <v>14400</v>
      </c>
    </row>
    <row r="20" spans="1:8" ht="15" thickBot="1">
      <c r="A20" s="65">
        <v>43412</v>
      </c>
      <c r="B20" s="66" t="s">
        <v>528</v>
      </c>
      <c r="C20" s="74" t="s">
        <v>972</v>
      </c>
      <c r="D20" s="68" t="s">
        <v>976</v>
      </c>
      <c r="E20" s="69" t="s">
        <v>969</v>
      </c>
      <c r="F20" s="66">
        <v>15</v>
      </c>
      <c r="G20" s="64">
        <v>225</v>
      </c>
      <c r="H20" s="70">
        <f t="shared" si="0"/>
        <v>3375</v>
      </c>
    </row>
    <row r="21" spans="1:8" ht="15" thickBot="1">
      <c r="A21" s="65">
        <v>43429</v>
      </c>
      <c r="B21" s="66" t="s">
        <v>485</v>
      </c>
      <c r="C21" s="73" t="s">
        <v>964</v>
      </c>
      <c r="D21" s="68" t="s">
        <v>965</v>
      </c>
      <c r="E21" s="69" t="s">
        <v>979</v>
      </c>
      <c r="F21" s="66">
        <v>96</v>
      </c>
      <c r="G21" s="64">
        <v>58.5</v>
      </c>
      <c r="H21" s="70">
        <f t="shared" si="0"/>
        <v>5616</v>
      </c>
    </row>
    <row r="22" spans="1:8" ht="15" thickBot="1">
      <c r="A22" s="65">
        <v>43446</v>
      </c>
      <c r="B22" s="66" t="s">
        <v>485</v>
      </c>
      <c r="C22" s="74" t="s">
        <v>972</v>
      </c>
      <c r="D22" s="68" t="s">
        <v>977</v>
      </c>
      <c r="E22" s="69" t="s">
        <v>963</v>
      </c>
      <c r="F22" s="66">
        <v>67</v>
      </c>
      <c r="G22" s="64">
        <v>1198</v>
      </c>
      <c r="H22" s="70">
        <f t="shared" si="0"/>
        <v>80266</v>
      </c>
    </row>
    <row r="23" spans="1:8" ht="15" thickBot="1">
      <c r="A23" s="65">
        <v>43463</v>
      </c>
      <c r="B23" s="66" t="s">
        <v>528</v>
      </c>
      <c r="C23" s="72" t="s">
        <v>972</v>
      </c>
      <c r="D23" s="68" t="s">
        <v>976</v>
      </c>
      <c r="E23" s="69" t="s">
        <v>979</v>
      </c>
      <c r="F23" s="66">
        <v>74</v>
      </c>
      <c r="G23" s="64">
        <v>58.5</v>
      </c>
      <c r="H23" s="70">
        <f t="shared" si="0"/>
        <v>4329</v>
      </c>
    </row>
    <row r="24" spans="1:8" ht="15" thickBot="1">
      <c r="A24" s="65">
        <v>43480</v>
      </c>
      <c r="B24" s="66" t="s">
        <v>485</v>
      </c>
      <c r="C24" s="67" t="s">
        <v>968</v>
      </c>
      <c r="D24" s="68" t="s">
        <v>113</v>
      </c>
      <c r="E24" s="69" t="s">
        <v>966</v>
      </c>
      <c r="F24" s="66">
        <v>46</v>
      </c>
      <c r="G24" s="64">
        <v>500</v>
      </c>
      <c r="H24" s="70">
        <f t="shared" si="0"/>
        <v>23000</v>
      </c>
    </row>
    <row r="25" spans="1:8" ht="15" thickBot="1">
      <c r="A25" s="65">
        <v>43497</v>
      </c>
      <c r="B25" s="66" t="s">
        <v>485</v>
      </c>
      <c r="C25" s="72" t="s">
        <v>972</v>
      </c>
      <c r="D25" s="68" t="s">
        <v>977</v>
      </c>
      <c r="E25" s="69" t="s">
        <v>966</v>
      </c>
      <c r="F25" s="66">
        <v>87</v>
      </c>
      <c r="G25" s="64">
        <v>500</v>
      </c>
      <c r="H25" s="70">
        <f t="shared" si="0"/>
        <v>43500</v>
      </c>
    </row>
    <row r="26" spans="1:8" ht="15" thickBot="1">
      <c r="A26" s="65">
        <v>43514</v>
      </c>
      <c r="B26" s="66" t="s">
        <v>528</v>
      </c>
      <c r="C26" s="71" t="s">
        <v>961</v>
      </c>
      <c r="D26" s="68" t="s">
        <v>962</v>
      </c>
      <c r="E26" s="69" t="s">
        <v>966</v>
      </c>
      <c r="F26" s="66">
        <v>4</v>
      </c>
      <c r="G26" s="64">
        <v>500</v>
      </c>
      <c r="H26" s="70">
        <f t="shared" si="0"/>
        <v>2000</v>
      </c>
    </row>
    <row r="27" spans="1:8" ht="15" thickBot="1">
      <c r="A27" s="65">
        <v>43531</v>
      </c>
      <c r="B27" s="66" t="s">
        <v>424</v>
      </c>
      <c r="C27" s="67" t="s">
        <v>968</v>
      </c>
      <c r="D27" s="68" t="s">
        <v>970</v>
      </c>
      <c r="E27" s="69" t="s">
        <v>966</v>
      </c>
      <c r="F27" s="66">
        <v>7</v>
      </c>
      <c r="G27" s="64">
        <v>500</v>
      </c>
      <c r="H27" s="70">
        <f t="shared" si="0"/>
        <v>3500</v>
      </c>
    </row>
    <row r="28" spans="1:8" ht="15" thickBot="1">
      <c r="A28" s="65">
        <v>43548</v>
      </c>
      <c r="B28" s="66" t="s">
        <v>485</v>
      </c>
      <c r="C28" s="73" t="s">
        <v>964</v>
      </c>
      <c r="D28" s="68" t="s">
        <v>967</v>
      </c>
      <c r="E28" s="69" t="s">
        <v>979</v>
      </c>
      <c r="F28" s="66">
        <v>50</v>
      </c>
      <c r="G28" s="64">
        <v>58.5</v>
      </c>
      <c r="H28" s="70">
        <f t="shared" si="0"/>
        <v>2925</v>
      </c>
    </row>
    <row r="29" spans="1:8" ht="15" thickBot="1">
      <c r="A29" s="65">
        <v>43565</v>
      </c>
      <c r="B29" s="66" t="s">
        <v>485</v>
      </c>
      <c r="C29" s="75" t="s">
        <v>961</v>
      </c>
      <c r="D29" s="68" t="s">
        <v>971</v>
      </c>
      <c r="E29" s="69" t="s">
        <v>963</v>
      </c>
      <c r="F29" s="66">
        <v>66</v>
      </c>
      <c r="G29" s="64">
        <v>1198</v>
      </c>
      <c r="H29" s="70">
        <f t="shared" si="0"/>
        <v>79068</v>
      </c>
    </row>
    <row r="30" spans="1:8" ht="15" thickBot="1">
      <c r="A30" s="65">
        <v>43582</v>
      </c>
      <c r="B30" s="66" t="s">
        <v>528</v>
      </c>
      <c r="C30" s="71" t="s">
        <v>961</v>
      </c>
      <c r="D30" s="68" t="s">
        <v>975</v>
      </c>
      <c r="E30" s="69" t="s">
        <v>969</v>
      </c>
      <c r="F30" s="66">
        <v>96</v>
      </c>
      <c r="G30" s="64">
        <v>225</v>
      </c>
      <c r="H30" s="70">
        <f t="shared" si="0"/>
        <v>21600</v>
      </c>
    </row>
    <row r="31" spans="1:8" ht="15" thickBot="1">
      <c r="A31" s="65">
        <v>43599</v>
      </c>
      <c r="B31" s="66" t="s">
        <v>485</v>
      </c>
      <c r="C31" s="67" t="s">
        <v>968</v>
      </c>
      <c r="D31" s="68" t="s">
        <v>113</v>
      </c>
      <c r="E31" s="69" t="s">
        <v>963</v>
      </c>
      <c r="F31" s="66">
        <v>53</v>
      </c>
      <c r="G31" s="64">
        <v>1198</v>
      </c>
      <c r="H31" s="70">
        <f t="shared" si="0"/>
        <v>63494</v>
      </c>
    </row>
    <row r="32" spans="1:8" ht="15" thickBot="1">
      <c r="A32" s="65">
        <v>43616</v>
      </c>
      <c r="B32" s="66" t="s">
        <v>485</v>
      </c>
      <c r="C32" s="67" t="s">
        <v>968</v>
      </c>
      <c r="D32" s="68" t="s">
        <v>113</v>
      </c>
      <c r="E32" s="69" t="s">
        <v>966</v>
      </c>
      <c r="F32" s="66">
        <v>80</v>
      </c>
      <c r="G32" s="64">
        <v>500</v>
      </c>
      <c r="H32" s="70">
        <f t="shared" si="0"/>
        <v>40000</v>
      </c>
    </row>
    <row r="33" spans="1:8" ht="15" thickBot="1">
      <c r="A33" s="65">
        <v>43633</v>
      </c>
      <c r="B33" s="66" t="s">
        <v>485</v>
      </c>
      <c r="C33" s="67" t="s">
        <v>964</v>
      </c>
      <c r="D33" s="68" t="s">
        <v>965</v>
      </c>
      <c r="E33" s="69" t="s">
        <v>978</v>
      </c>
      <c r="F33" s="66">
        <v>5</v>
      </c>
      <c r="G33" s="64">
        <v>125</v>
      </c>
      <c r="H33" s="70">
        <f t="shared" si="0"/>
        <v>625</v>
      </c>
    </row>
    <row r="34" spans="1:8" ht="15" thickBot="1">
      <c r="A34" s="65">
        <v>43650</v>
      </c>
      <c r="B34" s="66" t="s">
        <v>528</v>
      </c>
      <c r="C34" s="71" t="s">
        <v>961</v>
      </c>
      <c r="D34" s="68" t="s">
        <v>962</v>
      </c>
      <c r="E34" s="69" t="s">
        <v>979</v>
      </c>
      <c r="F34" s="66">
        <v>62</v>
      </c>
      <c r="G34" s="64">
        <v>58.5</v>
      </c>
      <c r="H34" s="70">
        <f t="shared" si="0"/>
        <v>3627</v>
      </c>
    </row>
    <row r="35" spans="1:8" ht="15" thickBot="1">
      <c r="A35" s="65">
        <v>43667</v>
      </c>
      <c r="B35" s="66" t="s">
        <v>485</v>
      </c>
      <c r="C35" s="67" t="s">
        <v>964</v>
      </c>
      <c r="D35" s="68" t="s">
        <v>974</v>
      </c>
      <c r="E35" s="69" t="s">
        <v>979</v>
      </c>
      <c r="F35" s="66">
        <v>55</v>
      </c>
      <c r="G35" s="64">
        <v>58.5</v>
      </c>
      <c r="H35" s="70">
        <f t="shared" si="0"/>
        <v>3217.5</v>
      </c>
    </row>
    <row r="36" spans="1:8" ht="15" thickBot="1">
      <c r="A36" s="65">
        <v>43684</v>
      </c>
      <c r="B36" s="66" t="s">
        <v>485</v>
      </c>
      <c r="C36" s="67" t="s">
        <v>964</v>
      </c>
      <c r="D36" s="68" t="s">
        <v>965</v>
      </c>
      <c r="E36" s="69" t="s">
        <v>979</v>
      </c>
      <c r="F36" s="66">
        <v>42</v>
      </c>
      <c r="G36" s="64">
        <v>58.5</v>
      </c>
      <c r="H36" s="70">
        <f t="shared" si="0"/>
        <v>2457</v>
      </c>
    </row>
    <row r="37" spans="1:8" ht="15" thickBot="1">
      <c r="A37" s="65">
        <v>43701</v>
      </c>
      <c r="B37" s="66" t="s">
        <v>424</v>
      </c>
      <c r="C37" s="67" t="s">
        <v>968</v>
      </c>
      <c r="D37" s="68" t="s">
        <v>970</v>
      </c>
      <c r="E37" s="69" t="s">
        <v>978</v>
      </c>
      <c r="F37" s="66">
        <v>3</v>
      </c>
      <c r="G37" s="64">
        <v>125</v>
      </c>
      <c r="H37" s="70">
        <f t="shared" si="0"/>
        <v>375</v>
      </c>
    </row>
    <row r="38" spans="1:8" ht="15" thickBot="1">
      <c r="A38" s="65">
        <v>43718</v>
      </c>
      <c r="B38" s="66" t="s">
        <v>485</v>
      </c>
      <c r="C38" s="67" t="s">
        <v>968</v>
      </c>
      <c r="D38" s="68" t="s">
        <v>113</v>
      </c>
      <c r="E38" s="69" t="s">
        <v>963</v>
      </c>
      <c r="F38" s="66">
        <v>7</v>
      </c>
      <c r="G38" s="64">
        <v>1198</v>
      </c>
      <c r="H38" s="70">
        <f t="shared" si="0"/>
        <v>8386</v>
      </c>
    </row>
    <row r="39" spans="1:8" ht="15" thickBot="1">
      <c r="A39" s="65">
        <v>43735</v>
      </c>
      <c r="B39" s="66" t="s">
        <v>424</v>
      </c>
      <c r="C39" s="67" t="s">
        <v>968</v>
      </c>
      <c r="D39" s="68" t="s">
        <v>970</v>
      </c>
      <c r="E39" s="69" t="s">
        <v>969</v>
      </c>
      <c r="F39" s="66">
        <v>76</v>
      </c>
      <c r="G39" s="64">
        <v>225</v>
      </c>
      <c r="H39" s="70">
        <f t="shared" si="0"/>
        <v>17100</v>
      </c>
    </row>
    <row r="40" spans="1:8" ht="15" thickBot="1">
      <c r="A40" s="65">
        <v>43752</v>
      </c>
      <c r="B40" s="66" t="s">
        <v>424</v>
      </c>
      <c r="C40" s="72" t="s">
        <v>972</v>
      </c>
      <c r="D40" s="68" t="s">
        <v>973</v>
      </c>
      <c r="E40" s="69" t="s">
        <v>966</v>
      </c>
      <c r="F40" s="66">
        <v>57</v>
      </c>
      <c r="G40" s="64">
        <v>500</v>
      </c>
      <c r="H40" s="70">
        <f t="shared" si="0"/>
        <v>28500</v>
      </c>
    </row>
    <row r="41" spans="1:8" ht="15" thickBot="1">
      <c r="A41" s="65">
        <v>43769</v>
      </c>
      <c r="B41" s="66" t="s">
        <v>485</v>
      </c>
      <c r="C41" s="71" t="s">
        <v>961</v>
      </c>
      <c r="D41" s="68" t="s">
        <v>971</v>
      </c>
      <c r="E41" s="69" t="s">
        <v>963</v>
      </c>
      <c r="F41" s="66">
        <v>14</v>
      </c>
      <c r="G41" s="64">
        <v>1198</v>
      </c>
      <c r="H41" s="70">
        <f t="shared" si="0"/>
        <v>16772</v>
      </c>
    </row>
    <row r="42" spans="1:8" ht="15" thickBot="1">
      <c r="A42" s="65">
        <v>43786</v>
      </c>
      <c r="B42" s="66" t="s">
        <v>485</v>
      </c>
      <c r="C42" s="67" t="s">
        <v>964</v>
      </c>
      <c r="D42" s="68" t="s">
        <v>967</v>
      </c>
      <c r="E42" s="69" t="s">
        <v>966</v>
      </c>
      <c r="F42" s="66">
        <v>11</v>
      </c>
      <c r="G42" s="64">
        <v>500</v>
      </c>
      <c r="H42" s="70">
        <f t="shared" si="0"/>
        <v>5500</v>
      </c>
    </row>
    <row r="43" spans="1:8" ht="15" thickBot="1">
      <c r="A43" s="65">
        <v>43803</v>
      </c>
      <c r="B43" s="66" t="s">
        <v>485</v>
      </c>
      <c r="C43" s="67" t="s">
        <v>964</v>
      </c>
      <c r="D43" s="68" t="s">
        <v>967</v>
      </c>
      <c r="E43" s="69" t="s">
        <v>966</v>
      </c>
      <c r="F43" s="66">
        <v>94</v>
      </c>
      <c r="G43" s="64">
        <v>500</v>
      </c>
      <c r="H43" s="70">
        <f t="shared" si="0"/>
        <v>47000</v>
      </c>
    </row>
    <row r="44" spans="1:8" ht="15" thickBot="1">
      <c r="A44" s="65">
        <v>43820</v>
      </c>
      <c r="B44" s="66" t="s">
        <v>485</v>
      </c>
      <c r="C44" s="71" t="s">
        <v>961</v>
      </c>
      <c r="D44" s="68" t="s">
        <v>971</v>
      </c>
      <c r="E44" s="69" t="s">
        <v>966</v>
      </c>
      <c r="F44" s="66">
        <v>28</v>
      </c>
      <c r="G44" s="64">
        <v>500</v>
      </c>
      <c r="H44" s="70">
        <f t="shared" si="0"/>
        <v>14000</v>
      </c>
    </row>
    <row r="47" spans="1:8">
      <c r="B47" s="55" t="s">
        <v>901</v>
      </c>
    </row>
    <row r="48" spans="1:8">
      <c r="A48" s="55" t="s">
        <v>893</v>
      </c>
      <c r="B48" t="s">
        <v>980</v>
      </c>
      <c r="C48" t="s">
        <v>981</v>
      </c>
      <c r="D48" t="s">
        <v>982</v>
      </c>
    </row>
    <row r="49" spans="1:4">
      <c r="A49" s="56" t="s">
        <v>969</v>
      </c>
      <c r="B49">
        <v>278</v>
      </c>
      <c r="C49">
        <v>1125</v>
      </c>
      <c r="D49">
        <v>62550</v>
      </c>
    </row>
    <row r="50" spans="1:4">
      <c r="A50" s="56" t="s">
        <v>978</v>
      </c>
      <c r="B50">
        <v>10</v>
      </c>
      <c r="C50">
        <v>375</v>
      </c>
      <c r="D50">
        <v>1250</v>
      </c>
    </row>
    <row r="51" spans="1:4">
      <c r="A51" s="56" t="s">
        <v>966</v>
      </c>
      <c r="B51">
        <v>722</v>
      </c>
      <c r="C51">
        <v>7500</v>
      </c>
      <c r="D51">
        <v>361000</v>
      </c>
    </row>
    <row r="52" spans="1:4">
      <c r="A52" s="56" t="s">
        <v>963</v>
      </c>
      <c r="B52">
        <v>716</v>
      </c>
      <c r="C52">
        <v>15574</v>
      </c>
      <c r="D52">
        <v>857768</v>
      </c>
    </row>
    <row r="53" spans="1:4">
      <c r="A53" s="56" t="s">
        <v>979</v>
      </c>
      <c r="B53">
        <v>395</v>
      </c>
      <c r="C53">
        <v>409.5</v>
      </c>
      <c r="D53">
        <v>23107.5</v>
      </c>
    </row>
    <row r="54" spans="1:4">
      <c r="A54" s="56" t="s">
        <v>894</v>
      </c>
      <c r="B54">
        <v>2121</v>
      </c>
      <c r="C54">
        <v>24983.5</v>
      </c>
      <c r="D54">
        <v>1305675.5</v>
      </c>
    </row>
    <row r="56" spans="1:4">
      <c r="C56" t="s">
        <v>983</v>
      </c>
      <c r="D56" s="9">
        <f>GETPIVOTDATA("Sum of Sale_amt",$A$47)-GETPIVOTDATA("Sum of Unit_price",$A$47)</f>
        <v>1280692</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Week-1</vt:lpstr>
      <vt:lpstr>Week-2</vt:lpstr>
      <vt:lpstr>week-3</vt:lpstr>
      <vt:lpstr>Week-4</vt:lpstr>
      <vt:lpstr>week-5</vt:lpstr>
      <vt:lpstr>Week-6</vt:lpstr>
      <vt:lpstr>pivot table</vt:lpstr>
      <vt:lpstr>Sheet5</vt:lpstr>
      <vt:lpstr>Sheet6</vt:lpstr>
      <vt:lpstr>PPT</vt:lpstr>
      <vt:lpstr>'Week-4'!Criteria</vt:lpstr>
      <vt:lpstr>'Week-4'!Extract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2024-01-18T12:26:10Z</dcterms:modified>
</cp:coreProperties>
</file>